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5.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6.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7.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charts/style44.xml" ContentType="application/vnd.ms-office.chartstyle+xml"/>
  <Override PartName="/xl/charts/colors44.xml" ContentType="application/vnd.ms-office.chartcolorstyle+xml"/>
  <Override PartName="/xl/charts/chart46.xml" ContentType="application/vnd.openxmlformats-officedocument.drawingml.chart+xml"/>
  <Override PartName="/xl/charts/chart47.xml" ContentType="application/vnd.openxmlformats-officedocument.drawingml.chart+xml"/>
  <Override PartName="/xl/charts/style45.xml" ContentType="application/vnd.ms-office.chartstyle+xml"/>
  <Override PartName="/xl/charts/colors45.xml" ContentType="application/vnd.ms-office.chartcolorstyle+xml"/>
  <Override PartName="/xl/charts/chart48.xml" ContentType="application/vnd.openxmlformats-officedocument.drawingml.chart+xml"/>
  <Override PartName="/xl/charts/chart49.xml" ContentType="application/vnd.openxmlformats-officedocument.drawingml.chart+xml"/>
  <Override PartName="/xl/charts/style46.xml" ContentType="application/vnd.ms-office.chartstyle+xml"/>
  <Override PartName="/xl/charts/colors46.xml" ContentType="application/vnd.ms-office.chartcolorstyle+xml"/>
  <Override PartName="/xl/charts/chart50.xml" ContentType="application/vnd.openxmlformats-officedocument.drawingml.chart+xml"/>
  <Override PartName="/xl/charts/style47.xml" ContentType="application/vnd.ms-office.chartstyle+xml"/>
  <Override PartName="/xl/charts/colors47.xml" ContentType="application/vnd.ms-office.chartcolorstyle+xml"/>
  <Override PartName="/xl/charts/chart51.xml" ContentType="application/vnd.openxmlformats-officedocument.drawingml.chart+xml"/>
  <Override PartName="/xl/charts/style48.xml" ContentType="application/vnd.ms-office.chartstyle+xml"/>
  <Override PartName="/xl/charts/colors48.xml" ContentType="application/vnd.ms-office.chartcolorstyle+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filterPrivacy="1" showInkAnnotation="0"/>
  <xr:revisionPtr revIDLastSave="0" documentId="13_ncr:1_{CC25A01F-BA5D-4012-BA8C-A8E173E1B197}" xr6:coauthVersionLast="47" xr6:coauthVersionMax="47" xr10:uidLastSave="{00000000-0000-0000-0000-000000000000}"/>
  <workbookProtection workbookAlgorithmName="SHA-512" workbookHashValue="xI61p+iCcnqvv3t/MiEfWWKREYRcVJbaK1utNMPkenGzPA1ade8Qq8Q1nuMDCIfJRavfkTy0g0tsmaQcmUIzDA==" workbookSaltValue="qgdG4xUUR2xGs70XnQAlXg==" workbookSpinCount="100000" lockStructure="1"/>
  <bookViews>
    <workbookView xWindow="-108" yWindow="-108" windowWidth="23256" windowHeight="13896" tabRatio="889" firstSheet="2" activeTab="2" xr2:uid="{00000000-000D-0000-FFFF-FFFF00000000}"/>
  </bookViews>
  <sheets>
    <sheet name="MAMH_BD_MUN" sheetId="99" state="hidden" r:id="rId1"/>
    <sheet name="MAMH_BD_COUT" sheetId="97" state="hidden" r:id="rId2"/>
    <sheet name="INTRODUCTION" sheetId="70" r:id="rId3"/>
    <sheet name="MODE D'EMPLOI" sheetId="59" r:id="rId4"/>
    <sheet name="IDENTIFICATION" sheetId="66" r:id="rId5"/>
    <sheet name="MENU DÉROULANT" sheetId="54" state="hidden" r:id="rId6"/>
    <sheet name="FORMULAIRE PGA Eau potable" sheetId="44" r:id="rId7"/>
    <sheet name="CALCULS Eau potable" sheetId="52" state="hidden" r:id="rId8"/>
    <sheet name="SOMMAIRE PGA Eau potable" sheetId="91" r:id="rId9"/>
    <sheet name="FORMULAIRE PGA Eaux usées" sheetId="78" r:id="rId10"/>
    <sheet name="CALCULS Eaux usées" sheetId="79" state="hidden" r:id="rId11"/>
    <sheet name="SOMMAIRE PGA Eaux usées" sheetId="92" r:id="rId12"/>
    <sheet name="FORMULAIRE PGA Eaux pluviales" sheetId="81" r:id="rId13"/>
    <sheet name="CALCULS Eaux pluviales" sheetId="82" state="hidden" r:id="rId14"/>
    <sheet name="SOMMAIRE PGA Eaux pluviales" sheetId="93" r:id="rId15"/>
    <sheet name="CALCULS Eau" sheetId="75" state="hidden" r:id="rId16"/>
    <sheet name="SOMMAIRE PGA EAU" sheetId="77" r:id="rId17"/>
    <sheet name="Liste municipalités" sheetId="53" r:id="rId18"/>
    <sheet name="Liste régies" sheetId="100" r:id="rId19"/>
    <sheet name="AIDE" sheetId="87" r:id="rId20"/>
  </sheets>
  <definedNames>
    <definedName name="_xlnm._FilterDatabase" localSheetId="17" hidden="1">'Liste municipalités'!$A$4:$AZ$4</definedName>
    <definedName name="_xlnm._FilterDatabase" localSheetId="18" hidden="1">'Liste régies'!$A$4:$AZ$4</definedName>
    <definedName name="C_nb_sect_acompleter" localSheetId="0">MAMH_BD_MUN!$A$25</definedName>
    <definedName name="C_nb_sect_acompleter">#REF!</definedName>
    <definedName name="C_target_code_geo" localSheetId="0">MAMH_BD_MUN!$A$17</definedName>
    <definedName name="C_target_code_geo">#REF!</definedName>
    <definedName name="_xlnm.Print_Titles" localSheetId="15">'CALCULS Eau'!$1:$3</definedName>
    <definedName name="_xlnm.Print_Titles" localSheetId="7">'CALCULS Eau potable'!$1:$3</definedName>
    <definedName name="_xlnm.Print_Titles" localSheetId="13">'CALCULS Eaux pluviales'!$1:$3</definedName>
    <definedName name="_xlnm.Print_Titles" localSheetId="10">'CALCULS Eaux usées'!$1:$3</definedName>
    <definedName name="_xlnm.Print_Titles" localSheetId="4">IDENTIFICATION!$1:$4</definedName>
    <definedName name="_xlnm.Print_Titles" localSheetId="17">'Liste municipalités'!$1:$4</definedName>
    <definedName name="_xlnm.Print_Titles" localSheetId="18">'Liste régies'!$1:$4</definedName>
    <definedName name="_xlnm.Print_Titles" localSheetId="5">'MENU DÉROULANT'!$1:$3</definedName>
    <definedName name="_xlnm.Print_Titles" localSheetId="3">'MODE D''EMPLOI'!$1:$3</definedName>
    <definedName name="_xlnm.Print_Titles" localSheetId="8">'SOMMAIRE PGA Eau potable'!$1:$7</definedName>
    <definedName name="_xlnm.Print_Titles" localSheetId="14">'SOMMAIRE PGA Eaux pluviales'!$1:$7</definedName>
    <definedName name="_xlnm.Print_Titles" localSheetId="11">'SOMMAIRE PGA Eaux usées'!$1:$7</definedName>
    <definedName name="_xlnm.Print_Area" localSheetId="19">AIDE!$A$1:$U$289</definedName>
    <definedName name="_xlnm.Print_Area" localSheetId="15">'CALCULS Eau'!$B$1:$P$383</definedName>
    <definedName name="_xlnm.Print_Area" localSheetId="7">'CALCULS Eau potable'!$A$1:$Q$346</definedName>
    <definedName name="_xlnm.Print_Area" localSheetId="13">'CALCULS Eaux pluviales'!$A$1:$Q$346</definedName>
    <definedName name="_xlnm.Print_Area" localSheetId="10">'CALCULS Eaux usées'!$A$1:$Q$346</definedName>
    <definedName name="_xlnm.Print_Area" localSheetId="6">'FORMULAIRE PGA Eau potable'!$A$1:$R$730</definedName>
    <definedName name="_xlnm.Print_Area" localSheetId="12">'FORMULAIRE PGA Eaux pluviales'!$A$1:$R$730</definedName>
    <definedName name="_xlnm.Print_Area" localSheetId="9">'FORMULAIRE PGA Eaux usées'!$A$1:$R$730</definedName>
    <definedName name="_xlnm.Print_Area" localSheetId="4">IDENTIFICATION!$A$1:$R$190</definedName>
    <definedName name="_xlnm.Print_Area" localSheetId="2">INTRODUCTION!$A$1:$R$51</definedName>
    <definedName name="_xlnm.Print_Area" localSheetId="17">'Liste municipalités'!$A$1:$E$1144</definedName>
    <definedName name="_xlnm.Print_Area" localSheetId="18">'Liste régies'!$A$1:$E$1150</definedName>
    <definedName name="_xlnm.Print_Area" localSheetId="5">'MENU DÉROULANT'!$A$1:$I$122</definedName>
    <definedName name="_xlnm.Print_Area" localSheetId="3">'MODE D''EMPLOI'!$A$1:$U$162</definedName>
    <definedName name="_xlnm.Print_Area" localSheetId="16">'SOMMAIRE PGA EAU'!$A$1:$CF$92</definedName>
    <definedName name="_xlnm.Print_Area" localSheetId="8">'SOMMAIRE PGA Eau potable'!$A$1:$CL$166</definedName>
    <definedName name="_xlnm.Print_Area" localSheetId="14">'SOMMAIRE PGA Eaux pluviales'!$A$1:$CL$166</definedName>
    <definedName name="_xlnm.Print_Area" localSheetId="11">'SOMMAIRE PGA Eaux usées'!$A$1:$CL$166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K21" i="99" l="1"/>
  <c r="BK20" i="99"/>
  <c r="BK19" i="99"/>
  <c r="P14" i="82"/>
  <c r="C159" i="81" s="1"/>
  <c r="B157" i="81" s="1"/>
  <c r="P14" i="79"/>
  <c r="C159" i="78" s="1"/>
  <c r="B157" i="78" s="1"/>
  <c r="P14" i="52"/>
  <c r="C159" i="44" s="1"/>
  <c r="B157" i="44" s="1"/>
  <c r="C8" i="75" l="1"/>
  <c r="F7" i="75"/>
  <c r="C7" i="75"/>
  <c r="C6" i="75"/>
  <c r="D10" i="82"/>
  <c r="G9" i="82"/>
  <c r="D9" i="82"/>
  <c r="D8" i="82"/>
  <c r="D10" i="79"/>
  <c r="G9" i="79"/>
  <c r="D9" i="79"/>
  <c r="D8" i="79"/>
  <c r="D10" i="52"/>
  <c r="G9" i="52"/>
  <c r="D9" i="52"/>
  <c r="N81" i="66"/>
  <c r="H81" i="66"/>
  <c r="D8" i="52"/>
  <c r="A57" i="99" l="1"/>
  <c r="A56" i="99"/>
  <c r="A55" i="99"/>
  <c r="A54" i="99"/>
  <c r="A53" i="99"/>
  <c r="A52" i="99"/>
  <c r="A51" i="99"/>
  <c r="A50" i="99"/>
  <c r="A49" i="99"/>
  <c r="A48" i="99"/>
  <c r="A47" i="99"/>
  <c r="A43" i="99"/>
  <c r="A42" i="99"/>
  <c r="A41" i="99"/>
  <c r="A40" i="99"/>
  <c r="A39" i="99"/>
  <c r="A38" i="99"/>
  <c r="B33" i="99"/>
  <c r="B30" i="99"/>
  <c r="B29" i="99"/>
  <c r="B28" i="99"/>
  <c r="IC21" i="99"/>
  <c r="HM21" i="99"/>
  <c r="GU21" i="99"/>
  <c r="GE21" i="99"/>
  <c r="D21" i="99"/>
  <c r="C21" i="99"/>
  <c r="IC20" i="99"/>
  <c r="HM20" i="99"/>
  <c r="GU20" i="99"/>
  <c r="GE20" i="99"/>
  <c r="D20" i="99"/>
  <c r="C20" i="99"/>
  <c r="IC19" i="99"/>
  <c r="HM19" i="99"/>
  <c r="GU19" i="99"/>
  <c r="GE19" i="99"/>
  <c r="D19" i="99"/>
  <c r="C19" i="99"/>
  <c r="A17" i="99"/>
  <c r="IM14" i="99"/>
  <c r="IL14" i="99"/>
  <c r="IK14" i="99"/>
  <c r="IJ14" i="99"/>
  <c r="II14" i="99"/>
  <c r="IH14" i="99"/>
  <c r="IG14" i="99"/>
  <c r="IF14" i="99"/>
  <c r="IE14" i="99"/>
  <c r="ID14" i="99"/>
  <c r="IC14" i="99"/>
  <c r="IB14" i="99"/>
  <c r="IA14" i="99"/>
  <c r="HZ14" i="99"/>
  <c r="HY14" i="99"/>
  <c r="HX14" i="99"/>
  <c r="HW14" i="99"/>
  <c r="HV14" i="99"/>
  <c r="HU14" i="99"/>
  <c r="HT14" i="99"/>
  <c r="HS14" i="99"/>
  <c r="HR14" i="99"/>
  <c r="HQ14" i="99"/>
  <c r="HP14" i="99"/>
  <c r="HO14" i="99"/>
  <c r="HN14" i="99"/>
  <c r="HM14" i="99"/>
  <c r="HL14" i="99"/>
  <c r="HK14" i="99"/>
  <c r="HJ14" i="99"/>
  <c r="HI14" i="99"/>
  <c r="HH14" i="99"/>
  <c r="HG14" i="99"/>
  <c r="HF14" i="99"/>
  <c r="HE14" i="99"/>
  <c r="HD14" i="99"/>
  <c r="HC14" i="99"/>
  <c r="HB14" i="99"/>
  <c r="HA14" i="99"/>
  <c r="GZ14" i="99"/>
  <c r="GY14" i="99"/>
  <c r="GX14" i="99"/>
  <c r="GW14" i="99"/>
  <c r="GV14" i="99"/>
  <c r="GU14" i="99"/>
  <c r="GT14" i="99"/>
  <c r="GS14" i="99"/>
  <c r="GR14" i="99"/>
  <c r="GQ14" i="99"/>
  <c r="GP14" i="99"/>
  <c r="GO14" i="99"/>
  <c r="GN14" i="99"/>
  <c r="GM14" i="99"/>
  <c r="GL14" i="99"/>
  <c r="GK14" i="99"/>
  <c r="GJ14" i="99"/>
  <c r="GI14" i="99"/>
  <c r="GH14" i="99"/>
  <c r="GG14" i="99"/>
  <c r="GF14" i="99"/>
  <c r="GE14" i="99"/>
  <c r="GD14" i="99"/>
  <c r="GC14" i="99"/>
  <c r="GB14" i="99"/>
  <c r="GA14" i="99"/>
  <c r="FZ14" i="99"/>
  <c r="FY14" i="99"/>
  <c r="FX14" i="99"/>
  <c r="FW14" i="99"/>
  <c r="FV14" i="99"/>
  <c r="FU14" i="99"/>
  <c r="FT14" i="99"/>
  <c r="FS14" i="99"/>
  <c r="FR14" i="99"/>
  <c r="FQ14" i="99"/>
  <c r="FP14" i="99"/>
  <c r="FO14" i="99"/>
  <c r="FN14" i="99"/>
  <c r="FM14" i="99"/>
  <c r="FL14" i="99"/>
  <c r="FK14" i="99"/>
  <c r="FJ14" i="99"/>
  <c r="FI14" i="99"/>
  <c r="FH14" i="99"/>
  <c r="FG14" i="99"/>
  <c r="FF14" i="99"/>
  <c r="FE14" i="99"/>
  <c r="FD14" i="99"/>
  <c r="FC14" i="99"/>
  <c r="FB14" i="99"/>
  <c r="FA14" i="99"/>
  <c r="EZ14" i="99"/>
  <c r="EY14" i="99"/>
  <c r="EX14" i="99"/>
  <c r="EW14" i="99"/>
  <c r="EV14" i="99"/>
  <c r="EU14" i="99"/>
  <c r="ET14" i="99"/>
  <c r="ES14" i="99"/>
  <c r="ER14" i="99"/>
  <c r="EQ14" i="99"/>
  <c r="EP14" i="99"/>
  <c r="EO14" i="99"/>
  <c r="EN14" i="99"/>
  <c r="EM14" i="99"/>
  <c r="EL14" i="99"/>
  <c r="EK14" i="99"/>
  <c r="EJ14" i="99"/>
  <c r="EI14" i="99"/>
  <c r="EH14" i="99"/>
  <c r="EG14" i="99"/>
  <c r="EF14" i="99"/>
  <c r="EE14" i="99"/>
  <c r="ED14" i="99"/>
  <c r="EC14" i="99"/>
  <c r="EB14" i="99"/>
  <c r="EA14" i="99"/>
  <c r="DZ14" i="99"/>
  <c r="DY14" i="99"/>
  <c r="DX14" i="99"/>
  <c r="DW14" i="99"/>
  <c r="DV14" i="99"/>
  <c r="DU14" i="99"/>
  <c r="DT14" i="99"/>
  <c r="DS14" i="99"/>
  <c r="DR14" i="99"/>
  <c r="DQ14" i="99"/>
  <c r="DP14" i="99"/>
  <c r="DO14" i="99"/>
  <c r="DN14" i="99"/>
  <c r="DM14" i="99"/>
  <c r="DL14" i="99"/>
  <c r="DK14" i="99"/>
  <c r="DJ14" i="99"/>
  <c r="DI14" i="99"/>
  <c r="DH14" i="99"/>
  <c r="DG14" i="99"/>
  <c r="DF14" i="99"/>
  <c r="DE14" i="99"/>
  <c r="DD14" i="99"/>
  <c r="DC14" i="99"/>
  <c r="DB14" i="99"/>
  <c r="DA14" i="99"/>
  <c r="CZ14" i="99"/>
  <c r="CY14" i="99"/>
  <c r="CX14" i="99"/>
  <c r="CW14" i="99"/>
  <c r="CV14" i="99"/>
  <c r="CU14" i="99"/>
  <c r="CT14" i="99"/>
  <c r="CS14" i="99"/>
  <c r="CR14" i="99"/>
  <c r="CQ14" i="99"/>
  <c r="CP14" i="99"/>
  <c r="CO14" i="99"/>
  <c r="CN14" i="99"/>
  <c r="CM14" i="99"/>
  <c r="CL14" i="99"/>
  <c r="CK14" i="99"/>
  <c r="CJ14" i="99"/>
  <c r="CI14" i="99"/>
  <c r="CH14" i="99"/>
  <c r="CG14" i="99"/>
  <c r="CF14" i="99"/>
  <c r="CE14" i="99"/>
  <c r="CD14" i="99"/>
  <c r="CC14" i="99"/>
  <c r="CB14" i="99"/>
  <c r="CA14" i="99"/>
  <c r="BZ14" i="99"/>
  <c r="BY14" i="99"/>
  <c r="BX14" i="99"/>
  <c r="BW14" i="99"/>
  <c r="BV14" i="99"/>
  <c r="BU14" i="99"/>
  <c r="BT14" i="99"/>
  <c r="BS14" i="99"/>
  <c r="BR14" i="99"/>
  <c r="BQ14" i="99"/>
  <c r="BP14" i="99"/>
  <c r="BO14" i="99"/>
  <c r="BN14" i="99"/>
  <c r="BM14" i="99"/>
  <c r="BL14" i="99"/>
  <c r="BK14" i="99"/>
  <c r="BJ14" i="99"/>
  <c r="BI14" i="99"/>
  <c r="BH14" i="99"/>
  <c r="BG14" i="99"/>
  <c r="BF14" i="99"/>
  <c r="BE14" i="99"/>
  <c r="BD14" i="99"/>
  <c r="BC14" i="99"/>
  <c r="BB14" i="99"/>
  <c r="BA14" i="99"/>
  <c r="AZ14" i="99"/>
  <c r="AY14" i="99"/>
  <c r="AX14" i="99"/>
  <c r="AW14" i="99"/>
  <c r="AV14" i="99"/>
  <c r="AU14" i="99"/>
  <c r="AT14" i="99"/>
  <c r="AS14" i="99"/>
  <c r="AR14" i="99"/>
  <c r="AQ14" i="99"/>
  <c r="AP14" i="99"/>
  <c r="AO14" i="99"/>
  <c r="AN14" i="99"/>
  <c r="AM14" i="99"/>
  <c r="AL14" i="99"/>
  <c r="AK14" i="99"/>
  <c r="AJ14" i="99"/>
  <c r="AI14" i="99"/>
  <c r="AH14" i="99"/>
  <c r="AG14" i="99"/>
  <c r="AF14" i="99"/>
  <c r="AE14" i="99"/>
  <c r="AD14" i="99"/>
  <c r="AC14" i="99"/>
  <c r="AB14" i="99"/>
  <c r="AA14" i="99"/>
  <c r="Z14" i="99"/>
  <c r="Y14" i="99"/>
  <c r="X14" i="99"/>
  <c r="W14" i="99"/>
  <c r="V14" i="99"/>
  <c r="U14" i="99"/>
  <c r="T14" i="99"/>
  <c r="S14" i="99"/>
  <c r="R14" i="99"/>
  <c r="Q14" i="99"/>
  <c r="P14" i="99"/>
  <c r="O14" i="99"/>
  <c r="N14" i="99"/>
  <c r="M14" i="99"/>
  <c r="L14" i="99"/>
  <c r="K14" i="99"/>
  <c r="J14" i="99"/>
  <c r="I14" i="99"/>
  <c r="H14" i="99"/>
  <c r="G14" i="99"/>
  <c r="F14" i="99"/>
  <c r="E14" i="99"/>
  <c r="D14" i="99"/>
  <c r="C14" i="99"/>
  <c r="B14" i="99"/>
  <c r="FX13" i="99"/>
  <c r="FX15" i="99" s="1"/>
  <c r="EF13" i="99"/>
  <c r="EF15" i="99" s="1"/>
  <c r="CY13" i="99"/>
  <c r="CY15" i="99" s="1"/>
  <c r="CK13" i="99"/>
  <c r="CK15" i="99" s="1"/>
  <c r="BJ13" i="99"/>
  <c r="BJ15" i="99" s="1"/>
  <c r="H13" i="99"/>
  <c r="H15" i="99" s="1"/>
  <c r="G13" i="99"/>
  <c r="G15" i="99" s="1"/>
  <c r="D13" i="99"/>
  <c r="D15" i="99" s="1"/>
  <c r="C13" i="99"/>
  <c r="C15" i="99" s="1"/>
  <c r="B13" i="99"/>
  <c r="B15" i="99" s="1"/>
  <c r="IE11" i="99"/>
  <c r="IF11" i="99" s="1"/>
  <c r="IG11" i="99" s="1"/>
  <c r="IH11" i="99" s="1"/>
  <c r="II11" i="99" s="1"/>
  <c r="IJ11" i="99" s="1"/>
  <c r="IK11" i="99" s="1"/>
  <c r="HW11" i="99"/>
  <c r="HX11" i="99" s="1"/>
  <c r="HY11" i="99" s="1"/>
  <c r="HZ11" i="99" s="1"/>
  <c r="IA11" i="99" s="1"/>
  <c r="IB11" i="99" s="1"/>
  <c r="IC11" i="99" s="1"/>
  <c r="HP11" i="99"/>
  <c r="HQ11" i="99" s="1"/>
  <c r="HR11" i="99" s="1"/>
  <c r="HS11" i="99" s="1"/>
  <c r="HT11" i="99" s="1"/>
  <c r="HU11" i="99" s="1"/>
  <c r="HO11" i="99"/>
  <c r="HG11" i="99"/>
  <c r="HH11" i="99" s="1"/>
  <c r="HI11" i="99" s="1"/>
  <c r="HJ11" i="99" s="1"/>
  <c r="HK11" i="99" s="1"/>
  <c r="HL11" i="99" s="1"/>
  <c r="HM11" i="99" s="1"/>
  <c r="GW11" i="99"/>
  <c r="GX11" i="99" s="1"/>
  <c r="GY11" i="99" s="1"/>
  <c r="GZ11" i="99" s="1"/>
  <c r="HA11" i="99" s="1"/>
  <c r="HB11" i="99" s="1"/>
  <c r="HC11" i="99" s="1"/>
  <c r="GO11" i="99"/>
  <c r="GP11" i="99" s="1"/>
  <c r="GQ11" i="99" s="1"/>
  <c r="GR11" i="99" s="1"/>
  <c r="GS11" i="99" s="1"/>
  <c r="GT11" i="99" s="1"/>
  <c r="GU11" i="99" s="1"/>
  <c r="GG11" i="99"/>
  <c r="GH11" i="99" s="1"/>
  <c r="GI11" i="99" s="1"/>
  <c r="GJ11" i="99" s="1"/>
  <c r="GK11" i="99" s="1"/>
  <c r="GL11" i="99" s="1"/>
  <c r="GM11" i="99" s="1"/>
  <c r="FY11" i="99"/>
  <c r="FZ11" i="99" s="1"/>
  <c r="GA11" i="99" s="1"/>
  <c r="GB11" i="99" s="1"/>
  <c r="GC11" i="99" s="1"/>
  <c r="GD11" i="99" s="1"/>
  <c r="GE11" i="99" s="1"/>
  <c r="FW11" i="99"/>
  <c r="FU11" i="99"/>
  <c r="FP11" i="99"/>
  <c r="FQ11" i="99" s="1"/>
  <c r="FR11" i="99" s="1"/>
  <c r="FS11" i="99" s="1"/>
  <c r="FK11" i="99"/>
  <c r="FL11" i="99" s="1"/>
  <c r="FM11" i="99" s="1"/>
  <c r="FN11" i="99" s="1"/>
  <c r="FI11" i="99"/>
  <c r="FG11" i="99"/>
  <c r="FA11" i="99"/>
  <c r="FB11" i="99" s="1"/>
  <c r="FC11" i="99" s="1"/>
  <c r="FD11" i="99" s="1"/>
  <c r="FE11" i="99" s="1"/>
  <c r="EU11" i="99"/>
  <c r="EV11" i="99" s="1"/>
  <c r="EW11" i="99" s="1"/>
  <c r="EX11" i="99" s="1"/>
  <c r="EY11" i="99" s="1"/>
  <c r="ES11" i="99"/>
  <c r="EQ11" i="99"/>
  <c r="EL11" i="99"/>
  <c r="EM11" i="99" s="1"/>
  <c r="EN11" i="99" s="1"/>
  <c r="EO11" i="99" s="1"/>
  <c r="EG11" i="99"/>
  <c r="EH11" i="99" s="1"/>
  <c r="EI11" i="99" s="1"/>
  <c r="EJ11" i="99" s="1"/>
  <c r="ED11" i="99"/>
  <c r="EE11" i="99" s="1"/>
  <c r="EA11" i="99"/>
  <c r="EB11" i="99" s="1"/>
  <c r="DX11" i="99"/>
  <c r="DY11" i="99" s="1"/>
  <c r="DV11" i="99"/>
  <c r="DU11" i="99"/>
  <c r="DS11" i="99"/>
  <c r="DP11" i="99"/>
  <c r="DH11" i="99"/>
  <c r="DI11" i="99" s="1"/>
  <c r="DJ11" i="99" s="1"/>
  <c r="DK11" i="99" s="1"/>
  <c r="DL11" i="99" s="1"/>
  <c r="DM11" i="99" s="1"/>
  <c r="DN11" i="99" s="1"/>
  <c r="CZ11" i="99"/>
  <c r="DA11" i="99" s="1"/>
  <c r="DB11" i="99" s="1"/>
  <c r="DC11" i="99" s="1"/>
  <c r="DD11" i="99" s="1"/>
  <c r="DE11" i="99" s="1"/>
  <c r="DF11" i="99" s="1"/>
  <c r="BK11" i="99"/>
  <c r="BL11" i="99" s="1"/>
  <c r="BM11" i="99" s="1"/>
  <c r="BN11" i="99" s="1"/>
  <c r="BO11" i="99" s="1"/>
  <c r="BD11" i="99"/>
  <c r="BE11" i="99" s="1"/>
  <c r="BF11" i="99" s="1"/>
  <c r="BG11" i="99" s="1"/>
  <c r="BH11" i="99" s="1"/>
  <c r="BI11" i="99" s="1"/>
  <c r="AW11" i="99"/>
  <c r="AX11" i="99" s="1"/>
  <c r="AY11" i="99" s="1"/>
  <c r="AZ11" i="99" s="1"/>
  <c r="BA11" i="99" s="1"/>
  <c r="BB11" i="99" s="1"/>
  <c r="AP11" i="99"/>
  <c r="AQ11" i="99" s="1"/>
  <c r="AR11" i="99" s="1"/>
  <c r="AS11" i="99" s="1"/>
  <c r="AT11" i="99" s="1"/>
  <c r="AU11" i="99" s="1"/>
  <c r="AI11" i="99"/>
  <c r="AJ11" i="99" s="1"/>
  <c r="AK11" i="99" s="1"/>
  <c r="AL11" i="99" s="1"/>
  <c r="AM11" i="99" s="1"/>
  <c r="AN11" i="99" s="1"/>
  <c r="AF11" i="99"/>
  <c r="AG11" i="99" s="1"/>
  <c r="AC11" i="99"/>
  <c r="AD11" i="99" s="1"/>
  <c r="Y11" i="99"/>
  <c r="W11" i="99"/>
  <c r="S11" i="99"/>
  <c r="T11" i="99" s="1"/>
  <c r="U11" i="99" s="1"/>
  <c r="O11" i="99"/>
  <c r="P11" i="99" s="1"/>
  <c r="Q11" i="99" s="1"/>
  <c r="L11" i="99"/>
  <c r="M11" i="99" s="1"/>
  <c r="J11" i="99"/>
  <c r="I11" i="99"/>
  <c r="HW10" i="99"/>
  <c r="HX10" i="99" s="1"/>
  <c r="HY10" i="99" s="1"/>
  <c r="HZ10" i="99" s="1"/>
  <c r="IA10" i="99" s="1"/>
  <c r="IB10" i="99" s="1"/>
  <c r="IC10" i="99" s="1"/>
  <c r="ID10" i="99" s="1"/>
  <c r="IE10" i="99" s="1"/>
  <c r="IF10" i="99" s="1"/>
  <c r="IG10" i="99" s="1"/>
  <c r="IH10" i="99" s="1"/>
  <c r="II10" i="99" s="1"/>
  <c r="IJ10" i="99" s="1"/>
  <c r="IK10" i="99" s="1"/>
  <c r="HG10" i="99"/>
  <c r="HH10" i="99" s="1"/>
  <c r="HI10" i="99" s="1"/>
  <c r="HJ10" i="99" s="1"/>
  <c r="HK10" i="99" s="1"/>
  <c r="HL10" i="99" s="1"/>
  <c r="HM10" i="99" s="1"/>
  <c r="HN10" i="99" s="1"/>
  <c r="HO10" i="99" s="1"/>
  <c r="HP10" i="99" s="1"/>
  <c r="HQ10" i="99" s="1"/>
  <c r="HR10" i="99" s="1"/>
  <c r="HS10" i="99" s="1"/>
  <c r="HT10" i="99" s="1"/>
  <c r="HU10" i="99" s="1"/>
  <c r="GO10" i="99"/>
  <c r="GP10" i="99" s="1"/>
  <c r="GQ10" i="99" s="1"/>
  <c r="GR10" i="99" s="1"/>
  <c r="GS10" i="99" s="1"/>
  <c r="GT10" i="99" s="1"/>
  <c r="GU10" i="99" s="1"/>
  <c r="GV10" i="99" s="1"/>
  <c r="GW10" i="99" s="1"/>
  <c r="GX10" i="99" s="1"/>
  <c r="GY10" i="99" s="1"/>
  <c r="GZ10" i="99" s="1"/>
  <c r="HA10" i="99" s="1"/>
  <c r="HB10" i="99" s="1"/>
  <c r="HC10" i="99" s="1"/>
  <c r="FY10" i="99"/>
  <c r="FZ10" i="99" s="1"/>
  <c r="GA10" i="99" s="1"/>
  <c r="GB10" i="99" s="1"/>
  <c r="GC10" i="99" s="1"/>
  <c r="GD10" i="99" s="1"/>
  <c r="GE10" i="99" s="1"/>
  <c r="GF10" i="99" s="1"/>
  <c r="GG10" i="99" s="1"/>
  <c r="GH10" i="99" s="1"/>
  <c r="GI10" i="99" s="1"/>
  <c r="GJ10" i="99" s="1"/>
  <c r="GK10" i="99" s="1"/>
  <c r="GL10" i="99" s="1"/>
  <c r="GM10" i="99" s="1"/>
  <c r="FU10" i="99"/>
  <c r="FV10" i="99" s="1"/>
  <c r="FW10" i="99" s="1"/>
  <c r="FG10" i="99"/>
  <c r="FH10" i="99" s="1"/>
  <c r="FI10" i="99" s="1"/>
  <c r="EQ10" i="99"/>
  <c r="ER10" i="99" s="1"/>
  <c r="ES10" i="99" s="1"/>
  <c r="EG10" i="99"/>
  <c r="EH10" i="99" s="1"/>
  <c r="EI10" i="99" s="1"/>
  <c r="EJ10" i="99" s="1"/>
  <c r="EK10" i="99" s="1"/>
  <c r="EL10" i="99" s="1"/>
  <c r="EM10" i="99" s="1"/>
  <c r="EN10" i="99" s="1"/>
  <c r="EO10" i="99" s="1"/>
  <c r="EA10" i="99"/>
  <c r="EB10" i="99" s="1"/>
  <c r="EC10" i="99" s="1"/>
  <c r="ED10" i="99" s="1"/>
  <c r="EE10" i="99" s="1"/>
  <c r="DU10" i="99"/>
  <c r="DV10" i="99" s="1"/>
  <c r="DW10" i="99" s="1"/>
  <c r="DX10" i="99" s="1"/>
  <c r="DY10" i="99" s="1"/>
  <c r="DP10" i="99"/>
  <c r="DQ10" i="99" s="1"/>
  <c r="DR10" i="99" s="1"/>
  <c r="DS10" i="99" s="1"/>
  <c r="CZ10" i="99"/>
  <c r="DA10" i="99" s="1"/>
  <c r="DB10" i="99" s="1"/>
  <c r="DC10" i="99" s="1"/>
  <c r="DD10" i="99" s="1"/>
  <c r="DE10" i="99" s="1"/>
  <c r="DF10" i="99" s="1"/>
  <c r="DG10" i="99" s="1"/>
  <c r="DH10" i="99" s="1"/>
  <c r="DI10" i="99" s="1"/>
  <c r="DJ10" i="99" s="1"/>
  <c r="DK10" i="99" s="1"/>
  <c r="DL10" i="99" s="1"/>
  <c r="DM10" i="99" s="1"/>
  <c r="DN10" i="99" s="1"/>
  <c r="CS10" i="99"/>
  <c r="CT10" i="99" s="1"/>
  <c r="CU10" i="99" s="1"/>
  <c r="CV10" i="99" s="1"/>
  <c r="CW10" i="99" s="1"/>
  <c r="CX10" i="99" s="1"/>
  <c r="CL10" i="99"/>
  <c r="CM10" i="99" s="1"/>
  <c r="CN10" i="99" s="1"/>
  <c r="CO10" i="99" s="1"/>
  <c r="CP10" i="99" s="1"/>
  <c r="CQ10" i="99" s="1"/>
  <c r="CB10" i="99"/>
  <c r="CC10" i="99" s="1"/>
  <c r="CD10" i="99" s="1"/>
  <c r="CE10" i="99" s="1"/>
  <c r="CF10" i="99" s="1"/>
  <c r="CG10" i="99" s="1"/>
  <c r="CH10" i="99" s="1"/>
  <c r="CI10" i="99" s="1"/>
  <c r="CJ10" i="99" s="1"/>
  <c r="BR10" i="99"/>
  <c r="BS10" i="99" s="1"/>
  <c r="BT10" i="99" s="1"/>
  <c r="BU10" i="99" s="1"/>
  <c r="BV10" i="99" s="1"/>
  <c r="BW10" i="99" s="1"/>
  <c r="BX10" i="99" s="1"/>
  <c r="BY10" i="99" s="1"/>
  <c r="BZ10" i="99" s="1"/>
  <c r="AW10" i="99"/>
  <c r="AX10" i="99" s="1"/>
  <c r="AY10" i="99" s="1"/>
  <c r="AZ10" i="99" s="1"/>
  <c r="BA10" i="99" s="1"/>
  <c r="BB10" i="99" s="1"/>
  <c r="BC10" i="99" s="1"/>
  <c r="BD10" i="99" s="1"/>
  <c r="BE10" i="99" s="1"/>
  <c r="BF10" i="99" s="1"/>
  <c r="BG10" i="99" s="1"/>
  <c r="BH10" i="99" s="1"/>
  <c r="BI10" i="99" s="1"/>
  <c r="AJ10" i="99"/>
  <c r="AK10" i="99" s="1"/>
  <c r="AL10" i="99" s="1"/>
  <c r="AM10" i="99" s="1"/>
  <c r="AN10" i="99" s="1"/>
  <c r="AO10" i="99" s="1"/>
  <c r="AP10" i="99" s="1"/>
  <c r="AQ10" i="99" s="1"/>
  <c r="AR10" i="99" s="1"/>
  <c r="AS10" i="99" s="1"/>
  <c r="AT10" i="99" s="1"/>
  <c r="AU10" i="99" s="1"/>
  <c r="AI10" i="99"/>
  <c r="AC10" i="99"/>
  <c r="AD10" i="99" s="1"/>
  <c r="AE10" i="99" s="1"/>
  <c r="AF10" i="99" s="1"/>
  <c r="AG10" i="99" s="1"/>
  <c r="AA10" i="99"/>
  <c r="W10" i="99"/>
  <c r="X10" i="99" s="1"/>
  <c r="Y10" i="99" s="1"/>
  <c r="O10" i="99"/>
  <c r="P10" i="99" s="1"/>
  <c r="R10" i="99" s="1"/>
  <c r="S10" i="99" s="1"/>
  <c r="U10" i="99" s="1"/>
  <c r="I10" i="99"/>
  <c r="J10" i="99" s="1"/>
  <c r="K10" i="99" s="1"/>
  <c r="L10" i="99" s="1"/>
  <c r="M10" i="99" s="1"/>
  <c r="HG9" i="99"/>
  <c r="HH9" i="99" s="1"/>
  <c r="HI9" i="99" s="1"/>
  <c r="HJ9" i="99" s="1"/>
  <c r="HK9" i="99" s="1"/>
  <c r="HL9" i="99" s="1"/>
  <c r="HM9" i="99" s="1"/>
  <c r="HN9" i="99" s="1"/>
  <c r="HO9" i="99" s="1"/>
  <c r="HP9" i="99" s="1"/>
  <c r="HQ9" i="99" s="1"/>
  <c r="HR9" i="99" s="1"/>
  <c r="HS9" i="99" s="1"/>
  <c r="HT9" i="99" s="1"/>
  <c r="HU9" i="99" s="1"/>
  <c r="HV9" i="99" s="1"/>
  <c r="HW9" i="99" s="1"/>
  <c r="HX9" i="99" s="1"/>
  <c r="HY9" i="99" s="1"/>
  <c r="HZ9" i="99" s="1"/>
  <c r="IA9" i="99" s="1"/>
  <c r="IB9" i="99" s="1"/>
  <c r="IC9" i="99" s="1"/>
  <c r="ID9" i="99" s="1"/>
  <c r="IE9" i="99" s="1"/>
  <c r="IF9" i="99" s="1"/>
  <c r="IG9" i="99" s="1"/>
  <c r="IH9" i="99" s="1"/>
  <c r="II9" i="99" s="1"/>
  <c r="IJ9" i="99" s="1"/>
  <c r="IK9" i="99" s="1"/>
  <c r="IL9" i="99" s="1"/>
  <c r="IM9" i="99" s="1"/>
  <c r="FY9" i="99"/>
  <c r="FZ9" i="99" s="1"/>
  <c r="GA9" i="99" s="1"/>
  <c r="GB9" i="99" s="1"/>
  <c r="GC9" i="99" s="1"/>
  <c r="GD9" i="99" s="1"/>
  <c r="GE9" i="99" s="1"/>
  <c r="GF9" i="99" s="1"/>
  <c r="GG9" i="99" s="1"/>
  <c r="GH9" i="99" s="1"/>
  <c r="GI9" i="99" s="1"/>
  <c r="GJ9" i="99" s="1"/>
  <c r="GK9" i="99" s="1"/>
  <c r="GL9" i="99" s="1"/>
  <c r="GM9" i="99" s="1"/>
  <c r="GN9" i="99" s="1"/>
  <c r="GO9" i="99" s="1"/>
  <c r="GP9" i="99" s="1"/>
  <c r="GQ9" i="99" s="1"/>
  <c r="GR9" i="99" s="1"/>
  <c r="GS9" i="99" s="1"/>
  <c r="GT9" i="99" s="1"/>
  <c r="GU9" i="99" s="1"/>
  <c r="GV9" i="99" s="1"/>
  <c r="GW9" i="99" s="1"/>
  <c r="GX9" i="99" s="1"/>
  <c r="GY9" i="99" s="1"/>
  <c r="GZ9" i="99" s="1"/>
  <c r="HA9" i="99" s="1"/>
  <c r="HB9" i="99" s="1"/>
  <c r="HC9" i="99" s="1"/>
  <c r="HD9" i="99" s="1"/>
  <c r="HE9" i="99" s="1"/>
  <c r="FK9" i="99"/>
  <c r="FL9" i="99" s="1"/>
  <c r="FM9" i="99" s="1"/>
  <c r="FN9" i="99" s="1"/>
  <c r="FO9" i="99" s="1"/>
  <c r="FP9" i="99" s="1"/>
  <c r="FQ9" i="99" s="1"/>
  <c r="FR9" i="99" s="1"/>
  <c r="FS9" i="99" s="1"/>
  <c r="FT9" i="99" s="1"/>
  <c r="FU9" i="99" s="1"/>
  <c r="FV9" i="99" s="1"/>
  <c r="FW9" i="99" s="1"/>
  <c r="EU9" i="99"/>
  <c r="EV9" i="99" s="1"/>
  <c r="EW9" i="99" s="1"/>
  <c r="EX9" i="99" s="1"/>
  <c r="EY9" i="99" s="1"/>
  <c r="EZ9" i="99" s="1"/>
  <c r="FA9" i="99" s="1"/>
  <c r="FB9" i="99" s="1"/>
  <c r="FC9" i="99" s="1"/>
  <c r="FD9" i="99" s="1"/>
  <c r="FE9" i="99" s="1"/>
  <c r="FF9" i="99" s="1"/>
  <c r="FG9" i="99" s="1"/>
  <c r="FH9" i="99" s="1"/>
  <c r="FI9" i="99" s="1"/>
  <c r="EG9" i="99"/>
  <c r="EH9" i="99" s="1"/>
  <c r="EI9" i="99" s="1"/>
  <c r="EJ9" i="99" s="1"/>
  <c r="EK9" i="99" s="1"/>
  <c r="EL9" i="99" s="1"/>
  <c r="EM9" i="99" s="1"/>
  <c r="EN9" i="99" s="1"/>
  <c r="EO9" i="99" s="1"/>
  <c r="EP9" i="99" s="1"/>
  <c r="EQ9" i="99" s="1"/>
  <c r="ER9" i="99" s="1"/>
  <c r="ES9" i="99" s="1"/>
  <c r="DP9" i="99"/>
  <c r="DQ9" i="99" s="1"/>
  <c r="DR9" i="99" s="1"/>
  <c r="DS9" i="99" s="1"/>
  <c r="DT9" i="99" s="1"/>
  <c r="DU9" i="99" s="1"/>
  <c r="DV9" i="99" s="1"/>
  <c r="DW9" i="99" s="1"/>
  <c r="DX9" i="99" s="1"/>
  <c r="DY9" i="99" s="1"/>
  <c r="DZ9" i="99" s="1"/>
  <c r="EA9" i="99" s="1"/>
  <c r="EB9" i="99" s="1"/>
  <c r="EC9" i="99" s="1"/>
  <c r="ED9" i="99" s="1"/>
  <c r="EE9" i="99" s="1"/>
  <c r="CZ9" i="99"/>
  <c r="DA9" i="99" s="1"/>
  <c r="DB9" i="99" s="1"/>
  <c r="DC9" i="99" s="1"/>
  <c r="DD9" i="99" s="1"/>
  <c r="DE9" i="99" s="1"/>
  <c r="DF9" i="99" s="1"/>
  <c r="DG9" i="99" s="1"/>
  <c r="DH9" i="99" s="1"/>
  <c r="DI9" i="99" s="1"/>
  <c r="DJ9" i="99" s="1"/>
  <c r="DK9" i="99" s="1"/>
  <c r="DL9" i="99" s="1"/>
  <c r="DM9" i="99" s="1"/>
  <c r="DN9" i="99" s="1"/>
  <c r="CS9" i="99"/>
  <c r="CT9" i="99" s="1"/>
  <c r="CU9" i="99" s="1"/>
  <c r="CV9" i="99" s="1"/>
  <c r="CW9" i="99" s="1"/>
  <c r="CX9" i="99" s="1"/>
  <c r="CL9" i="99"/>
  <c r="CM9" i="99" s="1"/>
  <c r="CN9" i="99" s="1"/>
  <c r="CO9" i="99" s="1"/>
  <c r="CP9" i="99" s="1"/>
  <c r="CQ9" i="99" s="1"/>
  <c r="CB9" i="99"/>
  <c r="CC9" i="99" s="1"/>
  <c r="CD9" i="99" s="1"/>
  <c r="CE9" i="99" s="1"/>
  <c r="CF9" i="99" s="1"/>
  <c r="CG9" i="99" s="1"/>
  <c r="CH9" i="99" s="1"/>
  <c r="CI9" i="99" s="1"/>
  <c r="CJ9" i="99" s="1"/>
  <c r="BR9" i="99"/>
  <c r="BS9" i="99" s="1"/>
  <c r="BT9" i="99" s="1"/>
  <c r="BU9" i="99" s="1"/>
  <c r="BV9" i="99" s="1"/>
  <c r="BW9" i="99" s="1"/>
  <c r="BX9" i="99" s="1"/>
  <c r="BY9" i="99" s="1"/>
  <c r="BZ9" i="99" s="1"/>
  <c r="BK9" i="99"/>
  <c r="BL9" i="99" s="1"/>
  <c r="BM9" i="99" s="1"/>
  <c r="BN9" i="99" s="1"/>
  <c r="BO9" i="99" s="1"/>
  <c r="BP9" i="99" s="1"/>
  <c r="AI9" i="99"/>
  <c r="AJ9" i="99" s="1"/>
  <c r="AK9" i="99" s="1"/>
  <c r="AL9" i="99" s="1"/>
  <c r="AM9" i="99" s="1"/>
  <c r="AN9" i="99" s="1"/>
  <c r="AO9" i="99" s="1"/>
  <c r="AP9" i="99" s="1"/>
  <c r="AQ9" i="99" s="1"/>
  <c r="AR9" i="99" s="1"/>
  <c r="AS9" i="99" s="1"/>
  <c r="AT9" i="99" s="1"/>
  <c r="AU9" i="99" s="1"/>
  <c r="AV9" i="99" s="1"/>
  <c r="AW9" i="99" s="1"/>
  <c r="AX9" i="99" s="1"/>
  <c r="AY9" i="99" s="1"/>
  <c r="AZ9" i="99" s="1"/>
  <c r="BA9" i="99" s="1"/>
  <c r="BB9" i="99" s="1"/>
  <c r="BC9" i="99" s="1"/>
  <c r="BD9" i="99" s="1"/>
  <c r="BE9" i="99" s="1"/>
  <c r="BF9" i="99" s="1"/>
  <c r="BG9" i="99" s="1"/>
  <c r="BH9" i="99" s="1"/>
  <c r="BI9" i="99" s="1"/>
  <c r="I9" i="99"/>
  <c r="J9" i="99" s="1"/>
  <c r="K9" i="99" s="1"/>
  <c r="L9" i="99" s="1"/>
  <c r="M9" i="99" s="1"/>
  <c r="N9" i="99" s="1"/>
  <c r="O9" i="99" s="1"/>
  <c r="FY8" i="99"/>
  <c r="EG8" i="99"/>
  <c r="EH8" i="99" s="1"/>
  <c r="CZ8" i="99"/>
  <c r="CL8" i="99"/>
  <c r="BK8" i="99"/>
  <c r="I8" i="99"/>
  <c r="J8" i="99" s="1"/>
  <c r="E8" i="99"/>
  <c r="E13" i="99" s="1"/>
  <c r="E15" i="99" s="1"/>
  <c r="J14" i="97"/>
  <c r="I14" i="97"/>
  <c r="H14" i="97"/>
  <c r="G14" i="97"/>
  <c r="F14" i="97"/>
  <c r="E14" i="97"/>
  <c r="D14" i="97"/>
  <c r="C14" i="97"/>
  <c r="B14" i="97"/>
  <c r="B13" i="97"/>
  <c r="B15" i="97" s="1"/>
  <c r="C10" i="97"/>
  <c r="D10" i="97" s="1"/>
  <c r="E10" i="97" s="1"/>
  <c r="F10" i="97" s="1"/>
  <c r="G10" i="97" s="1"/>
  <c r="H10" i="97" s="1"/>
  <c r="I10" i="97" s="1"/>
  <c r="J10" i="97" s="1"/>
  <c r="C9" i="97"/>
  <c r="D9" i="97" s="1"/>
  <c r="E9" i="97" s="1"/>
  <c r="F9" i="97" s="1"/>
  <c r="G9" i="97" s="1"/>
  <c r="H9" i="97" s="1"/>
  <c r="I9" i="97" s="1"/>
  <c r="J9" i="97" s="1"/>
  <c r="C8" i="97"/>
  <c r="D8" i="97" s="1"/>
  <c r="Q10" i="99" l="1"/>
  <c r="BK13" i="99"/>
  <c r="BK15" i="99" s="1"/>
  <c r="F8" i="99"/>
  <c r="F13" i="99" s="1"/>
  <c r="F15" i="99" s="1"/>
  <c r="I13" i="99"/>
  <c r="I15" i="99" s="1"/>
  <c r="CZ13" i="99"/>
  <c r="CZ15" i="99" s="1"/>
  <c r="BL8" i="99"/>
  <c r="BL13" i="99" s="1"/>
  <c r="BL15" i="99" s="1"/>
  <c r="EG13" i="99"/>
  <c r="EG15" i="99" s="1"/>
  <c r="EH13" i="99"/>
  <c r="EH15" i="99" s="1"/>
  <c r="EI8" i="99"/>
  <c r="K8" i="99"/>
  <c r="J13" i="99"/>
  <c r="J15" i="99" s="1"/>
  <c r="P9" i="99"/>
  <c r="R9" i="99" s="1"/>
  <c r="S9" i="99" s="1"/>
  <c r="Q9" i="99"/>
  <c r="CM8" i="99"/>
  <c r="CL13" i="99"/>
  <c r="CL15" i="99" s="1"/>
  <c r="FY13" i="99"/>
  <c r="FY15" i="99" s="1"/>
  <c r="T10" i="99"/>
  <c r="DA8" i="99"/>
  <c r="FZ8" i="99"/>
  <c r="E8" i="97"/>
  <c r="D13" i="97"/>
  <c r="D15" i="97" s="1"/>
  <c r="C13" i="97"/>
  <c r="C15" i="97" s="1"/>
  <c r="BM8" i="99" l="1"/>
  <c r="BN8" i="99" s="1"/>
  <c r="GA8" i="99"/>
  <c r="FZ13" i="99"/>
  <c r="FZ15" i="99" s="1"/>
  <c r="CN8" i="99"/>
  <c r="CM13" i="99"/>
  <c r="CM15" i="99" s="1"/>
  <c r="DA13" i="99"/>
  <c r="DA15" i="99" s="1"/>
  <c r="DB8" i="99"/>
  <c r="T9" i="99"/>
  <c r="V9" i="99" s="1"/>
  <c r="W9" i="99" s="1"/>
  <c r="X9" i="99" s="1"/>
  <c r="Y9" i="99" s="1"/>
  <c r="Z9" i="99" s="1"/>
  <c r="AA9" i="99" s="1"/>
  <c r="AB9" i="99" s="1"/>
  <c r="AC9" i="99" s="1"/>
  <c r="AD9" i="99" s="1"/>
  <c r="AE9" i="99" s="1"/>
  <c r="AF9" i="99" s="1"/>
  <c r="AG9" i="99" s="1"/>
  <c r="U9" i="99"/>
  <c r="L8" i="99"/>
  <c r="K13" i="99"/>
  <c r="K15" i="99" s="1"/>
  <c r="EI13" i="99"/>
  <c r="EI15" i="99" s="1"/>
  <c r="EJ8" i="99"/>
  <c r="F8" i="97"/>
  <c r="E13" i="97"/>
  <c r="E15" i="97" s="1"/>
  <c r="BM13" i="99" l="1"/>
  <c r="BM15" i="99" s="1"/>
  <c r="M8" i="99"/>
  <c r="L13" i="99"/>
  <c r="L15" i="99" s="1"/>
  <c r="EJ13" i="99"/>
  <c r="EJ15" i="99" s="1"/>
  <c r="EK8" i="99"/>
  <c r="BN13" i="99"/>
  <c r="BN15" i="99" s="1"/>
  <c r="BO8" i="99"/>
  <c r="DC8" i="99"/>
  <c r="DB13" i="99"/>
  <c r="DB15" i="99" s="1"/>
  <c r="CN13" i="99"/>
  <c r="CN15" i="99" s="1"/>
  <c r="CO8" i="99"/>
  <c r="GB8" i="99"/>
  <c r="GA13" i="99"/>
  <c r="GA15" i="99" s="1"/>
  <c r="G8" i="97"/>
  <c r="F13" i="97"/>
  <c r="F15" i="97" s="1"/>
  <c r="GC8" i="99" l="1"/>
  <c r="GB13" i="99"/>
  <c r="GB15" i="99" s="1"/>
  <c r="DD8" i="99"/>
  <c r="DC13" i="99"/>
  <c r="DC15" i="99" s="1"/>
  <c r="BO13" i="99"/>
  <c r="BO15" i="99" s="1"/>
  <c r="BP8" i="99"/>
  <c r="CP8" i="99"/>
  <c r="CO13" i="99"/>
  <c r="CO15" i="99" s="1"/>
  <c r="EK13" i="99"/>
  <c r="EK15" i="99" s="1"/>
  <c r="EL8" i="99"/>
  <c r="M13" i="99"/>
  <c r="M15" i="99" s="1"/>
  <c r="N8" i="99"/>
  <c r="H8" i="97"/>
  <c r="G13" i="97"/>
  <c r="G15" i="97" s="1"/>
  <c r="BP13" i="99" l="1"/>
  <c r="BP15" i="99" s="1"/>
  <c r="BQ8" i="99"/>
  <c r="N13" i="99"/>
  <c r="N15" i="99" s="1"/>
  <c r="O8" i="99"/>
  <c r="EM8" i="99"/>
  <c r="EL13" i="99"/>
  <c r="EL15" i="99" s="1"/>
  <c r="CQ8" i="99"/>
  <c r="CP13" i="99"/>
  <c r="CP15" i="99" s="1"/>
  <c r="DE8" i="99"/>
  <c r="DD13" i="99"/>
  <c r="DD15" i="99" s="1"/>
  <c r="GC13" i="99"/>
  <c r="GC15" i="99" s="1"/>
  <c r="GD8" i="99"/>
  <c r="H13" i="97"/>
  <c r="H15" i="97" s="1"/>
  <c r="I8" i="97"/>
  <c r="GE8" i="99" l="1"/>
  <c r="GD13" i="99"/>
  <c r="GD15" i="99" s="1"/>
  <c r="DF8" i="99"/>
  <c r="DE13" i="99"/>
  <c r="DE15" i="99" s="1"/>
  <c r="CQ13" i="99"/>
  <c r="CQ15" i="99" s="1"/>
  <c r="CR8" i="99"/>
  <c r="EN8" i="99"/>
  <c r="EM13" i="99"/>
  <c r="EM15" i="99" s="1"/>
  <c r="Q8" i="99"/>
  <c r="Q13" i="99" s="1"/>
  <c r="Q15" i="99" s="1"/>
  <c r="P8" i="99"/>
  <c r="O13" i="99"/>
  <c r="O15" i="99" s="1"/>
  <c r="BQ13" i="99"/>
  <c r="BQ15" i="99" s="1"/>
  <c r="BR8" i="99"/>
  <c r="I13" i="97"/>
  <c r="I15" i="97" s="1"/>
  <c r="J8" i="97"/>
  <c r="J13" i="97" s="1"/>
  <c r="J15" i="97" s="1"/>
  <c r="CR13" i="99" l="1"/>
  <c r="CR15" i="99" s="1"/>
  <c r="CS8" i="99"/>
  <c r="BR13" i="99"/>
  <c r="BR15" i="99" s="1"/>
  <c r="BS8" i="99"/>
  <c r="EO8" i="99"/>
  <c r="EN13" i="99"/>
  <c r="EN15" i="99" s="1"/>
  <c r="P13" i="99"/>
  <c r="P15" i="99" s="1"/>
  <c r="R8" i="99"/>
  <c r="DG8" i="99"/>
  <c r="DF13" i="99"/>
  <c r="DF15" i="99" s="1"/>
  <c r="GE13" i="99"/>
  <c r="GE15" i="99" s="1"/>
  <c r="GF8" i="99"/>
  <c r="DH8" i="99" l="1"/>
  <c r="DG13" i="99"/>
  <c r="DG15" i="99" s="1"/>
  <c r="GG8" i="99"/>
  <c r="GF13" i="99"/>
  <c r="GF15" i="99" s="1"/>
  <c r="EO13" i="99"/>
  <c r="EO15" i="99" s="1"/>
  <c r="EP8" i="99"/>
  <c r="BS13" i="99"/>
  <c r="BS15" i="99" s="1"/>
  <c r="BT8" i="99"/>
  <c r="CS13" i="99"/>
  <c r="CS15" i="99" s="1"/>
  <c r="CT8" i="99"/>
  <c r="R13" i="99"/>
  <c r="R15" i="99" s="1"/>
  <c r="S8" i="99"/>
  <c r="S13" i="99" l="1"/>
  <c r="S15" i="99" s="1"/>
  <c r="U8" i="99"/>
  <c r="U13" i="99" s="1"/>
  <c r="U15" i="99" s="1"/>
  <c r="T8" i="99"/>
  <c r="BU8" i="99"/>
  <c r="BT13" i="99"/>
  <c r="BT15" i="99" s="1"/>
  <c r="EP13" i="99"/>
  <c r="EP15" i="99" s="1"/>
  <c r="EQ8" i="99"/>
  <c r="CT13" i="99"/>
  <c r="CT15" i="99" s="1"/>
  <c r="CU8" i="99"/>
  <c r="GH8" i="99"/>
  <c r="GG13" i="99"/>
  <c r="GG15" i="99" s="1"/>
  <c r="DH13" i="99"/>
  <c r="DH15" i="99" s="1"/>
  <c r="DI8" i="99"/>
  <c r="DI13" i="99" l="1"/>
  <c r="DI15" i="99" s="1"/>
  <c r="DJ8" i="99"/>
  <c r="BU13" i="99"/>
  <c r="BU15" i="99" s="1"/>
  <c r="BV8" i="99"/>
  <c r="V8" i="99"/>
  <c r="T13" i="99"/>
  <c r="T15" i="99" s="1"/>
  <c r="CU13" i="99"/>
  <c r="CU15" i="99" s="1"/>
  <c r="CV8" i="99"/>
  <c r="GI8" i="99"/>
  <c r="GH13" i="99"/>
  <c r="GH15" i="99" s="1"/>
  <c r="EQ13" i="99"/>
  <c r="EQ15" i="99" s="1"/>
  <c r="ER8" i="99"/>
  <c r="GI13" i="99" l="1"/>
  <c r="GI15" i="99" s="1"/>
  <c r="GJ8" i="99"/>
  <c r="CW8" i="99"/>
  <c r="CV13" i="99"/>
  <c r="CV15" i="99" s="1"/>
  <c r="BW8" i="99"/>
  <c r="BV13" i="99"/>
  <c r="BV15" i="99" s="1"/>
  <c r="ES8" i="99"/>
  <c r="ER13" i="99"/>
  <c r="ER15" i="99" s="1"/>
  <c r="W8" i="99"/>
  <c r="V13" i="99"/>
  <c r="V15" i="99" s="1"/>
  <c r="DJ13" i="99"/>
  <c r="DJ15" i="99" s="1"/>
  <c r="DK8" i="99"/>
  <c r="DK13" i="99" l="1"/>
  <c r="DK15" i="99" s="1"/>
  <c r="DL8" i="99"/>
  <c r="X8" i="99"/>
  <c r="W13" i="99"/>
  <c r="W15" i="99" s="1"/>
  <c r="ES13" i="99"/>
  <c r="ES15" i="99" s="1"/>
  <c r="ET8" i="99"/>
  <c r="BX8" i="99"/>
  <c r="BW13" i="99"/>
  <c r="BW15" i="99" s="1"/>
  <c r="CW13" i="99"/>
  <c r="CW15" i="99" s="1"/>
  <c r="CX8" i="99"/>
  <c r="CX13" i="99" s="1"/>
  <c r="CX15" i="99" s="1"/>
  <c r="GJ13" i="99"/>
  <c r="GJ15" i="99" s="1"/>
  <c r="GK8" i="99"/>
  <c r="GL8" i="99" l="1"/>
  <c r="GK13" i="99"/>
  <c r="GK15" i="99" s="1"/>
  <c r="BY8" i="99"/>
  <c r="BX13" i="99"/>
  <c r="BX15" i="99" s="1"/>
  <c r="ET13" i="99"/>
  <c r="ET15" i="99" s="1"/>
  <c r="EU8" i="99"/>
  <c r="X13" i="99"/>
  <c r="X15" i="99" s="1"/>
  <c r="Y8" i="99"/>
  <c r="DL13" i="99"/>
  <c r="DL15" i="99" s="1"/>
  <c r="DM8" i="99"/>
  <c r="Y13" i="99" l="1"/>
  <c r="Y15" i="99" s="1"/>
  <c r="Z8" i="99"/>
  <c r="EU13" i="99"/>
  <c r="EU15" i="99" s="1"/>
  <c r="EV8" i="99"/>
  <c r="DM13" i="99"/>
  <c r="DM15" i="99" s="1"/>
  <c r="DN8" i="99"/>
  <c r="BZ8" i="99"/>
  <c r="BY13" i="99"/>
  <c r="BY15" i="99" s="1"/>
  <c r="GL13" i="99"/>
  <c r="GL15" i="99" s="1"/>
  <c r="GM8" i="99"/>
  <c r="CA8" i="99" l="1"/>
  <c r="BZ13" i="99"/>
  <c r="BZ15" i="99" s="1"/>
  <c r="DN13" i="99"/>
  <c r="DN15" i="99" s="1"/>
  <c r="DO8" i="99"/>
  <c r="GM13" i="99"/>
  <c r="GM15" i="99" s="1"/>
  <c r="GN8" i="99"/>
  <c r="Z13" i="99"/>
  <c r="Z15" i="99" s="1"/>
  <c r="AA8" i="99"/>
  <c r="EW8" i="99"/>
  <c r="EV13" i="99"/>
  <c r="EV15" i="99" s="1"/>
  <c r="EX8" i="99" l="1"/>
  <c r="EW13" i="99"/>
  <c r="EW15" i="99" s="1"/>
  <c r="GO8" i="99"/>
  <c r="GN13" i="99"/>
  <c r="GN15" i="99" s="1"/>
  <c r="AB8" i="99"/>
  <c r="AA13" i="99"/>
  <c r="AA15" i="99" s="1"/>
  <c r="DO13" i="99"/>
  <c r="DO15" i="99" s="1"/>
  <c r="DP8" i="99"/>
  <c r="CA13" i="99"/>
  <c r="CA15" i="99" s="1"/>
  <c r="CB8" i="99"/>
  <c r="CB13" i="99" l="1"/>
  <c r="CB15" i="99" s="1"/>
  <c r="CC8" i="99"/>
  <c r="DP13" i="99"/>
  <c r="DP15" i="99" s="1"/>
  <c r="DQ8" i="99"/>
  <c r="AC8" i="99"/>
  <c r="AB13" i="99"/>
  <c r="AB15" i="99" s="1"/>
  <c r="GO13" i="99"/>
  <c r="GO15" i="99" s="1"/>
  <c r="GP8" i="99"/>
  <c r="EY8" i="99"/>
  <c r="EX13" i="99"/>
  <c r="EX15" i="99" s="1"/>
  <c r="EZ8" i="99" l="1"/>
  <c r="EY13" i="99"/>
  <c r="EY15" i="99" s="1"/>
  <c r="GQ8" i="99"/>
  <c r="GP13" i="99"/>
  <c r="GP15" i="99" s="1"/>
  <c r="AD8" i="99"/>
  <c r="AC13" i="99"/>
  <c r="AC15" i="99" s="1"/>
  <c r="DQ13" i="99"/>
  <c r="DQ15" i="99" s="1"/>
  <c r="DR8" i="99"/>
  <c r="CC13" i="99"/>
  <c r="CC15" i="99" s="1"/>
  <c r="CD8" i="99"/>
  <c r="DR13" i="99" l="1"/>
  <c r="DR15" i="99" s="1"/>
  <c r="DS8" i="99"/>
  <c r="CD13" i="99"/>
  <c r="CD15" i="99" s="1"/>
  <c r="CE8" i="99"/>
  <c r="AE8" i="99"/>
  <c r="AD13" i="99"/>
  <c r="AD15" i="99" s="1"/>
  <c r="GR8" i="99"/>
  <c r="GQ13" i="99"/>
  <c r="GQ15" i="99" s="1"/>
  <c r="FA8" i="99"/>
  <c r="EZ13" i="99"/>
  <c r="EZ15" i="99" s="1"/>
  <c r="GR13" i="99" l="1"/>
  <c r="GR15" i="99" s="1"/>
  <c r="GS8" i="99"/>
  <c r="CE13" i="99"/>
  <c r="CE15" i="99" s="1"/>
  <c r="CF8" i="99"/>
  <c r="FB8" i="99"/>
  <c r="FA13" i="99"/>
  <c r="FA15" i="99" s="1"/>
  <c r="DT8" i="99"/>
  <c r="DS13" i="99"/>
  <c r="DS15" i="99" s="1"/>
  <c r="AE13" i="99"/>
  <c r="AE15" i="99" s="1"/>
  <c r="AF8" i="99"/>
  <c r="DU8" i="99" l="1"/>
  <c r="DT13" i="99"/>
  <c r="DT15" i="99" s="1"/>
  <c r="AF13" i="99"/>
  <c r="AF15" i="99" s="1"/>
  <c r="AG8" i="99"/>
  <c r="CF13" i="99"/>
  <c r="CF15" i="99" s="1"/>
  <c r="CG8" i="99"/>
  <c r="FB13" i="99"/>
  <c r="FB15" i="99" s="1"/>
  <c r="FC8" i="99"/>
  <c r="GT8" i="99"/>
  <c r="GS13" i="99"/>
  <c r="GS15" i="99" s="1"/>
  <c r="GU8" i="99" l="1"/>
  <c r="GT13" i="99"/>
  <c r="GT15" i="99" s="1"/>
  <c r="CG13" i="99"/>
  <c r="CG15" i="99" s="1"/>
  <c r="CH8" i="99"/>
  <c r="AG13" i="99"/>
  <c r="AG15" i="99" s="1"/>
  <c r="AH8" i="99"/>
  <c r="FC13" i="99"/>
  <c r="FC15" i="99" s="1"/>
  <c r="FD8" i="99"/>
  <c r="DV8" i="99"/>
  <c r="DU13" i="99"/>
  <c r="DU15" i="99" s="1"/>
  <c r="DW8" i="99" l="1"/>
  <c r="DV13" i="99"/>
  <c r="DV15" i="99" s="1"/>
  <c r="FE8" i="99"/>
  <c r="FD13" i="99"/>
  <c r="FD15" i="99" s="1"/>
  <c r="AH13" i="99"/>
  <c r="AH15" i="99" s="1"/>
  <c r="AI8" i="99"/>
  <c r="CI8" i="99"/>
  <c r="CH13" i="99"/>
  <c r="CH15" i="99" s="1"/>
  <c r="GV8" i="99"/>
  <c r="GU13" i="99"/>
  <c r="GU15" i="99" s="1"/>
  <c r="GW8" i="99" l="1"/>
  <c r="GV13" i="99"/>
  <c r="GV15" i="99" s="1"/>
  <c r="CI13" i="99"/>
  <c r="CI15" i="99" s="1"/>
  <c r="CJ8" i="99"/>
  <c r="CJ13" i="99" s="1"/>
  <c r="CJ15" i="99" s="1"/>
  <c r="AI13" i="99"/>
  <c r="AI15" i="99" s="1"/>
  <c r="AJ8" i="99"/>
  <c r="FE13" i="99"/>
  <c r="FE15" i="99" s="1"/>
  <c r="FF8" i="99"/>
  <c r="DX8" i="99"/>
  <c r="DW13" i="99"/>
  <c r="DW15" i="99" s="1"/>
  <c r="DX13" i="99" l="1"/>
  <c r="DX15" i="99" s="1"/>
  <c r="DY8" i="99"/>
  <c r="FF13" i="99"/>
  <c r="FF15" i="99" s="1"/>
  <c r="FG8" i="99"/>
  <c r="AJ13" i="99"/>
  <c r="AJ15" i="99" s="1"/>
  <c r="AK8" i="99"/>
  <c r="GX8" i="99"/>
  <c r="GW13" i="99"/>
  <c r="GW15" i="99" s="1"/>
  <c r="GY8" i="99" l="1"/>
  <c r="GX13" i="99"/>
  <c r="GX15" i="99" s="1"/>
  <c r="AK13" i="99"/>
  <c r="AK15" i="99" s="1"/>
  <c r="AL8" i="99"/>
  <c r="FG13" i="99"/>
  <c r="FG15" i="99" s="1"/>
  <c r="FH8" i="99"/>
  <c r="DY13" i="99"/>
  <c r="DY15" i="99" s="1"/>
  <c r="DZ8" i="99"/>
  <c r="AM8" i="99" l="1"/>
  <c r="AL13" i="99"/>
  <c r="AL15" i="99" s="1"/>
  <c r="DZ13" i="99"/>
  <c r="DZ15" i="99" s="1"/>
  <c r="EA8" i="99"/>
  <c r="FH13" i="99"/>
  <c r="FH15" i="99" s="1"/>
  <c r="FI8" i="99"/>
  <c r="GZ8" i="99"/>
  <c r="GY13" i="99"/>
  <c r="GY15" i="99" s="1"/>
  <c r="GZ13" i="99" l="1"/>
  <c r="GZ15" i="99" s="1"/>
  <c r="HA8" i="99"/>
  <c r="FI13" i="99"/>
  <c r="FI15" i="99" s="1"/>
  <c r="FJ8" i="99"/>
  <c r="EA13" i="99"/>
  <c r="EA15" i="99" s="1"/>
  <c r="EB8" i="99"/>
  <c r="AN8" i="99"/>
  <c r="AM13" i="99"/>
  <c r="AM15" i="99" s="1"/>
  <c r="AO8" i="99" l="1"/>
  <c r="AN13" i="99"/>
  <c r="AN15" i="99" s="1"/>
  <c r="EB13" i="99"/>
  <c r="EB15" i="99" s="1"/>
  <c r="EC8" i="99"/>
  <c r="FK8" i="99"/>
  <c r="FJ13" i="99"/>
  <c r="FJ15" i="99" s="1"/>
  <c r="HB8" i="99"/>
  <c r="HA13" i="99"/>
  <c r="HA15" i="99" s="1"/>
  <c r="HB13" i="99" l="1"/>
  <c r="HB15" i="99" s="1"/>
  <c r="HC8" i="99"/>
  <c r="FK13" i="99"/>
  <c r="FK15" i="99" s="1"/>
  <c r="FL8" i="99"/>
  <c r="EC13" i="99"/>
  <c r="EC15" i="99" s="1"/>
  <c r="ED8" i="99"/>
  <c r="AP8" i="99"/>
  <c r="AO13" i="99"/>
  <c r="AO15" i="99" s="1"/>
  <c r="AQ8" i="99" l="1"/>
  <c r="AP13" i="99"/>
  <c r="AP15" i="99" s="1"/>
  <c r="EE8" i="99"/>
  <c r="EE13" i="99" s="1"/>
  <c r="EE15" i="99" s="1"/>
  <c r="ED13" i="99"/>
  <c r="ED15" i="99" s="1"/>
  <c r="HC13" i="99"/>
  <c r="HC15" i="99" s="1"/>
  <c r="HD8" i="99"/>
  <c r="FM8" i="99"/>
  <c r="FL13" i="99"/>
  <c r="FL15" i="99" s="1"/>
  <c r="FM13" i="99" l="1"/>
  <c r="FM15" i="99" s="1"/>
  <c r="FN8" i="99"/>
  <c r="HD13" i="99"/>
  <c r="HD15" i="99" s="1"/>
  <c r="HE8" i="99"/>
  <c r="AQ13" i="99"/>
  <c r="AQ15" i="99" s="1"/>
  <c r="AR8" i="99"/>
  <c r="AS8" i="99" l="1"/>
  <c r="AR13" i="99"/>
  <c r="AR15" i="99" s="1"/>
  <c r="FN13" i="99"/>
  <c r="FN15" i="99" s="1"/>
  <c r="FO8" i="99"/>
  <c r="HE13" i="99"/>
  <c r="HE15" i="99" s="1"/>
  <c r="HF8" i="99"/>
  <c r="HF13" i="99" l="1"/>
  <c r="HF15" i="99" s="1"/>
  <c r="HG8" i="99"/>
  <c r="FP8" i="99"/>
  <c r="FO13" i="99"/>
  <c r="FO15" i="99" s="1"/>
  <c r="AS13" i="99"/>
  <c r="AS15" i="99" s="1"/>
  <c r="AT8" i="99"/>
  <c r="FQ8" i="99" l="1"/>
  <c r="FP13" i="99"/>
  <c r="FP15" i="99" s="1"/>
  <c r="HG13" i="99"/>
  <c r="HG15" i="99" s="1"/>
  <c r="HH8" i="99"/>
  <c r="AT13" i="99"/>
  <c r="AT15" i="99" s="1"/>
  <c r="AU8" i="99"/>
  <c r="FR8" i="99" l="1"/>
  <c r="FQ13" i="99"/>
  <c r="FQ15" i="99" s="1"/>
  <c r="AU13" i="99"/>
  <c r="AU15" i="99" s="1"/>
  <c r="AV8" i="99"/>
  <c r="HI8" i="99"/>
  <c r="HH13" i="99"/>
  <c r="HH15" i="99" s="1"/>
  <c r="HJ8" i="99" l="1"/>
  <c r="HI13" i="99"/>
  <c r="HI15" i="99" s="1"/>
  <c r="AV13" i="99"/>
  <c r="AV15" i="99" s="1"/>
  <c r="AW8" i="99"/>
  <c r="FR13" i="99"/>
  <c r="FR15" i="99" s="1"/>
  <c r="FS8" i="99"/>
  <c r="FT8" i="99" l="1"/>
  <c r="FS13" i="99"/>
  <c r="FS15" i="99" s="1"/>
  <c r="AW13" i="99"/>
  <c r="AW15" i="99" s="1"/>
  <c r="AX8" i="99"/>
  <c r="HJ13" i="99"/>
  <c r="HJ15" i="99" s="1"/>
  <c r="HK8" i="99"/>
  <c r="AX13" i="99" l="1"/>
  <c r="AX15" i="99" s="1"/>
  <c r="AY8" i="99"/>
  <c r="HL8" i="99"/>
  <c r="HK13" i="99"/>
  <c r="HK15" i="99" s="1"/>
  <c r="FU8" i="99"/>
  <c r="FT13" i="99"/>
  <c r="FT15" i="99" s="1"/>
  <c r="HM8" i="99" l="1"/>
  <c r="HL13" i="99"/>
  <c r="HL15" i="99" s="1"/>
  <c r="FU13" i="99"/>
  <c r="FU15" i="99" s="1"/>
  <c r="FV8" i="99"/>
  <c r="AY13" i="99"/>
  <c r="AY15" i="99" s="1"/>
  <c r="AZ8" i="99"/>
  <c r="AZ13" i="99" l="1"/>
  <c r="AZ15" i="99" s="1"/>
  <c r="BA8" i="99"/>
  <c r="FV13" i="99"/>
  <c r="FV15" i="99" s="1"/>
  <c r="FW8" i="99"/>
  <c r="FW13" i="99" s="1"/>
  <c r="FW15" i="99" s="1"/>
  <c r="HN8" i="99"/>
  <c r="HM13" i="99"/>
  <c r="HM15" i="99" s="1"/>
  <c r="HO8" i="99" l="1"/>
  <c r="HN13" i="99"/>
  <c r="HN15" i="99" s="1"/>
  <c r="BA13" i="99"/>
  <c r="BA15" i="99" s="1"/>
  <c r="BB8" i="99"/>
  <c r="BC8" i="99" l="1"/>
  <c r="BB13" i="99"/>
  <c r="BB15" i="99" s="1"/>
  <c r="HP8" i="99"/>
  <c r="HO13" i="99"/>
  <c r="HO15" i="99" s="1"/>
  <c r="HP13" i="99" l="1"/>
  <c r="HP15" i="99" s="1"/>
  <c r="HQ8" i="99"/>
  <c r="BD8" i="99"/>
  <c r="BC13" i="99"/>
  <c r="BC15" i="99" s="1"/>
  <c r="BE8" i="99" l="1"/>
  <c r="BD13" i="99"/>
  <c r="BD15" i="99" s="1"/>
  <c r="HR8" i="99"/>
  <c r="HQ13" i="99"/>
  <c r="HQ15" i="99" s="1"/>
  <c r="HR13" i="99" l="1"/>
  <c r="HR15" i="99" s="1"/>
  <c r="HS8" i="99"/>
  <c r="BF8" i="99"/>
  <c r="BE13" i="99"/>
  <c r="BE15" i="99" s="1"/>
  <c r="BG8" i="99" l="1"/>
  <c r="BF13" i="99"/>
  <c r="BF15" i="99" s="1"/>
  <c r="HS13" i="99"/>
  <c r="HS15" i="99" s="1"/>
  <c r="HT8" i="99"/>
  <c r="HT13" i="99" l="1"/>
  <c r="HT15" i="99" s="1"/>
  <c r="HU8" i="99"/>
  <c r="BH8" i="99"/>
  <c r="BG13" i="99"/>
  <c r="BG15" i="99" s="1"/>
  <c r="BI8" i="99" l="1"/>
  <c r="BI13" i="99" s="1"/>
  <c r="BI15" i="99" s="1"/>
  <c r="BH13" i="99"/>
  <c r="BH15" i="99" s="1"/>
  <c r="HU13" i="99"/>
  <c r="HU15" i="99" s="1"/>
  <c r="HV8" i="99"/>
  <c r="HV13" i="99" l="1"/>
  <c r="HV15" i="99" s="1"/>
  <c r="HW8" i="99"/>
  <c r="HW13" i="99" l="1"/>
  <c r="HW15" i="99" s="1"/>
  <c r="HX8" i="99"/>
  <c r="HX13" i="99" l="1"/>
  <c r="HX15" i="99" s="1"/>
  <c r="HY8" i="99"/>
  <c r="HY13" i="99" l="1"/>
  <c r="HY15" i="99" s="1"/>
  <c r="HZ8" i="99"/>
  <c r="HZ13" i="99" l="1"/>
  <c r="HZ15" i="99" s="1"/>
  <c r="IA8" i="99"/>
  <c r="IA13" i="99" l="1"/>
  <c r="IA15" i="99" s="1"/>
  <c r="IB8" i="99"/>
  <c r="IC8" i="99" l="1"/>
  <c r="IB13" i="99"/>
  <c r="IB15" i="99" s="1"/>
  <c r="ID8" i="99" l="1"/>
  <c r="IC13" i="99"/>
  <c r="IC15" i="99" s="1"/>
  <c r="ID13" i="99" l="1"/>
  <c r="ID15" i="99" s="1"/>
  <c r="IE8" i="99"/>
  <c r="IE13" i="99" l="1"/>
  <c r="IE15" i="99" s="1"/>
  <c r="IF8" i="99"/>
  <c r="IF13" i="99" l="1"/>
  <c r="IF15" i="99" s="1"/>
  <c r="IG8" i="99"/>
  <c r="IH8" i="99" l="1"/>
  <c r="IG13" i="99"/>
  <c r="IG15" i="99" s="1"/>
  <c r="IH13" i="99" l="1"/>
  <c r="IH15" i="99" s="1"/>
  <c r="II8" i="99"/>
  <c r="II13" i="99" l="1"/>
  <c r="II15" i="99" s="1"/>
  <c r="IJ8" i="99"/>
  <c r="IK8" i="99" l="1"/>
  <c r="IJ13" i="99"/>
  <c r="IJ15" i="99" s="1"/>
  <c r="IK13" i="99" l="1"/>
  <c r="IK15" i="99" s="1"/>
  <c r="IL8" i="99"/>
  <c r="IM8" i="99" l="1"/>
  <c r="IM13" i="99" s="1"/>
  <c r="IM15" i="99" s="1"/>
  <c r="IL13" i="99"/>
  <c r="IL15" i="99" s="1"/>
  <c r="P8" i="79" l="1"/>
  <c r="B7" i="93"/>
  <c r="O88" i="78"/>
  <c r="B3" i="81"/>
  <c r="B3" i="78"/>
  <c r="H72" i="66"/>
  <c r="G8" i="82" l="1"/>
  <c r="F6" i="75"/>
  <c r="G8" i="52"/>
  <c r="G8" i="79"/>
  <c r="N72" i="66"/>
  <c r="G10" i="82" l="1"/>
  <c r="G10" i="79"/>
  <c r="G10" i="52"/>
  <c r="F8" i="75"/>
  <c r="H10" i="75"/>
  <c r="G10" i="75"/>
  <c r="F10" i="75"/>
  <c r="I12" i="82"/>
  <c r="H12" i="82"/>
  <c r="F21" i="99" s="1"/>
  <c r="G12" i="82"/>
  <c r="I12" i="79"/>
  <c r="H12" i="79"/>
  <c r="F20" i="99" s="1"/>
  <c r="G12" i="79"/>
  <c r="I12" i="52"/>
  <c r="G12" i="52"/>
  <c r="H12" i="52"/>
  <c r="F19" i="99" s="1"/>
  <c r="G118" i="66"/>
  <c r="O81" i="44"/>
  <c r="A21" i="99"/>
  <c r="A20" i="99"/>
  <c r="A19" i="99"/>
  <c r="A19" i="97" s="1"/>
  <c r="B102" i="66"/>
  <c r="B81" i="66"/>
  <c r="D103" i="66"/>
  <c r="A78" i="97" l="1"/>
  <c r="A74" i="97"/>
  <c r="A70" i="97"/>
  <c r="A66" i="97"/>
  <c r="A62" i="97"/>
  <c r="A76" i="97"/>
  <c r="A72" i="97"/>
  <c r="A68" i="97"/>
  <c r="A64" i="97"/>
  <c r="A60" i="97"/>
  <c r="A77" i="97"/>
  <c r="A75" i="97"/>
  <c r="A71" i="97"/>
  <c r="A69" i="97"/>
  <c r="A67" i="97"/>
  <c r="A65" i="97"/>
  <c r="A63" i="97"/>
  <c r="A61" i="97"/>
  <c r="A59" i="97"/>
  <c r="A73" i="97"/>
  <c r="A38" i="97"/>
  <c r="A34" i="97"/>
  <c r="A30" i="97"/>
  <c r="A26" i="97"/>
  <c r="A22" i="97"/>
  <c r="A36" i="97"/>
  <c r="A32" i="97"/>
  <c r="A28" i="97"/>
  <c r="A24" i="97"/>
  <c r="A20" i="97"/>
  <c r="A37" i="97"/>
  <c r="A35" i="97"/>
  <c r="A33" i="97"/>
  <c r="A31" i="97"/>
  <c r="A29" i="97"/>
  <c r="A27" i="97"/>
  <c r="A25" i="97"/>
  <c r="A23" i="97"/>
  <c r="A21" i="97"/>
  <c r="A58" i="97"/>
  <c r="A54" i="97"/>
  <c r="A50" i="97"/>
  <c r="A46" i="97"/>
  <c r="A42" i="97"/>
  <c r="A56" i="97"/>
  <c r="A52" i="97"/>
  <c r="A48" i="97"/>
  <c r="A44" i="97"/>
  <c r="A40" i="97"/>
  <c r="A57" i="97"/>
  <c r="A55" i="97"/>
  <c r="A53" i="97"/>
  <c r="A51" i="97"/>
  <c r="A49" i="97"/>
  <c r="A47" i="97"/>
  <c r="A45" i="97"/>
  <c r="A43" i="97"/>
  <c r="A41" i="97"/>
  <c r="A39" i="97"/>
  <c r="I53" i="82"/>
  <c r="AL21" i="99" s="1"/>
  <c r="B126" i="66"/>
  <c r="O9" i="75"/>
  <c r="O8" i="75"/>
  <c r="O7" i="75"/>
  <c r="O6" i="75"/>
  <c r="P11" i="82"/>
  <c r="P10" i="82"/>
  <c r="P9" i="82"/>
  <c r="P8" i="82"/>
  <c r="P11" i="79"/>
  <c r="P10" i="79"/>
  <c r="P9" i="79"/>
  <c r="P11" i="52"/>
  <c r="P10" i="52"/>
  <c r="P9" i="52"/>
  <c r="P8" i="52"/>
  <c r="F11" i="75"/>
  <c r="F9" i="75"/>
  <c r="H65" i="82"/>
  <c r="H66" i="82"/>
  <c r="H64" i="82"/>
  <c r="D74" i="82"/>
  <c r="D73" i="82"/>
  <c r="D72" i="82"/>
  <c r="D33" i="82"/>
  <c r="F351" i="52"/>
  <c r="F351" i="82"/>
  <c r="F350" i="82"/>
  <c r="F351" i="79"/>
  <c r="H30" i="81"/>
  <c r="H30" i="78"/>
  <c r="H30" i="44"/>
  <c r="G13" i="79"/>
  <c r="G20" i="99" s="1"/>
  <c r="G13" i="82"/>
  <c r="G21" i="99" s="1"/>
  <c r="G11" i="82"/>
  <c r="E21" i="99" s="1"/>
  <c r="L30" i="81"/>
  <c r="G30" i="81"/>
  <c r="C30" i="81"/>
  <c r="G11" i="79"/>
  <c r="E20" i="99" s="1"/>
  <c r="L30" i="78"/>
  <c r="G30" i="78"/>
  <c r="C30" i="78"/>
  <c r="G13" i="52"/>
  <c r="G19" i="99" s="1"/>
  <c r="G11" i="52"/>
  <c r="E19" i="99" s="1"/>
  <c r="L30" i="44"/>
  <c r="C30" i="44"/>
  <c r="O49" i="93" l="1"/>
  <c r="BO21" i="99"/>
  <c r="O47" i="93"/>
  <c r="BN21" i="99"/>
  <c r="BM45" i="93"/>
  <c r="BQ21" i="99"/>
  <c r="BM47" i="93"/>
  <c r="BT21" i="99"/>
  <c r="BM49" i="93"/>
  <c r="BW21" i="99"/>
  <c r="O45" i="93"/>
  <c r="BM21" i="99"/>
  <c r="AM128" i="93"/>
  <c r="BP128" i="93"/>
  <c r="CC128" i="93"/>
  <c r="AY128" i="93"/>
  <c r="V128" i="93"/>
  <c r="H128" i="93"/>
  <c r="CD128" i="92"/>
  <c r="BP128" i="92"/>
  <c r="AY128" i="92"/>
  <c r="AM128" i="92"/>
  <c r="V128" i="92"/>
  <c r="G128" i="92"/>
  <c r="G30" i="44" l="1"/>
  <c r="O97" i="44"/>
  <c r="O88" i="44"/>
  <c r="O136" i="44"/>
  <c r="O127" i="44"/>
  <c r="O136" i="78"/>
  <c r="O127" i="78"/>
  <c r="O97" i="78"/>
  <c r="O136" i="81"/>
  <c r="O127" i="81"/>
  <c r="O97" i="81"/>
  <c r="O88" i="81"/>
  <c r="O98" i="44"/>
  <c r="J54" i="52" s="1"/>
  <c r="AT19" i="99" s="1"/>
  <c r="O89" i="44"/>
  <c r="J53" i="52" s="1"/>
  <c r="AM19" i="99" s="1"/>
  <c r="O137" i="44"/>
  <c r="J56" i="52" s="1"/>
  <c r="BH19" i="99" s="1"/>
  <c r="O128" i="44"/>
  <c r="J55" i="52" s="1"/>
  <c r="BA19" i="99" s="1"/>
  <c r="O137" i="81"/>
  <c r="J56" i="82" s="1"/>
  <c r="BH21" i="99" s="1"/>
  <c r="O128" i="81"/>
  <c r="J55" i="82" s="1"/>
  <c r="BA21" i="99" s="1"/>
  <c r="O98" i="81"/>
  <c r="J54" i="82" s="1"/>
  <c r="AT21" i="99" s="1"/>
  <c r="O89" i="81"/>
  <c r="J53" i="82" s="1"/>
  <c r="AM21" i="99" s="1"/>
  <c r="O137" i="78"/>
  <c r="J56" i="79" s="1"/>
  <c r="BH20" i="99" s="1"/>
  <c r="O128" i="78"/>
  <c r="J55" i="79" s="1"/>
  <c r="BA20" i="99" s="1"/>
  <c r="O98" i="78"/>
  <c r="J54" i="79" s="1"/>
  <c r="AT20" i="99" s="1"/>
  <c r="O89" i="78"/>
  <c r="J53" i="79" s="1"/>
  <c r="AM20" i="99" s="1"/>
  <c r="B73" i="81"/>
  <c r="F29" i="91"/>
  <c r="AB19" i="99" s="1"/>
  <c r="E26" i="82"/>
  <c r="M21" i="99" s="1"/>
  <c r="E25" i="82"/>
  <c r="L21" i="99" s="1"/>
  <c r="E24" i="82"/>
  <c r="K21" i="99" s="1"/>
  <c r="E26" i="79"/>
  <c r="M20" i="99" s="1"/>
  <c r="E24" i="79"/>
  <c r="K20" i="99" s="1"/>
  <c r="E23" i="79"/>
  <c r="J20" i="99" s="1"/>
  <c r="E23" i="52"/>
  <c r="J19" i="99" s="1"/>
  <c r="E21" i="52"/>
  <c r="H19" i="99" s="1"/>
  <c r="P215" i="82"/>
  <c r="D108" i="75"/>
  <c r="E108" i="75"/>
  <c r="F108" i="75"/>
  <c r="G108" i="75"/>
  <c r="H108" i="75"/>
  <c r="I108" i="75"/>
  <c r="D111" i="75"/>
  <c r="E111" i="75"/>
  <c r="F111" i="75"/>
  <c r="G111" i="75"/>
  <c r="H111" i="75"/>
  <c r="I111" i="75"/>
  <c r="D22" i="75" l="1"/>
  <c r="C128" i="91" l="1"/>
  <c r="BG128" i="91"/>
  <c r="AD128" i="91"/>
  <c r="CB128" i="91"/>
  <c r="AX128" i="91"/>
  <c r="T128" i="91"/>
  <c r="CH141" i="93" l="1"/>
  <c r="CA141" i="93"/>
  <c r="AN141" i="93"/>
  <c r="AG141" i="93"/>
  <c r="BP141" i="93"/>
  <c r="W141" i="93"/>
  <c r="D163" i="93"/>
  <c r="AU102" i="93"/>
  <c r="BM102" i="93"/>
  <c r="AF102" i="93"/>
  <c r="E23" i="93" l="1"/>
  <c r="E21" i="93"/>
  <c r="E19" i="93"/>
  <c r="E17" i="93"/>
  <c r="E15" i="93"/>
  <c r="E13" i="93"/>
  <c r="R31" i="93"/>
  <c r="AG21" i="99" s="1"/>
  <c r="R30" i="93"/>
  <c r="AF21" i="99" s="1"/>
  <c r="R29" i="93"/>
  <c r="AE21" i="99" s="1"/>
  <c r="F31" i="93"/>
  <c r="AD21" i="99" s="1"/>
  <c r="F30" i="93"/>
  <c r="AC21" i="99" s="1"/>
  <c r="F29" i="93"/>
  <c r="AB21" i="99" s="1"/>
  <c r="L28" i="93"/>
  <c r="AC28" i="93"/>
  <c r="V28" i="93"/>
  <c r="D27" i="93"/>
  <c r="BE13" i="93"/>
  <c r="CJ13" i="93"/>
  <c r="BT13" i="93"/>
  <c r="B6" i="93"/>
  <c r="CF4" i="93"/>
  <c r="L28" i="91" l="1"/>
  <c r="W28" i="91"/>
  <c r="H28" i="92" l="1"/>
  <c r="W28" i="92"/>
  <c r="R31" i="92"/>
  <c r="AG20" i="99" s="1"/>
  <c r="R30" i="92"/>
  <c r="AF20" i="99" s="1"/>
  <c r="R29" i="92"/>
  <c r="AE20" i="99" s="1"/>
  <c r="F31" i="92"/>
  <c r="AD20" i="99" s="1"/>
  <c r="F30" i="92"/>
  <c r="AC20" i="99" s="1"/>
  <c r="F29" i="92"/>
  <c r="AB20" i="99" s="1"/>
  <c r="D27" i="91"/>
  <c r="D27" i="92" l="1"/>
  <c r="E23" i="92"/>
  <c r="E21" i="92"/>
  <c r="E19" i="92"/>
  <c r="E17" i="92"/>
  <c r="E15" i="92"/>
  <c r="E13" i="92"/>
  <c r="B6" i="92"/>
  <c r="Z3" i="92" l="1"/>
  <c r="CF4" i="92"/>
  <c r="BC76" i="77" l="1"/>
  <c r="BC75" i="77"/>
  <c r="BY76" i="77" l="1"/>
  <c r="BY75" i="77"/>
  <c r="D369" i="75"/>
  <c r="AJ76" i="77"/>
  <c r="AJ75" i="77"/>
  <c r="F365" i="44"/>
  <c r="O363" i="44"/>
  <c r="H363" i="44"/>
  <c r="H353" i="44"/>
  <c r="F355" i="44"/>
  <c r="F31" i="91" l="1"/>
  <c r="AD19" i="99" s="1"/>
  <c r="F30" i="91"/>
  <c r="AC19" i="99" s="1"/>
  <c r="R31" i="91"/>
  <c r="AG19" i="99" s="1"/>
  <c r="R30" i="91"/>
  <c r="AF19" i="99" s="1"/>
  <c r="R29" i="91"/>
  <c r="AE19" i="99" s="1"/>
  <c r="E23" i="91"/>
  <c r="E21" i="91"/>
  <c r="E19" i="91"/>
  <c r="E17" i="91"/>
  <c r="E15" i="91"/>
  <c r="E13" i="91"/>
  <c r="BM102" i="91" l="1"/>
  <c r="AF102" i="91"/>
  <c r="CF4" i="91"/>
  <c r="F531" i="44" l="1"/>
  <c r="AM6" i="77"/>
  <c r="B6" i="77"/>
  <c r="BY4" i="77"/>
  <c r="D371" i="75"/>
  <c r="D370" i="75"/>
  <c r="O370" i="75" s="1"/>
  <c r="AB88" i="77" s="1"/>
  <c r="O369" i="75"/>
  <c r="E88" i="77" s="1"/>
  <c r="N170" i="75"/>
  <c r="N153" i="75"/>
  <c r="N137" i="75"/>
  <c r="I105" i="75"/>
  <c r="H105" i="75"/>
  <c r="G105" i="75"/>
  <c r="F105" i="75"/>
  <c r="E105" i="75"/>
  <c r="D105" i="75"/>
  <c r="C30" i="75"/>
  <c r="E30" i="75" s="1"/>
  <c r="G30" i="75" s="1"/>
  <c r="BZ4" i="77"/>
  <c r="D66" i="82"/>
  <c r="D65" i="82"/>
  <c r="D47" i="93" s="1"/>
  <c r="D64" i="82"/>
  <c r="D41" i="82"/>
  <c r="K340" i="82"/>
  <c r="IB21" i="99" s="1"/>
  <c r="J340" i="82"/>
  <c r="IA21" i="99" s="1"/>
  <c r="I340" i="82"/>
  <c r="HZ21" i="99" s="1"/>
  <c r="H340" i="82"/>
  <c r="HY21" i="99" s="1"/>
  <c r="G340" i="82"/>
  <c r="HX21" i="99" s="1"/>
  <c r="F340" i="82"/>
  <c r="HW21" i="99" s="1"/>
  <c r="E340" i="82"/>
  <c r="HV21" i="99" s="1"/>
  <c r="K338" i="82"/>
  <c r="HL21" i="99" s="1"/>
  <c r="J338" i="82"/>
  <c r="HK21" i="99" s="1"/>
  <c r="I338" i="82"/>
  <c r="HJ21" i="99" s="1"/>
  <c r="H338" i="82"/>
  <c r="HI21" i="99" s="1"/>
  <c r="G338" i="82"/>
  <c r="HH21" i="99" s="1"/>
  <c r="F338" i="82"/>
  <c r="HG21" i="99" s="1"/>
  <c r="E338" i="82"/>
  <c r="HF21" i="99" s="1"/>
  <c r="K328" i="82"/>
  <c r="GT21" i="99" s="1"/>
  <c r="J328" i="82"/>
  <c r="GS21" i="99" s="1"/>
  <c r="I328" i="82"/>
  <c r="GR21" i="99" s="1"/>
  <c r="H328" i="82"/>
  <c r="GQ21" i="99" s="1"/>
  <c r="G328" i="82"/>
  <c r="GP21" i="99" s="1"/>
  <c r="F328" i="82"/>
  <c r="GO21" i="99" s="1"/>
  <c r="E328" i="82"/>
  <c r="GN21" i="99" s="1"/>
  <c r="K326" i="82"/>
  <c r="GD21" i="99" s="1"/>
  <c r="J326" i="82"/>
  <c r="GC21" i="99" s="1"/>
  <c r="I326" i="82"/>
  <c r="GB21" i="99" s="1"/>
  <c r="H326" i="82"/>
  <c r="GA21" i="99" s="1"/>
  <c r="G326" i="82"/>
  <c r="FZ21" i="99" s="1"/>
  <c r="F326" i="82"/>
  <c r="FY21" i="99" s="1"/>
  <c r="E326" i="82"/>
  <c r="FX21" i="99" s="1"/>
  <c r="K316" i="82"/>
  <c r="K314" i="82"/>
  <c r="D310" i="82"/>
  <c r="D309" i="82"/>
  <c r="D308" i="82"/>
  <c r="D307" i="82"/>
  <c r="D306" i="82"/>
  <c r="K297" i="82"/>
  <c r="K295" i="82"/>
  <c r="D291" i="82"/>
  <c r="D290" i="82"/>
  <c r="D289" i="82"/>
  <c r="D288" i="82"/>
  <c r="D287" i="82"/>
  <c r="D286" i="82"/>
  <c r="K278" i="82"/>
  <c r="K276" i="82"/>
  <c r="D272" i="82"/>
  <c r="D271" i="82"/>
  <c r="D270" i="82"/>
  <c r="D269" i="82"/>
  <c r="D268" i="82"/>
  <c r="F180" i="82"/>
  <c r="AZ93" i="93" s="1"/>
  <c r="F179" i="82"/>
  <c r="AZ91" i="93" s="1"/>
  <c r="F178" i="82"/>
  <c r="AZ89" i="93" s="1"/>
  <c r="F177" i="82"/>
  <c r="AZ87" i="93" s="1"/>
  <c r="F176" i="82"/>
  <c r="AZ85" i="93" s="1"/>
  <c r="I167" i="82"/>
  <c r="G167" i="82"/>
  <c r="I166" i="82"/>
  <c r="G166" i="82"/>
  <c r="I165" i="82"/>
  <c r="G165" i="82"/>
  <c r="G163" i="82"/>
  <c r="G162" i="82"/>
  <c r="G161" i="82"/>
  <c r="N156" i="82"/>
  <c r="G156" i="82"/>
  <c r="N155" i="82"/>
  <c r="G155" i="82"/>
  <c r="N154" i="82"/>
  <c r="G154" i="82"/>
  <c r="N152" i="82"/>
  <c r="G152" i="82"/>
  <c r="N151" i="82"/>
  <c r="G151" i="82"/>
  <c r="N150" i="82"/>
  <c r="G150" i="82"/>
  <c r="L123" i="82"/>
  <c r="D118" i="82" s="1"/>
  <c r="D71" i="93" s="1"/>
  <c r="E123" i="82"/>
  <c r="CW21" i="99" s="1"/>
  <c r="D123" i="82"/>
  <c r="G61" i="93" s="1"/>
  <c r="E122" i="82"/>
  <c r="CV21" i="99" s="1"/>
  <c r="D122" i="82"/>
  <c r="G63" i="93" s="1"/>
  <c r="L121" i="82"/>
  <c r="E121" i="82"/>
  <c r="CU21" i="99" s="1"/>
  <c r="D121" i="82"/>
  <c r="G65" i="93" s="1"/>
  <c r="L120" i="82"/>
  <c r="E120" i="82"/>
  <c r="CT21" i="99" s="1"/>
  <c r="D120" i="82"/>
  <c r="G67" i="93" s="1"/>
  <c r="L119" i="82"/>
  <c r="E119" i="82"/>
  <c r="CS21" i="99" s="1"/>
  <c r="D119" i="82"/>
  <c r="G69" i="93" s="1"/>
  <c r="L118" i="82"/>
  <c r="E118" i="82"/>
  <c r="CR21" i="99" s="1"/>
  <c r="D117" i="82"/>
  <c r="L110" i="82"/>
  <c r="D110" i="82" s="1"/>
  <c r="AW71" i="93" s="1"/>
  <c r="E110" i="82"/>
  <c r="CP21" i="99" s="1"/>
  <c r="L109" i="82"/>
  <c r="E109" i="82"/>
  <c r="CO21" i="99" s="1"/>
  <c r="D109" i="82"/>
  <c r="AZ69" i="93" s="1"/>
  <c r="L108" i="82"/>
  <c r="E108" i="82"/>
  <c r="CN21" i="99" s="1"/>
  <c r="D108" i="82"/>
  <c r="AZ67" i="93" s="1"/>
  <c r="L107" i="82"/>
  <c r="E107" i="82"/>
  <c r="CM21" i="99" s="1"/>
  <c r="D107" i="82"/>
  <c r="AZ65" i="93" s="1"/>
  <c r="L106" i="82"/>
  <c r="E106" i="82"/>
  <c r="CL21" i="99" s="1"/>
  <c r="D106" i="82"/>
  <c r="AZ63" i="93" s="1"/>
  <c r="L105" i="82"/>
  <c r="E105" i="82"/>
  <c r="CK21" i="99" s="1"/>
  <c r="D105" i="82"/>
  <c r="AZ61" i="93" s="1"/>
  <c r="D104" i="82"/>
  <c r="J97" i="82"/>
  <c r="L91" i="82" s="1"/>
  <c r="G97" i="82"/>
  <c r="J91" i="82" s="1"/>
  <c r="J96" i="82"/>
  <c r="G96" i="82"/>
  <c r="J95" i="82"/>
  <c r="G95" i="82"/>
  <c r="J94" i="82"/>
  <c r="G94" i="82"/>
  <c r="F89" i="82"/>
  <c r="CI21" i="99" s="1"/>
  <c r="E89" i="82"/>
  <c r="CH21" i="99" s="1"/>
  <c r="D89" i="82"/>
  <c r="CG21" i="99" s="1"/>
  <c r="F88" i="82"/>
  <c r="CF21" i="99" s="1"/>
  <c r="E88" i="82"/>
  <c r="CE21" i="99" s="1"/>
  <c r="D88" i="82"/>
  <c r="CD21" i="99" s="1"/>
  <c r="F87" i="82"/>
  <c r="CC21" i="99" s="1"/>
  <c r="E87" i="82"/>
  <c r="CB21" i="99" s="1"/>
  <c r="D87" i="82"/>
  <c r="CA21" i="99" s="1"/>
  <c r="F81" i="82"/>
  <c r="E81" i="82"/>
  <c r="D81" i="82"/>
  <c r="F80" i="82"/>
  <c r="E80" i="82"/>
  <c r="D80" i="82"/>
  <c r="F79" i="82"/>
  <c r="E79" i="82"/>
  <c r="D79" i="82"/>
  <c r="F78" i="82"/>
  <c r="E78" i="82"/>
  <c r="D78" i="82"/>
  <c r="F77" i="82"/>
  <c r="E77" i="82"/>
  <c r="D77" i="82"/>
  <c r="I76" i="82"/>
  <c r="F76" i="82"/>
  <c r="E76" i="82"/>
  <c r="D76" i="82"/>
  <c r="I75" i="82"/>
  <c r="F75" i="82"/>
  <c r="E75" i="82"/>
  <c r="D75" i="82"/>
  <c r="I74" i="82"/>
  <c r="F74" i="82"/>
  <c r="BY21" i="99" s="1"/>
  <c r="E74" i="82"/>
  <c r="BX21" i="99" s="1"/>
  <c r="I73" i="82"/>
  <c r="F73" i="82"/>
  <c r="BV21" i="99" s="1"/>
  <c r="E73" i="82"/>
  <c r="BU21" i="99" s="1"/>
  <c r="I72" i="82"/>
  <c r="F72" i="82"/>
  <c r="BS21" i="99" s="1"/>
  <c r="E72" i="82"/>
  <c r="BR21" i="99" s="1"/>
  <c r="K71" i="82"/>
  <c r="J71" i="82"/>
  <c r="I56" i="82"/>
  <c r="BG21" i="99" s="1"/>
  <c r="H56" i="82"/>
  <c r="BF21" i="99" s="1"/>
  <c r="G56" i="82"/>
  <c r="BE21" i="99" s="1"/>
  <c r="F56" i="82"/>
  <c r="BD21" i="99" s="1"/>
  <c r="E56" i="82"/>
  <c r="BC21" i="99" s="1"/>
  <c r="I55" i="82"/>
  <c r="AZ21" i="99" s="1"/>
  <c r="H55" i="82"/>
  <c r="AY21" i="99" s="1"/>
  <c r="G55" i="82"/>
  <c r="AX21" i="99" s="1"/>
  <c r="F55" i="82"/>
  <c r="AW21" i="99" s="1"/>
  <c r="E55" i="82"/>
  <c r="AV21" i="99" s="1"/>
  <c r="I54" i="82"/>
  <c r="AS21" i="99" s="1"/>
  <c r="H54" i="82"/>
  <c r="AR21" i="99" s="1"/>
  <c r="G54" i="82"/>
  <c r="AQ21" i="99" s="1"/>
  <c r="F54" i="82"/>
  <c r="AP21" i="99" s="1"/>
  <c r="E54" i="82"/>
  <c r="AO21" i="99" s="1"/>
  <c r="H53" i="82"/>
  <c r="AK21" i="99" s="1"/>
  <c r="G53" i="82"/>
  <c r="AJ21" i="99" s="1"/>
  <c r="F53" i="82"/>
  <c r="AI21" i="99" s="1"/>
  <c r="E53" i="82"/>
  <c r="AH21" i="99" s="1"/>
  <c r="L36" i="82"/>
  <c r="K36" i="82" s="1"/>
  <c r="H26" i="82"/>
  <c r="U21" i="99" s="1"/>
  <c r="G26" i="82"/>
  <c r="T21" i="99" s="1"/>
  <c r="G25" i="82"/>
  <c r="S21" i="99" s="1"/>
  <c r="G24" i="82"/>
  <c r="R21" i="99" s="1"/>
  <c r="F24" i="82"/>
  <c r="E18" i="93" s="1"/>
  <c r="H23" i="82"/>
  <c r="Q21" i="99" s="1"/>
  <c r="G23" i="82"/>
  <c r="P21" i="99" s="1"/>
  <c r="E23" i="82"/>
  <c r="J21" i="99" s="1"/>
  <c r="G22" i="82"/>
  <c r="O21" i="99" s="1"/>
  <c r="E22" i="82"/>
  <c r="I21" i="99" s="1"/>
  <c r="G21" i="82"/>
  <c r="E21" i="82"/>
  <c r="H21" i="99" s="1"/>
  <c r="B728" i="81"/>
  <c r="B716" i="81"/>
  <c r="L698" i="81"/>
  <c r="M697" i="81" s="1"/>
  <c r="K697" i="81" s="1"/>
  <c r="G698" i="81"/>
  <c r="G697" i="81" s="1"/>
  <c r="L695" i="81"/>
  <c r="G695" i="81"/>
  <c r="L694" i="81"/>
  <c r="G694" i="81"/>
  <c r="L693" i="81"/>
  <c r="G693" i="81"/>
  <c r="L690" i="81"/>
  <c r="G690" i="81"/>
  <c r="L689" i="81"/>
  <c r="G689" i="81"/>
  <c r="L686" i="81"/>
  <c r="G686" i="81"/>
  <c r="L685" i="81"/>
  <c r="G685" i="81"/>
  <c r="L682" i="81"/>
  <c r="M681" i="81" s="1"/>
  <c r="G682" i="81"/>
  <c r="G681" i="81" s="1"/>
  <c r="L679" i="81"/>
  <c r="M678" i="81" s="1"/>
  <c r="G329" i="82" s="1"/>
  <c r="GX21" i="99" s="1"/>
  <c r="G679" i="81"/>
  <c r="G678" i="81" s="1"/>
  <c r="L676" i="81"/>
  <c r="G676" i="81"/>
  <c r="L675" i="81"/>
  <c r="G675" i="81"/>
  <c r="L672" i="81"/>
  <c r="G672" i="81"/>
  <c r="L671" i="81"/>
  <c r="G671" i="81"/>
  <c r="N670" i="81"/>
  <c r="I670" i="81"/>
  <c r="L636" i="81"/>
  <c r="M315" i="82" s="1"/>
  <c r="FU21" i="99" s="1"/>
  <c r="G636" i="81"/>
  <c r="M314" i="82" s="1"/>
  <c r="FT21" i="99" s="1"/>
  <c r="L635" i="81"/>
  <c r="M296" i="82" s="1"/>
  <c r="FG21" i="99" s="1"/>
  <c r="G635" i="81"/>
  <c r="M295" i="82" s="1"/>
  <c r="FF21" i="99" s="1"/>
  <c r="L634" i="81"/>
  <c r="G634" i="81"/>
  <c r="M276" i="82" s="1"/>
  <c r="EP21" i="99" s="1"/>
  <c r="L631" i="81"/>
  <c r="G631" i="81"/>
  <c r="M278" i="82" s="1"/>
  <c r="ER21" i="99" s="1"/>
  <c r="L630" i="81"/>
  <c r="M148" i="82" s="1"/>
  <c r="DG21" i="99" s="1"/>
  <c r="G630" i="81"/>
  <c r="L627" i="81"/>
  <c r="G627" i="81"/>
  <c r="L626" i="81"/>
  <c r="G626" i="81"/>
  <c r="L625" i="81"/>
  <c r="G625" i="81"/>
  <c r="F149" i="82" s="1"/>
  <c r="CZ21" i="99" s="1"/>
  <c r="L622" i="81"/>
  <c r="M156" i="82" s="1"/>
  <c r="DN21" i="99" s="1"/>
  <c r="G622" i="81"/>
  <c r="F156" i="82" s="1"/>
  <c r="DF21" i="99" s="1"/>
  <c r="L621" i="81"/>
  <c r="G621" i="81"/>
  <c r="L618" i="81"/>
  <c r="M155" i="82" s="1"/>
  <c r="DM21" i="99" s="1"/>
  <c r="G618" i="81"/>
  <c r="F155" i="82" s="1"/>
  <c r="DE21" i="99" s="1"/>
  <c r="L617" i="81"/>
  <c r="G617" i="81"/>
  <c r="L614" i="81"/>
  <c r="G614" i="81"/>
  <c r="F154" i="82" s="1"/>
  <c r="DD21" i="99" s="1"/>
  <c r="L613" i="81"/>
  <c r="G613" i="81"/>
  <c r="L610" i="81"/>
  <c r="L56" i="82" s="1"/>
  <c r="BI21" i="99" s="1"/>
  <c r="G610" i="81"/>
  <c r="L54" i="82" s="1"/>
  <c r="AU21" i="99" s="1"/>
  <c r="L609" i="81"/>
  <c r="L55" i="82" s="1"/>
  <c r="BB21" i="99" s="1"/>
  <c r="G609" i="81"/>
  <c r="L53" i="82" s="1"/>
  <c r="AN21" i="99" s="1"/>
  <c r="L608" i="81"/>
  <c r="G608" i="81"/>
  <c r="L607" i="81"/>
  <c r="G607" i="81"/>
  <c r="L606" i="81"/>
  <c r="G606" i="81"/>
  <c r="L605" i="81"/>
  <c r="G605" i="81"/>
  <c r="N604" i="81"/>
  <c r="I604" i="81"/>
  <c r="J573" i="81"/>
  <c r="I573" i="81"/>
  <c r="I572" i="81" s="1"/>
  <c r="N15" i="81" s="1"/>
  <c r="J54" i="99" s="1"/>
  <c r="J569" i="81"/>
  <c r="I569" i="81"/>
  <c r="N565" i="81"/>
  <c r="M565" i="81"/>
  <c r="L565" i="81"/>
  <c r="K565" i="81"/>
  <c r="J565" i="81"/>
  <c r="I565" i="81"/>
  <c r="H565" i="81"/>
  <c r="G565" i="81"/>
  <c r="F565" i="81"/>
  <c r="E565" i="81"/>
  <c r="O564" i="81"/>
  <c r="F308" i="82" s="1"/>
  <c r="FQ21" i="99" s="1"/>
  <c r="B564" i="81"/>
  <c r="O563" i="81"/>
  <c r="F307" i="82" s="1"/>
  <c r="FP21" i="99" s="1"/>
  <c r="B563" i="81"/>
  <c r="N558" i="81"/>
  <c r="M558" i="81"/>
  <c r="L558" i="81"/>
  <c r="K558" i="81"/>
  <c r="J558" i="81"/>
  <c r="I558" i="81"/>
  <c r="H558" i="81"/>
  <c r="G558" i="81"/>
  <c r="F558" i="81"/>
  <c r="E558" i="81"/>
  <c r="O557" i="81"/>
  <c r="F289" i="82" s="1"/>
  <c r="FC21" i="99" s="1"/>
  <c r="B557" i="81"/>
  <c r="O556" i="81"/>
  <c r="F288" i="82" s="1"/>
  <c r="FB21" i="99" s="1"/>
  <c r="B556" i="81"/>
  <c r="N550" i="81"/>
  <c r="M550" i="81"/>
  <c r="L550" i="81"/>
  <c r="K550" i="81"/>
  <c r="J550" i="81"/>
  <c r="I550" i="81"/>
  <c r="H550" i="81"/>
  <c r="G550" i="81"/>
  <c r="F550" i="81"/>
  <c r="E550" i="81"/>
  <c r="O549" i="81"/>
  <c r="F270" i="82" s="1"/>
  <c r="EM21" i="99" s="1"/>
  <c r="B549" i="81"/>
  <c r="O548" i="81"/>
  <c r="F269" i="82" s="1"/>
  <c r="EL21" i="99" s="1"/>
  <c r="B548" i="81"/>
  <c r="N538" i="81"/>
  <c r="M538" i="81"/>
  <c r="L538" i="81"/>
  <c r="K538" i="81"/>
  <c r="J538" i="81"/>
  <c r="I538" i="81"/>
  <c r="H538" i="81"/>
  <c r="G538" i="81"/>
  <c r="F538" i="81"/>
  <c r="E538" i="81"/>
  <c r="O537" i="81"/>
  <c r="E308" i="82" s="1"/>
  <c r="FL21" i="99" s="1"/>
  <c r="B537" i="81"/>
  <c r="O536" i="81"/>
  <c r="E307" i="82" s="1"/>
  <c r="FK21" i="99" s="1"/>
  <c r="B536" i="81"/>
  <c r="N531" i="81"/>
  <c r="M531" i="81"/>
  <c r="L531" i="81"/>
  <c r="K531" i="81"/>
  <c r="J531" i="81"/>
  <c r="I531" i="81"/>
  <c r="H531" i="81"/>
  <c r="G531" i="81"/>
  <c r="F531" i="81"/>
  <c r="E531" i="81"/>
  <c r="O530" i="81"/>
  <c r="E289" i="82" s="1"/>
  <c r="EW21" i="99" s="1"/>
  <c r="B530" i="81"/>
  <c r="O529" i="81"/>
  <c r="E288" i="82" s="1"/>
  <c r="EV21" i="99" s="1"/>
  <c r="B529" i="81"/>
  <c r="N523" i="81"/>
  <c r="M523" i="81"/>
  <c r="L523" i="81"/>
  <c r="K523" i="81"/>
  <c r="J523" i="81"/>
  <c r="I523" i="81"/>
  <c r="H523" i="81"/>
  <c r="G523" i="81"/>
  <c r="F523" i="81"/>
  <c r="E523" i="81"/>
  <c r="O522" i="81"/>
  <c r="E270" i="82" s="1"/>
  <c r="EH21" i="99" s="1"/>
  <c r="B522" i="81"/>
  <c r="O521" i="81"/>
  <c r="E269" i="82" s="1"/>
  <c r="EG21" i="99" s="1"/>
  <c r="B521" i="81"/>
  <c r="J500" i="81"/>
  <c r="I500" i="81"/>
  <c r="J496" i="81"/>
  <c r="I496" i="81"/>
  <c r="O492" i="81"/>
  <c r="B492" i="81"/>
  <c r="O491" i="81"/>
  <c r="B491" i="81"/>
  <c r="O490" i="81"/>
  <c r="B490" i="81"/>
  <c r="O489" i="81"/>
  <c r="B489" i="81"/>
  <c r="O488" i="81"/>
  <c r="B488" i="81"/>
  <c r="N487" i="81"/>
  <c r="N214" i="82" s="1"/>
  <c r="J78" i="97" s="1"/>
  <c r="M487" i="81"/>
  <c r="M214" i="82" s="1"/>
  <c r="J77" i="97" s="1"/>
  <c r="L487" i="81"/>
  <c r="L214" i="82" s="1"/>
  <c r="J76" i="97" s="1"/>
  <c r="K487" i="81"/>
  <c r="K214" i="82" s="1"/>
  <c r="J75" i="97" s="1"/>
  <c r="J487" i="81"/>
  <c r="J214" i="82" s="1"/>
  <c r="J74" i="97" s="1"/>
  <c r="I487" i="81"/>
  <c r="I214" i="82" s="1"/>
  <c r="J73" i="97" s="1"/>
  <c r="H487" i="81"/>
  <c r="H214" i="82" s="1"/>
  <c r="J72" i="97" s="1"/>
  <c r="G487" i="81"/>
  <c r="G214" i="82" s="1"/>
  <c r="J71" i="97" s="1"/>
  <c r="F487" i="81"/>
  <c r="F214" i="82" s="1"/>
  <c r="J70" i="97" s="1"/>
  <c r="E487" i="81"/>
  <c r="E214" i="82" s="1"/>
  <c r="J69" i="97" s="1"/>
  <c r="O486" i="81"/>
  <c r="B486" i="81"/>
  <c r="O485" i="81"/>
  <c r="B485" i="81"/>
  <c r="O484" i="81"/>
  <c r="B484" i="81"/>
  <c r="O483" i="81"/>
  <c r="B483" i="81"/>
  <c r="O482" i="81"/>
  <c r="B482" i="81"/>
  <c r="N481" i="81"/>
  <c r="N213" i="82" s="1"/>
  <c r="I78" i="97" s="1"/>
  <c r="M481" i="81"/>
  <c r="M213" i="82" s="1"/>
  <c r="I77" i="97" s="1"/>
  <c r="L481" i="81"/>
  <c r="K481" i="81"/>
  <c r="J481" i="81"/>
  <c r="I481" i="81"/>
  <c r="H481" i="81"/>
  <c r="H213" i="82" s="1"/>
  <c r="I72" i="97" s="1"/>
  <c r="G481" i="81"/>
  <c r="G213" i="82" s="1"/>
  <c r="I71" i="97" s="1"/>
  <c r="F481" i="81"/>
  <c r="F213" i="82" s="1"/>
  <c r="I70" i="97" s="1"/>
  <c r="E481" i="81"/>
  <c r="O478" i="81"/>
  <c r="B478" i="81"/>
  <c r="O477" i="81"/>
  <c r="B477" i="81"/>
  <c r="O476" i="81"/>
  <c r="B476" i="81"/>
  <c r="O475" i="81"/>
  <c r="B475" i="81"/>
  <c r="O474" i="81"/>
  <c r="B474" i="81"/>
  <c r="O473" i="81"/>
  <c r="B473" i="81"/>
  <c r="N472" i="81"/>
  <c r="M472" i="81"/>
  <c r="L472" i="81"/>
  <c r="L212" i="82" s="1"/>
  <c r="H76" i="97" s="1"/>
  <c r="K472" i="81"/>
  <c r="K212" i="82" s="1"/>
  <c r="H75" i="97" s="1"/>
  <c r="J472" i="81"/>
  <c r="J212" i="82" s="1"/>
  <c r="H74" i="97" s="1"/>
  <c r="I472" i="81"/>
  <c r="I212" i="82" s="1"/>
  <c r="H73" i="97" s="1"/>
  <c r="H472" i="81"/>
  <c r="H212" i="82" s="1"/>
  <c r="H72" i="97" s="1"/>
  <c r="G472" i="81"/>
  <c r="G212" i="82" s="1"/>
  <c r="H71" i="97" s="1"/>
  <c r="F472" i="81"/>
  <c r="E472" i="81"/>
  <c r="E212" i="82" s="1"/>
  <c r="H69" i="97" s="1"/>
  <c r="O470" i="81"/>
  <c r="B470" i="81"/>
  <c r="O469" i="81"/>
  <c r="B469" i="81"/>
  <c r="O468" i="81"/>
  <c r="B468" i="81"/>
  <c r="O467" i="81"/>
  <c r="B467" i="81"/>
  <c r="O466" i="81"/>
  <c r="B466" i="81"/>
  <c r="O465" i="81"/>
  <c r="B465" i="81"/>
  <c r="N464" i="81"/>
  <c r="M464" i="81"/>
  <c r="M211" i="82" s="1"/>
  <c r="G77" i="97" s="1"/>
  <c r="L464" i="81"/>
  <c r="L211" i="82" s="1"/>
  <c r="G76" i="97" s="1"/>
  <c r="K464" i="81"/>
  <c r="K211" i="82" s="1"/>
  <c r="G75" i="97" s="1"/>
  <c r="J464" i="81"/>
  <c r="J211" i="82" s="1"/>
  <c r="G74" i="97" s="1"/>
  <c r="I464" i="81"/>
  <c r="I211" i="82" s="1"/>
  <c r="G73" i="97" s="1"/>
  <c r="H464" i="81"/>
  <c r="H211" i="82" s="1"/>
  <c r="G72" i="97" s="1"/>
  <c r="G464" i="81"/>
  <c r="G211" i="82" s="1"/>
  <c r="G71" i="97" s="1"/>
  <c r="F464" i="81"/>
  <c r="F211" i="82" s="1"/>
  <c r="G70" i="97" s="1"/>
  <c r="E464" i="81"/>
  <c r="O463" i="81"/>
  <c r="B463" i="81"/>
  <c r="O462" i="81"/>
  <c r="B462" i="81"/>
  <c r="O461" i="81"/>
  <c r="B461" i="81"/>
  <c r="O460" i="81"/>
  <c r="B460" i="81"/>
  <c r="O459" i="81"/>
  <c r="B459" i="81"/>
  <c r="O458" i="81"/>
  <c r="B458" i="81"/>
  <c r="N457" i="81"/>
  <c r="N210" i="82" s="1"/>
  <c r="F78" i="97" s="1"/>
  <c r="M457" i="81"/>
  <c r="L457" i="81"/>
  <c r="K457" i="81"/>
  <c r="J457" i="81"/>
  <c r="I457" i="81"/>
  <c r="H457" i="81"/>
  <c r="H210" i="82" s="1"/>
  <c r="F72" i="97" s="1"/>
  <c r="G457" i="81"/>
  <c r="G210" i="82" s="1"/>
  <c r="F71" i="97" s="1"/>
  <c r="F457" i="81"/>
  <c r="F210" i="82" s="1"/>
  <c r="F70" i="97" s="1"/>
  <c r="E457" i="81"/>
  <c r="O447" i="81"/>
  <c r="B447" i="81"/>
  <c r="O446" i="81"/>
  <c r="B446" i="81"/>
  <c r="O445" i="81"/>
  <c r="B445" i="81"/>
  <c r="O444" i="81"/>
  <c r="B444" i="81"/>
  <c r="O443" i="81"/>
  <c r="B443" i="81"/>
  <c r="N442" i="81"/>
  <c r="N197" i="82" s="1"/>
  <c r="J68" i="97" s="1"/>
  <c r="M442" i="81"/>
  <c r="L442" i="81"/>
  <c r="L197" i="82" s="1"/>
  <c r="J66" i="97" s="1"/>
  <c r="K442" i="81"/>
  <c r="K197" i="82" s="1"/>
  <c r="J65" i="97" s="1"/>
  <c r="J442" i="81"/>
  <c r="J197" i="82" s="1"/>
  <c r="J64" i="97" s="1"/>
  <c r="I442" i="81"/>
  <c r="I197" i="82" s="1"/>
  <c r="J63" i="97" s="1"/>
  <c r="H442" i="81"/>
  <c r="H197" i="82" s="1"/>
  <c r="J62" i="97" s="1"/>
  <c r="G442" i="81"/>
  <c r="G197" i="82" s="1"/>
  <c r="J61" i="97" s="1"/>
  <c r="F442" i="81"/>
  <c r="F197" i="82" s="1"/>
  <c r="J60" i="97" s="1"/>
  <c r="E442" i="81"/>
  <c r="E197" i="82" s="1"/>
  <c r="J59" i="97" s="1"/>
  <c r="O441" i="81"/>
  <c r="B441" i="81"/>
  <c r="O440" i="81"/>
  <c r="B440" i="81"/>
  <c r="O439" i="81"/>
  <c r="B439" i="81"/>
  <c r="O438" i="81"/>
  <c r="B438" i="81"/>
  <c r="O437" i="81"/>
  <c r="B437" i="81"/>
  <c r="N436" i="81"/>
  <c r="N196" i="82" s="1"/>
  <c r="I68" i="97" s="1"/>
  <c r="M436" i="81"/>
  <c r="M196" i="82" s="1"/>
  <c r="I67" i="97" s="1"/>
  <c r="L436" i="81"/>
  <c r="K436" i="81"/>
  <c r="J436" i="81"/>
  <c r="I436" i="81"/>
  <c r="H436" i="81"/>
  <c r="H196" i="82" s="1"/>
  <c r="I62" i="97" s="1"/>
  <c r="G436" i="81"/>
  <c r="G196" i="82" s="1"/>
  <c r="I61" i="97" s="1"/>
  <c r="F436" i="81"/>
  <c r="F196" i="82" s="1"/>
  <c r="I60" i="97" s="1"/>
  <c r="E436" i="81"/>
  <c r="O433" i="81"/>
  <c r="B433" i="81"/>
  <c r="O432" i="81"/>
  <c r="B432" i="81"/>
  <c r="O431" i="81"/>
  <c r="B431" i="81"/>
  <c r="O430" i="81"/>
  <c r="B430" i="81"/>
  <c r="O429" i="81"/>
  <c r="B429" i="81"/>
  <c r="O428" i="81"/>
  <c r="B428" i="81"/>
  <c r="N427" i="81"/>
  <c r="M427" i="81"/>
  <c r="L427" i="81"/>
  <c r="K427" i="81"/>
  <c r="J427" i="81"/>
  <c r="J195" i="82" s="1"/>
  <c r="H64" i="97" s="1"/>
  <c r="I427" i="81"/>
  <c r="I527" i="81" s="1"/>
  <c r="H427" i="81"/>
  <c r="H195" i="82" s="1"/>
  <c r="H62" i="97" s="1"/>
  <c r="G427" i="81"/>
  <c r="G195" i="82" s="1"/>
  <c r="H61" i="97" s="1"/>
  <c r="F427" i="81"/>
  <c r="F195" i="82" s="1"/>
  <c r="H60" i="97" s="1"/>
  <c r="E427" i="81"/>
  <c r="E195" i="82" s="1"/>
  <c r="H59" i="97" s="1"/>
  <c r="O425" i="81"/>
  <c r="B425" i="81"/>
  <c r="O424" i="81"/>
  <c r="B424" i="81"/>
  <c r="O423" i="81"/>
  <c r="B423" i="81"/>
  <c r="O422" i="81"/>
  <c r="B422" i="81"/>
  <c r="O421" i="81"/>
  <c r="B421" i="81"/>
  <c r="O420" i="81"/>
  <c r="B420" i="81"/>
  <c r="N419" i="81"/>
  <c r="M419" i="81"/>
  <c r="M194" i="82" s="1"/>
  <c r="G67" i="97" s="1"/>
  <c r="L419" i="81"/>
  <c r="L194" i="82" s="1"/>
  <c r="G66" i="97" s="1"/>
  <c r="K419" i="81"/>
  <c r="K194" i="82" s="1"/>
  <c r="G65" i="97" s="1"/>
  <c r="J419" i="81"/>
  <c r="J194" i="82" s="1"/>
  <c r="G64" i="97" s="1"/>
  <c r="I419" i="81"/>
  <c r="I194" i="82" s="1"/>
  <c r="G63" i="97" s="1"/>
  <c r="H419" i="81"/>
  <c r="H194" i="82" s="1"/>
  <c r="G62" i="97" s="1"/>
  <c r="G419" i="81"/>
  <c r="G194" i="82" s="1"/>
  <c r="G61" i="97" s="1"/>
  <c r="F419" i="81"/>
  <c r="E419" i="81"/>
  <c r="O418" i="81"/>
  <c r="B418" i="81"/>
  <c r="O417" i="81"/>
  <c r="B417" i="81"/>
  <c r="O416" i="81"/>
  <c r="B416" i="81"/>
  <c r="O415" i="81"/>
  <c r="B415" i="81"/>
  <c r="O414" i="81"/>
  <c r="B414" i="81"/>
  <c r="O413" i="81"/>
  <c r="B413" i="81"/>
  <c r="N412" i="81"/>
  <c r="N193" i="82" s="1"/>
  <c r="F68" i="97" s="1"/>
  <c r="M412" i="81"/>
  <c r="M193" i="82" s="1"/>
  <c r="F67" i="97" s="1"/>
  <c r="L412" i="81"/>
  <c r="K412" i="81"/>
  <c r="J412" i="81"/>
  <c r="I412" i="81"/>
  <c r="H412" i="81"/>
  <c r="H193" i="82" s="1"/>
  <c r="F62" i="97" s="1"/>
  <c r="G412" i="81"/>
  <c r="G193" i="82" s="1"/>
  <c r="F61" i="97" s="1"/>
  <c r="F412" i="81"/>
  <c r="F193" i="82" s="1"/>
  <c r="F60" i="97" s="1"/>
  <c r="E412" i="81"/>
  <c r="J372" i="81"/>
  <c r="I372" i="81"/>
  <c r="J368" i="81"/>
  <c r="I368" i="81"/>
  <c r="I369" i="81" s="1"/>
  <c r="K13" i="81" s="1"/>
  <c r="I52" i="99" s="1"/>
  <c r="F365" i="81"/>
  <c r="E209" i="82" s="1"/>
  <c r="E69" i="97" s="1"/>
  <c r="O363" i="81"/>
  <c r="H363" i="81"/>
  <c r="B361" i="81"/>
  <c r="F355" i="81"/>
  <c r="E192" i="82" s="1"/>
  <c r="E59" i="97" s="1"/>
  <c r="O353" i="81"/>
  <c r="H353" i="81"/>
  <c r="B351" i="81"/>
  <c r="J331" i="81"/>
  <c r="I331" i="81"/>
  <c r="J327" i="81"/>
  <c r="I327" i="81"/>
  <c r="I328" i="81" s="1"/>
  <c r="K12" i="81" s="1"/>
  <c r="I51" i="99" s="1"/>
  <c r="B316" i="81"/>
  <c r="B315" i="81"/>
  <c r="B314" i="81"/>
  <c r="B313" i="81"/>
  <c r="B312" i="81"/>
  <c r="L303" i="81"/>
  <c r="L302" i="81"/>
  <c r="B302" i="81"/>
  <c r="O295" i="81"/>
  <c r="I12" i="81" s="1"/>
  <c r="H51" i="99" s="1"/>
  <c r="J288" i="81"/>
  <c r="I288" i="81"/>
  <c r="J284" i="81"/>
  <c r="I284" i="81"/>
  <c r="B273" i="81"/>
  <c r="B272" i="81"/>
  <c r="B271" i="81"/>
  <c r="B270" i="81"/>
  <c r="B269" i="81"/>
  <c r="L259" i="81"/>
  <c r="L258" i="81"/>
  <c r="B258" i="81"/>
  <c r="O251" i="81"/>
  <c r="I11" i="81" s="1"/>
  <c r="H50" i="99" s="1"/>
  <c r="J244" i="81"/>
  <c r="I244" i="81"/>
  <c r="I243" i="81" s="1"/>
  <c r="N10" i="81" s="1"/>
  <c r="J49" i="99" s="1"/>
  <c r="J240" i="81"/>
  <c r="I240" i="81"/>
  <c r="I241" i="81" s="1"/>
  <c r="K10" i="81" s="1"/>
  <c r="I49" i="99" s="1"/>
  <c r="B222" i="81"/>
  <c r="B221" i="81"/>
  <c r="B220" i="81"/>
  <c r="B201" i="81"/>
  <c r="B200" i="81"/>
  <c r="B199" i="81"/>
  <c r="L187" i="81"/>
  <c r="L186" i="81"/>
  <c r="B186" i="81"/>
  <c r="O179" i="81"/>
  <c r="I10" i="81" s="1"/>
  <c r="H49" i="99" s="1"/>
  <c r="J172" i="81"/>
  <c r="I172" i="81"/>
  <c r="I171" i="81" s="1"/>
  <c r="N9" i="81" s="1"/>
  <c r="J48" i="99" s="1"/>
  <c r="J168" i="81"/>
  <c r="I168" i="81"/>
  <c r="H121" i="81"/>
  <c r="O120" i="81"/>
  <c r="B120" i="81"/>
  <c r="H82" i="81"/>
  <c r="O81" i="81"/>
  <c r="B100" i="81" s="1"/>
  <c r="B81" i="81"/>
  <c r="L74" i="81"/>
  <c r="B631" i="81" s="1"/>
  <c r="E60" i="81"/>
  <c r="E59" i="81"/>
  <c r="E58" i="81"/>
  <c r="E57" i="81"/>
  <c r="E55" i="81"/>
  <c r="E53" i="81"/>
  <c r="E51" i="81"/>
  <c r="CK2" i="93" s="1"/>
  <c r="D40" i="81"/>
  <c r="J40" i="81" s="1"/>
  <c r="D39" i="81"/>
  <c r="N39" i="81" s="1"/>
  <c r="D38" i="81"/>
  <c r="F38" i="81" s="1"/>
  <c r="D37" i="81"/>
  <c r="N35" i="81"/>
  <c r="M35" i="81"/>
  <c r="L35" i="81"/>
  <c r="J35" i="81"/>
  <c r="H35" i="81"/>
  <c r="F35" i="81"/>
  <c r="D35" i="81"/>
  <c r="D29" i="81"/>
  <c r="N18" i="81"/>
  <c r="J57" i="99" s="1"/>
  <c r="K18" i="81"/>
  <c r="I57" i="99" s="1"/>
  <c r="I18" i="81"/>
  <c r="H57" i="99" s="1"/>
  <c r="N17" i="81"/>
  <c r="J56" i="99" s="1"/>
  <c r="K17" i="81"/>
  <c r="I56" i="99" s="1"/>
  <c r="N16" i="81"/>
  <c r="J55" i="99" s="1"/>
  <c r="K16" i="81"/>
  <c r="I55" i="99" s="1"/>
  <c r="N8" i="81"/>
  <c r="J47" i="99" s="1"/>
  <c r="K8" i="81"/>
  <c r="I47" i="99" s="1"/>
  <c r="F350" i="79"/>
  <c r="D163" i="92" s="1"/>
  <c r="D74" i="79"/>
  <c r="D73" i="79"/>
  <c r="D72" i="79"/>
  <c r="H66" i="79"/>
  <c r="H65" i="79"/>
  <c r="H64" i="79"/>
  <c r="D66" i="79"/>
  <c r="D65" i="79"/>
  <c r="D47" i="92" s="1"/>
  <c r="D64" i="79"/>
  <c r="D41" i="79"/>
  <c r="D33" i="79"/>
  <c r="K340" i="79"/>
  <c r="IB20" i="99" s="1"/>
  <c r="J340" i="79"/>
  <c r="IA20" i="99" s="1"/>
  <c r="I340" i="79"/>
  <c r="HZ20" i="99" s="1"/>
  <c r="H340" i="79"/>
  <c r="HY20" i="99" s="1"/>
  <c r="G340" i="79"/>
  <c r="HX20" i="99" s="1"/>
  <c r="F340" i="79"/>
  <c r="HW20" i="99" s="1"/>
  <c r="E340" i="79"/>
  <c r="HV20" i="99" s="1"/>
  <c r="K338" i="79"/>
  <c r="HL20" i="99" s="1"/>
  <c r="J338" i="79"/>
  <c r="HK20" i="99" s="1"/>
  <c r="I338" i="79"/>
  <c r="HJ20" i="99" s="1"/>
  <c r="H338" i="79"/>
  <c r="HI20" i="99" s="1"/>
  <c r="G338" i="79"/>
  <c r="HH20" i="99" s="1"/>
  <c r="F338" i="79"/>
  <c r="HG20" i="99" s="1"/>
  <c r="E338" i="79"/>
  <c r="HF20" i="99" s="1"/>
  <c r="K328" i="79"/>
  <c r="GT20" i="99" s="1"/>
  <c r="J328" i="79"/>
  <c r="GS20" i="99" s="1"/>
  <c r="I328" i="79"/>
  <c r="GR20" i="99" s="1"/>
  <c r="H328" i="79"/>
  <c r="GQ20" i="99" s="1"/>
  <c r="G328" i="79"/>
  <c r="GP20" i="99" s="1"/>
  <c r="F328" i="79"/>
  <c r="GO20" i="99" s="1"/>
  <c r="E328" i="79"/>
  <c r="GN20" i="99" s="1"/>
  <c r="K326" i="79"/>
  <c r="GD20" i="99" s="1"/>
  <c r="J326" i="79"/>
  <c r="GC20" i="99" s="1"/>
  <c r="I326" i="79"/>
  <c r="GB20" i="99" s="1"/>
  <c r="H326" i="79"/>
  <c r="GA20" i="99" s="1"/>
  <c r="G326" i="79"/>
  <c r="FZ20" i="99" s="1"/>
  <c r="F326" i="79"/>
  <c r="FY20" i="99" s="1"/>
  <c r="E326" i="79"/>
  <c r="FX20" i="99" s="1"/>
  <c r="K316" i="79"/>
  <c r="K314" i="79"/>
  <c r="D310" i="79"/>
  <c r="D309" i="79"/>
  <c r="D308" i="79"/>
  <c r="D307" i="79"/>
  <c r="D306" i="79"/>
  <c r="K297" i="79"/>
  <c r="K295" i="79"/>
  <c r="D291" i="79"/>
  <c r="D290" i="79"/>
  <c r="D289" i="79"/>
  <c r="D288" i="79"/>
  <c r="D287" i="79"/>
  <c r="D286" i="79"/>
  <c r="K278" i="79"/>
  <c r="K276" i="79"/>
  <c r="D272" i="79"/>
  <c r="D271" i="79"/>
  <c r="D270" i="79"/>
  <c r="D269" i="79"/>
  <c r="D268" i="79"/>
  <c r="F180" i="79"/>
  <c r="F179" i="79"/>
  <c r="F178" i="79"/>
  <c r="F177" i="79"/>
  <c r="BA87" i="92" s="1"/>
  <c r="F176" i="79"/>
  <c r="I167" i="79"/>
  <c r="G167" i="79"/>
  <c r="I166" i="79"/>
  <c r="G166" i="79"/>
  <c r="I165" i="79"/>
  <c r="G165" i="79"/>
  <c r="G163" i="79"/>
  <c r="G162" i="79"/>
  <c r="G161" i="79"/>
  <c r="N156" i="79"/>
  <c r="G156" i="79"/>
  <c r="N155" i="79"/>
  <c r="G155" i="79"/>
  <c r="N154" i="79"/>
  <c r="G154" i="79"/>
  <c r="N152" i="79"/>
  <c r="G152" i="79"/>
  <c r="N151" i="79"/>
  <c r="G151" i="79"/>
  <c r="N150" i="79"/>
  <c r="G150" i="79"/>
  <c r="L123" i="79"/>
  <c r="D118" i="79" s="1"/>
  <c r="D71" i="92" s="1"/>
  <c r="E123" i="79"/>
  <c r="CW20" i="99" s="1"/>
  <c r="D123" i="79"/>
  <c r="G61" i="92" s="1"/>
  <c r="E122" i="79"/>
  <c r="CV20" i="99" s="1"/>
  <c r="D122" i="79"/>
  <c r="G63" i="92" s="1"/>
  <c r="L121" i="79"/>
  <c r="E121" i="79"/>
  <c r="CU20" i="99" s="1"/>
  <c r="D121" i="79"/>
  <c r="G65" i="92" s="1"/>
  <c r="L120" i="79"/>
  <c r="E120" i="79"/>
  <c r="CT20" i="99" s="1"/>
  <c r="D120" i="79"/>
  <c r="G67" i="92" s="1"/>
  <c r="L119" i="79"/>
  <c r="E119" i="79"/>
  <c r="CS20" i="99" s="1"/>
  <c r="D119" i="79"/>
  <c r="G69" i="92" s="1"/>
  <c r="L118" i="79"/>
  <c r="E118" i="79"/>
  <c r="CR20" i="99" s="1"/>
  <c r="D117" i="79"/>
  <c r="L110" i="79"/>
  <c r="D110" i="79" s="1"/>
  <c r="AW71" i="92" s="1"/>
  <c r="E110" i="79"/>
  <c r="CP20" i="99" s="1"/>
  <c r="L109" i="79"/>
  <c r="E109" i="79"/>
  <c r="CO20" i="99" s="1"/>
  <c r="D109" i="79"/>
  <c r="AZ69" i="92" s="1"/>
  <c r="L108" i="79"/>
  <c r="E108" i="79"/>
  <c r="CN20" i="99" s="1"/>
  <c r="D108" i="79"/>
  <c r="AZ67" i="92" s="1"/>
  <c r="L107" i="79"/>
  <c r="E107" i="79"/>
  <c r="CM20" i="99" s="1"/>
  <c r="D107" i="79"/>
  <c r="AZ65" i="92" s="1"/>
  <c r="L106" i="79"/>
  <c r="E106" i="79"/>
  <c r="CL20" i="99" s="1"/>
  <c r="D106" i="79"/>
  <c r="AZ63" i="92" s="1"/>
  <c r="L105" i="79"/>
  <c r="E105" i="79"/>
  <c r="CK20" i="99" s="1"/>
  <c r="D105" i="79"/>
  <c r="AZ61" i="92" s="1"/>
  <c r="D104" i="79"/>
  <c r="J97" i="79"/>
  <c r="L90" i="79" s="1"/>
  <c r="G97" i="79"/>
  <c r="J91" i="79" s="1"/>
  <c r="J96" i="79"/>
  <c r="G96" i="79"/>
  <c r="J95" i="79"/>
  <c r="G95" i="79"/>
  <c r="J94" i="79"/>
  <c r="G94" i="79"/>
  <c r="F89" i="79"/>
  <c r="CI20" i="99" s="1"/>
  <c r="E89" i="79"/>
  <c r="CH20" i="99" s="1"/>
  <c r="D89" i="79"/>
  <c r="CG20" i="99" s="1"/>
  <c r="F88" i="79"/>
  <c r="E88" i="79"/>
  <c r="CE20" i="99" s="1"/>
  <c r="D88" i="79"/>
  <c r="CD20" i="99" s="1"/>
  <c r="F87" i="79"/>
  <c r="E87" i="79"/>
  <c r="CB20" i="99" s="1"/>
  <c r="D87" i="79"/>
  <c r="CA20" i="99" s="1"/>
  <c r="F81" i="79"/>
  <c r="E81" i="79"/>
  <c r="D81" i="79"/>
  <c r="F80" i="79"/>
  <c r="E80" i="79"/>
  <c r="D80" i="79"/>
  <c r="F79" i="79"/>
  <c r="E79" i="79"/>
  <c r="D79" i="79"/>
  <c r="F78" i="79"/>
  <c r="E78" i="79"/>
  <c r="D78" i="79"/>
  <c r="F77" i="79"/>
  <c r="E77" i="79"/>
  <c r="D77" i="79"/>
  <c r="I76" i="79"/>
  <c r="F76" i="79"/>
  <c r="E76" i="79"/>
  <c r="D76" i="79"/>
  <c r="I75" i="79"/>
  <c r="F75" i="79"/>
  <c r="E75" i="79"/>
  <c r="D75" i="79"/>
  <c r="I74" i="79"/>
  <c r="F74" i="79"/>
  <c r="BY20" i="99" s="1"/>
  <c r="E74" i="79"/>
  <c r="BX20" i="99" s="1"/>
  <c r="I73" i="79"/>
  <c r="F73" i="79"/>
  <c r="BV20" i="99" s="1"/>
  <c r="E73" i="79"/>
  <c r="BU20" i="99" s="1"/>
  <c r="I72" i="79"/>
  <c r="F72" i="79"/>
  <c r="BS20" i="99" s="1"/>
  <c r="E72" i="79"/>
  <c r="BR20" i="99" s="1"/>
  <c r="K71" i="79"/>
  <c r="J71" i="79"/>
  <c r="I56" i="79"/>
  <c r="BG20" i="99" s="1"/>
  <c r="H56" i="79"/>
  <c r="BF20" i="99" s="1"/>
  <c r="G56" i="79"/>
  <c r="BE20" i="99" s="1"/>
  <c r="F56" i="79"/>
  <c r="BD20" i="99" s="1"/>
  <c r="E56" i="79"/>
  <c r="BC20" i="99" s="1"/>
  <c r="I55" i="79"/>
  <c r="AZ20" i="99" s="1"/>
  <c r="H55" i="79"/>
  <c r="AY20" i="99" s="1"/>
  <c r="G55" i="79"/>
  <c r="AX20" i="99" s="1"/>
  <c r="F55" i="79"/>
  <c r="AW20" i="99" s="1"/>
  <c r="E55" i="79"/>
  <c r="AV20" i="99" s="1"/>
  <c r="I54" i="79"/>
  <c r="AS20" i="99" s="1"/>
  <c r="H54" i="79"/>
  <c r="AR20" i="99" s="1"/>
  <c r="G54" i="79"/>
  <c r="AQ20" i="99" s="1"/>
  <c r="F54" i="79"/>
  <c r="AP20" i="99" s="1"/>
  <c r="E54" i="79"/>
  <c r="AO20" i="99" s="1"/>
  <c r="I53" i="79"/>
  <c r="AL20" i="99" s="1"/>
  <c r="H53" i="79"/>
  <c r="AK20" i="99" s="1"/>
  <c r="G53" i="79"/>
  <c r="AJ20" i="99" s="1"/>
  <c r="F53" i="79"/>
  <c r="AI20" i="99" s="1"/>
  <c r="E53" i="79"/>
  <c r="AH20" i="99" s="1"/>
  <c r="H26" i="79"/>
  <c r="U20" i="99" s="1"/>
  <c r="G26" i="79"/>
  <c r="T20" i="99" s="1"/>
  <c r="G25" i="79"/>
  <c r="S20" i="99" s="1"/>
  <c r="E25" i="79"/>
  <c r="L20" i="99" s="1"/>
  <c r="G24" i="79"/>
  <c r="R20" i="99" s="1"/>
  <c r="H23" i="79"/>
  <c r="Q20" i="99" s="1"/>
  <c r="G23" i="79"/>
  <c r="P20" i="99" s="1"/>
  <c r="G22" i="79"/>
  <c r="E22" i="79"/>
  <c r="I20" i="99" s="1"/>
  <c r="G21" i="79"/>
  <c r="E21" i="79"/>
  <c r="H20" i="99" s="1"/>
  <c r="B728" i="78"/>
  <c r="B716" i="78"/>
  <c r="L698" i="78"/>
  <c r="M697" i="78" s="1"/>
  <c r="K697" i="78" s="1"/>
  <c r="G698" i="78"/>
  <c r="H697" i="78" s="1"/>
  <c r="F697" i="78" s="1"/>
  <c r="B698" i="78"/>
  <c r="L695" i="78"/>
  <c r="G695" i="78"/>
  <c r="B695" i="78"/>
  <c r="L694" i="78"/>
  <c r="G694" i="78"/>
  <c r="B694" i="78"/>
  <c r="L693" i="78"/>
  <c r="G693" i="78"/>
  <c r="B693" i="78"/>
  <c r="L690" i="78"/>
  <c r="G690" i="78"/>
  <c r="B690" i="78"/>
  <c r="L689" i="78"/>
  <c r="G689" i="78"/>
  <c r="B689" i="78"/>
  <c r="L686" i="78"/>
  <c r="G686" i="78"/>
  <c r="B686" i="78"/>
  <c r="L685" i="78"/>
  <c r="G685" i="78"/>
  <c r="B685" i="78"/>
  <c r="L682" i="78"/>
  <c r="L681" i="78" s="1"/>
  <c r="G682" i="78"/>
  <c r="H681" i="78" s="1"/>
  <c r="F681" i="78" s="1"/>
  <c r="B682" i="78"/>
  <c r="L679" i="78"/>
  <c r="L678" i="78" s="1"/>
  <c r="G679" i="78"/>
  <c r="B679" i="78"/>
  <c r="L676" i="78"/>
  <c r="G676" i="78"/>
  <c r="B676" i="78"/>
  <c r="L675" i="78"/>
  <c r="G675" i="78"/>
  <c r="B675" i="78"/>
  <c r="L672" i="78"/>
  <c r="G672" i="78"/>
  <c r="B672" i="78"/>
  <c r="L671" i="78"/>
  <c r="G671" i="78"/>
  <c r="B671" i="78"/>
  <c r="N670" i="78"/>
  <c r="I670" i="78"/>
  <c r="L636" i="78"/>
  <c r="M315" i="79" s="1"/>
  <c r="FU20" i="99" s="1"/>
  <c r="G636" i="78"/>
  <c r="M314" i="79" s="1"/>
  <c r="FT20" i="99" s="1"/>
  <c r="B636" i="78"/>
  <c r="L635" i="78"/>
  <c r="M296" i="79" s="1"/>
  <c r="FG20" i="99" s="1"/>
  <c r="G635" i="78"/>
  <c r="M295" i="79" s="1"/>
  <c r="FF20" i="99" s="1"/>
  <c r="B635" i="78"/>
  <c r="L634" i="78"/>
  <c r="M277" i="79" s="1"/>
  <c r="EQ20" i="99" s="1"/>
  <c r="G634" i="78"/>
  <c r="M276" i="79" s="1"/>
  <c r="EP20" i="99" s="1"/>
  <c r="B634" i="78"/>
  <c r="L631" i="78"/>
  <c r="M279" i="79" s="1"/>
  <c r="ES20" i="99" s="1"/>
  <c r="G631" i="78"/>
  <c r="B631" i="78"/>
  <c r="L630" i="78"/>
  <c r="G630" i="78"/>
  <c r="F148" i="79" s="1"/>
  <c r="CY20" i="99" s="1"/>
  <c r="B630" i="78"/>
  <c r="L627" i="78"/>
  <c r="M317" i="79" s="1"/>
  <c r="FW20" i="99" s="1"/>
  <c r="G627" i="78"/>
  <c r="M316" i="79" s="1"/>
  <c r="FV20" i="99" s="1"/>
  <c r="B627" i="78"/>
  <c r="L626" i="78"/>
  <c r="M298" i="79" s="1"/>
  <c r="FI20" i="99" s="1"/>
  <c r="G626" i="78"/>
  <c r="M297" i="79" s="1"/>
  <c r="FH20" i="99" s="1"/>
  <c r="B626" i="78"/>
  <c r="L625" i="78"/>
  <c r="M149" i="79" s="1"/>
  <c r="DH20" i="99" s="1"/>
  <c r="G625" i="78"/>
  <c r="F149" i="79" s="1"/>
  <c r="CZ20" i="99" s="1"/>
  <c r="B625" i="78"/>
  <c r="L622" i="78"/>
  <c r="M156" i="79" s="1"/>
  <c r="DN20" i="99" s="1"/>
  <c r="G622" i="78"/>
  <c r="F156" i="79" s="1"/>
  <c r="DF20" i="99" s="1"/>
  <c r="B622" i="78"/>
  <c r="L621" i="78"/>
  <c r="G621" i="78"/>
  <c r="B621" i="78"/>
  <c r="L618" i="78"/>
  <c r="M155" i="79" s="1"/>
  <c r="DM20" i="99" s="1"/>
  <c r="G618" i="78"/>
  <c r="F155" i="79" s="1"/>
  <c r="DE20" i="99" s="1"/>
  <c r="B618" i="78"/>
  <c r="L617" i="78"/>
  <c r="G617" i="78"/>
  <c r="B617" i="78"/>
  <c r="L614" i="78"/>
  <c r="M154" i="79" s="1"/>
  <c r="DL20" i="99" s="1"/>
  <c r="G614" i="78"/>
  <c r="F154" i="79" s="1"/>
  <c r="DD20" i="99" s="1"/>
  <c r="B614" i="78"/>
  <c r="L613" i="78"/>
  <c r="G613" i="78"/>
  <c r="B613" i="78"/>
  <c r="L610" i="78"/>
  <c r="L56" i="79" s="1"/>
  <c r="BI20" i="99" s="1"/>
  <c r="G610" i="78"/>
  <c r="L54" i="79" s="1"/>
  <c r="AU20" i="99" s="1"/>
  <c r="B610" i="78"/>
  <c r="L609" i="78"/>
  <c r="L55" i="79" s="1"/>
  <c r="BB20" i="99" s="1"/>
  <c r="G609" i="78"/>
  <c r="L53" i="79" s="1"/>
  <c r="AN20" i="99" s="1"/>
  <c r="B609" i="78"/>
  <c r="L608" i="78"/>
  <c r="G608" i="78"/>
  <c r="B608" i="78"/>
  <c r="L607" i="78"/>
  <c r="G607" i="78"/>
  <c r="B607" i="78"/>
  <c r="L606" i="78"/>
  <c r="G606" i="78"/>
  <c r="B606" i="78"/>
  <c r="L605" i="78"/>
  <c r="G605" i="78"/>
  <c r="B605" i="78"/>
  <c r="N604" i="78"/>
  <c r="I604" i="78"/>
  <c r="I572" i="78"/>
  <c r="N15" i="78" s="1"/>
  <c r="G54" i="99" s="1"/>
  <c r="I570" i="78"/>
  <c r="K15" i="78" s="1"/>
  <c r="F54" i="99" s="1"/>
  <c r="N565" i="78"/>
  <c r="M565" i="78"/>
  <c r="L565" i="78"/>
  <c r="K565" i="78"/>
  <c r="J565" i="78"/>
  <c r="I565" i="78"/>
  <c r="H565" i="78"/>
  <c r="G565" i="78"/>
  <c r="F565" i="78"/>
  <c r="E565" i="78"/>
  <c r="O564" i="78"/>
  <c r="F308" i="79" s="1"/>
  <c r="FQ20" i="99" s="1"/>
  <c r="B564" i="78"/>
  <c r="O563" i="78"/>
  <c r="F307" i="79" s="1"/>
  <c r="FP20" i="99" s="1"/>
  <c r="B563" i="78"/>
  <c r="N558" i="78"/>
  <c r="M558" i="78"/>
  <c r="L558" i="78"/>
  <c r="K558" i="78"/>
  <c r="J558" i="78"/>
  <c r="I558" i="78"/>
  <c r="H558" i="78"/>
  <c r="G558" i="78"/>
  <c r="F558" i="78"/>
  <c r="E558" i="78"/>
  <c r="O557" i="78"/>
  <c r="F289" i="79" s="1"/>
  <c r="FC20" i="99" s="1"/>
  <c r="B557" i="78"/>
  <c r="O556" i="78"/>
  <c r="F288" i="79" s="1"/>
  <c r="FB20" i="99" s="1"/>
  <c r="B556" i="78"/>
  <c r="N550" i="78"/>
  <c r="M550" i="78"/>
  <c r="L550" i="78"/>
  <c r="K550" i="78"/>
  <c r="J550" i="78"/>
  <c r="I550" i="78"/>
  <c r="H550" i="78"/>
  <c r="G550" i="78"/>
  <c r="F550" i="78"/>
  <c r="E550" i="78"/>
  <c r="O549" i="78"/>
  <c r="F270" i="79" s="1"/>
  <c r="EM20" i="99" s="1"/>
  <c r="B549" i="78"/>
  <c r="O548" i="78"/>
  <c r="F269" i="79" s="1"/>
  <c r="EL20" i="99" s="1"/>
  <c r="B548" i="78"/>
  <c r="N538" i="78"/>
  <c r="M538" i="78"/>
  <c r="L538" i="78"/>
  <c r="K538" i="78"/>
  <c r="J538" i="78"/>
  <c r="I538" i="78"/>
  <c r="H538" i="78"/>
  <c r="G538" i="78"/>
  <c r="F538" i="78"/>
  <c r="E538" i="78"/>
  <c r="O537" i="78"/>
  <c r="E308" i="79" s="1"/>
  <c r="FL20" i="99" s="1"/>
  <c r="B537" i="78"/>
  <c r="O536" i="78"/>
  <c r="E307" i="79" s="1"/>
  <c r="FK20" i="99" s="1"/>
  <c r="B536" i="78"/>
  <c r="N531" i="78"/>
  <c r="M531" i="78"/>
  <c r="L531" i="78"/>
  <c r="K531" i="78"/>
  <c r="J531" i="78"/>
  <c r="I531" i="78"/>
  <c r="H531" i="78"/>
  <c r="G531" i="78"/>
  <c r="F531" i="78"/>
  <c r="E531" i="78"/>
  <c r="O530" i="78"/>
  <c r="E289" i="79" s="1"/>
  <c r="EW20" i="99" s="1"/>
  <c r="B530" i="78"/>
  <c r="O529" i="78"/>
  <c r="E288" i="79" s="1"/>
  <c r="EV20" i="99" s="1"/>
  <c r="B529" i="78"/>
  <c r="N523" i="78"/>
  <c r="M523" i="78"/>
  <c r="L523" i="78"/>
  <c r="K523" i="78"/>
  <c r="J523" i="78"/>
  <c r="I523" i="78"/>
  <c r="H523" i="78"/>
  <c r="G523" i="78"/>
  <c r="F523" i="78"/>
  <c r="E523" i="78"/>
  <c r="O522" i="78"/>
  <c r="E270" i="79" s="1"/>
  <c r="EH20" i="99" s="1"/>
  <c r="B522" i="78"/>
  <c r="O521" i="78"/>
  <c r="E269" i="79" s="1"/>
  <c r="EG20" i="99" s="1"/>
  <c r="B521" i="78"/>
  <c r="I499" i="78"/>
  <c r="N14" i="78" s="1"/>
  <c r="G53" i="99" s="1"/>
  <c r="I497" i="78"/>
  <c r="K14" i="78" s="1"/>
  <c r="F53" i="99" s="1"/>
  <c r="O492" i="78"/>
  <c r="B492" i="78"/>
  <c r="O491" i="78"/>
  <c r="B491" i="78"/>
  <c r="O490" i="78"/>
  <c r="B490" i="78"/>
  <c r="O489" i="78"/>
  <c r="B489" i="78"/>
  <c r="O488" i="78"/>
  <c r="B488" i="78"/>
  <c r="N487" i="78"/>
  <c r="N214" i="79" s="1"/>
  <c r="J58" i="97" s="1"/>
  <c r="M487" i="78"/>
  <c r="M214" i="79" s="1"/>
  <c r="J57" i="97" s="1"/>
  <c r="L487" i="78"/>
  <c r="L214" i="79" s="1"/>
  <c r="J56" i="97" s="1"/>
  <c r="K487" i="78"/>
  <c r="K214" i="79" s="1"/>
  <c r="J55" i="97" s="1"/>
  <c r="J487" i="78"/>
  <c r="J214" i="79" s="1"/>
  <c r="J54" i="97" s="1"/>
  <c r="I487" i="78"/>
  <c r="I214" i="79" s="1"/>
  <c r="J53" i="97" s="1"/>
  <c r="H487" i="78"/>
  <c r="H214" i="79" s="1"/>
  <c r="J52" i="97" s="1"/>
  <c r="G487" i="78"/>
  <c r="G214" i="79" s="1"/>
  <c r="J51" i="97" s="1"/>
  <c r="F487" i="78"/>
  <c r="F214" i="79" s="1"/>
  <c r="J50" i="97" s="1"/>
  <c r="E487" i="78"/>
  <c r="E214" i="79" s="1"/>
  <c r="J49" i="97" s="1"/>
  <c r="O486" i="78"/>
  <c r="B486" i="78"/>
  <c r="O485" i="78"/>
  <c r="B485" i="78"/>
  <c r="O484" i="78"/>
  <c r="B484" i="78"/>
  <c r="O483" i="78"/>
  <c r="B483" i="78"/>
  <c r="O482" i="78"/>
  <c r="B482" i="78"/>
  <c r="N481" i="78"/>
  <c r="N213" i="79" s="1"/>
  <c r="I58" i="97" s="1"/>
  <c r="M481" i="78"/>
  <c r="M213" i="79" s="1"/>
  <c r="I57" i="97" s="1"/>
  <c r="L481" i="78"/>
  <c r="K481" i="78"/>
  <c r="K213" i="79" s="1"/>
  <c r="I55" i="97" s="1"/>
  <c r="J481" i="78"/>
  <c r="I481" i="78"/>
  <c r="I213" i="79" s="1"/>
  <c r="I53" i="97" s="1"/>
  <c r="H481" i="78"/>
  <c r="G481" i="78"/>
  <c r="F481" i="78"/>
  <c r="F213" i="79" s="1"/>
  <c r="I50" i="97" s="1"/>
  <c r="E481" i="78"/>
  <c r="O478" i="78"/>
  <c r="B478" i="78"/>
  <c r="O477" i="78"/>
  <c r="B477" i="78"/>
  <c r="O476" i="78"/>
  <c r="B476" i="78"/>
  <c r="O475" i="78"/>
  <c r="B475" i="78"/>
  <c r="O474" i="78"/>
  <c r="B474" i="78"/>
  <c r="O473" i="78"/>
  <c r="B473" i="78"/>
  <c r="N472" i="78"/>
  <c r="N554" i="78" s="1"/>
  <c r="M472" i="78"/>
  <c r="M212" i="79" s="1"/>
  <c r="H57" i="97" s="1"/>
  <c r="L472" i="78"/>
  <c r="L554" i="78" s="1"/>
  <c r="K472" i="78"/>
  <c r="K212" i="79" s="1"/>
  <c r="H55" i="97" s="1"/>
  <c r="J472" i="78"/>
  <c r="J212" i="79" s="1"/>
  <c r="H54" i="97" s="1"/>
  <c r="I472" i="78"/>
  <c r="I212" i="79" s="1"/>
  <c r="H53" i="97" s="1"/>
  <c r="H472" i="78"/>
  <c r="H554" i="78" s="1"/>
  <c r="G472" i="78"/>
  <c r="G212" i="79" s="1"/>
  <c r="H51" i="97" s="1"/>
  <c r="F472" i="78"/>
  <c r="F554" i="78" s="1"/>
  <c r="E472" i="78"/>
  <c r="O470" i="78"/>
  <c r="B470" i="78"/>
  <c r="O469" i="78"/>
  <c r="B469" i="78"/>
  <c r="O468" i="78"/>
  <c r="B468" i="78"/>
  <c r="O467" i="78"/>
  <c r="B467" i="78"/>
  <c r="O466" i="78"/>
  <c r="B466" i="78"/>
  <c r="O465" i="78"/>
  <c r="B465" i="78"/>
  <c r="N464" i="78"/>
  <c r="N211" i="79" s="1"/>
  <c r="G58" i="97" s="1"/>
  <c r="M464" i="78"/>
  <c r="M211" i="79" s="1"/>
  <c r="G57" i="97" s="1"/>
  <c r="L464" i="78"/>
  <c r="L211" i="79" s="1"/>
  <c r="G56" i="97" s="1"/>
  <c r="K464" i="78"/>
  <c r="K211" i="79" s="1"/>
  <c r="G55" i="97" s="1"/>
  <c r="J464" i="78"/>
  <c r="J211" i="79" s="1"/>
  <c r="G54" i="97" s="1"/>
  <c r="I464" i="78"/>
  <c r="I211" i="79" s="1"/>
  <c r="G53" i="97" s="1"/>
  <c r="H464" i="78"/>
  <c r="H211" i="79" s="1"/>
  <c r="G52" i="97" s="1"/>
  <c r="G464" i="78"/>
  <c r="G211" i="79" s="1"/>
  <c r="G51" i="97" s="1"/>
  <c r="F464" i="78"/>
  <c r="F211" i="79" s="1"/>
  <c r="G50" i="97" s="1"/>
  <c r="E464" i="78"/>
  <c r="E211" i="79" s="1"/>
  <c r="G49" i="97" s="1"/>
  <c r="O463" i="78"/>
  <c r="B463" i="78"/>
  <c r="O462" i="78"/>
  <c r="B462" i="78"/>
  <c r="O461" i="78"/>
  <c r="B461" i="78"/>
  <c r="O460" i="78"/>
  <c r="B460" i="78"/>
  <c r="O459" i="78"/>
  <c r="B459" i="78"/>
  <c r="O458" i="78"/>
  <c r="B458" i="78"/>
  <c r="N457" i="78"/>
  <c r="N210" i="79" s="1"/>
  <c r="F58" i="97" s="1"/>
  <c r="M457" i="78"/>
  <c r="M210" i="79" s="1"/>
  <c r="F57" i="97" s="1"/>
  <c r="L457" i="78"/>
  <c r="L210" i="79" s="1"/>
  <c r="F56" i="97" s="1"/>
  <c r="K457" i="78"/>
  <c r="K210" i="79" s="1"/>
  <c r="F55" i="97" s="1"/>
  <c r="J457" i="78"/>
  <c r="I457" i="78"/>
  <c r="I210" i="79" s="1"/>
  <c r="F53" i="97" s="1"/>
  <c r="H457" i="78"/>
  <c r="G457" i="78"/>
  <c r="F457" i="78"/>
  <c r="F210" i="79" s="1"/>
  <c r="F50" i="97" s="1"/>
  <c r="E457" i="78"/>
  <c r="O447" i="78"/>
  <c r="B447" i="78"/>
  <c r="O446" i="78"/>
  <c r="B446" i="78"/>
  <c r="O445" i="78"/>
  <c r="B445" i="78"/>
  <c r="O444" i="78"/>
  <c r="B444" i="78"/>
  <c r="O443" i="78"/>
  <c r="B443" i="78"/>
  <c r="N442" i="78"/>
  <c r="N197" i="79" s="1"/>
  <c r="J48" i="97" s="1"/>
  <c r="M442" i="78"/>
  <c r="M197" i="79" s="1"/>
  <c r="J47" i="97" s="1"/>
  <c r="L442" i="78"/>
  <c r="K442" i="78"/>
  <c r="K197" i="79" s="1"/>
  <c r="J45" i="97" s="1"/>
  <c r="J442" i="78"/>
  <c r="J197" i="79" s="1"/>
  <c r="J44" i="97" s="1"/>
  <c r="I442" i="78"/>
  <c r="I197" i="79" s="1"/>
  <c r="J43" i="97" s="1"/>
  <c r="H442" i="78"/>
  <c r="H197" i="79" s="1"/>
  <c r="J42" i="97" s="1"/>
  <c r="G442" i="78"/>
  <c r="G197" i="79" s="1"/>
  <c r="J41" i="97" s="1"/>
  <c r="F442" i="78"/>
  <c r="F197" i="79" s="1"/>
  <c r="J40" i="97" s="1"/>
  <c r="E442" i="78"/>
  <c r="O441" i="78"/>
  <c r="B441" i="78"/>
  <c r="O440" i="78"/>
  <c r="B440" i="78"/>
  <c r="O439" i="78"/>
  <c r="B439" i="78"/>
  <c r="O438" i="78"/>
  <c r="B438" i="78"/>
  <c r="O437" i="78"/>
  <c r="B437" i="78"/>
  <c r="N436" i="78"/>
  <c r="N196" i="79" s="1"/>
  <c r="I48" i="97" s="1"/>
  <c r="M436" i="78"/>
  <c r="M196" i="79" s="1"/>
  <c r="I47" i="97" s="1"/>
  <c r="L436" i="78"/>
  <c r="L196" i="79" s="1"/>
  <c r="I46" i="97" s="1"/>
  <c r="K436" i="78"/>
  <c r="K196" i="79" s="1"/>
  <c r="I45" i="97" s="1"/>
  <c r="J436" i="78"/>
  <c r="I436" i="78"/>
  <c r="I196" i="79" s="1"/>
  <c r="I43" i="97" s="1"/>
  <c r="H436" i="78"/>
  <c r="G436" i="78"/>
  <c r="F436" i="78"/>
  <c r="F196" i="79" s="1"/>
  <c r="I40" i="97" s="1"/>
  <c r="E436" i="78"/>
  <c r="O433" i="78"/>
  <c r="B433" i="78"/>
  <c r="O432" i="78"/>
  <c r="B432" i="78"/>
  <c r="O431" i="78"/>
  <c r="B431" i="78"/>
  <c r="O430" i="78"/>
  <c r="B430" i="78"/>
  <c r="O429" i="78"/>
  <c r="B429" i="78"/>
  <c r="O428" i="78"/>
  <c r="B428" i="78"/>
  <c r="N427" i="78"/>
  <c r="N195" i="79" s="1"/>
  <c r="H48" i="97" s="1"/>
  <c r="M427" i="78"/>
  <c r="M527" i="78" s="1"/>
  <c r="L427" i="78"/>
  <c r="L195" i="79" s="1"/>
  <c r="H46" i="97" s="1"/>
  <c r="K427" i="78"/>
  <c r="K195" i="79" s="1"/>
  <c r="H45" i="97" s="1"/>
  <c r="J427" i="78"/>
  <c r="J195" i="79" s="1"/>
  <c r="H44" i="97" s="1"/>
  <c r="I427" i="78"/>
  <c r="I195" i="79" s="1"/>
  <c r="H43" i="97" s="1"/>
  <c r="H427" i="78"/>
  <c r="G427" i="78"/>
  <c r="G195" i="79" s="1"/>
  <c r="H41" i="97" s="1"/>
  <c r="F427" i="78"/>
  <c r="F195" i="79" s="1"/>
  <c r="H40" i="97" s="1"/>
  <c r="E427" i="78"/>
  <c r="O425" i="78"/>
  <c r="B425" i="78"/>
  <c r="O424" i="78"/>
  <c r="B424" i="78"/>
  <c r="O423" i="78"/>
  <c r="B423" i="78"/>
  <c r="O422" i="78"/>
  <c r="B422" i="78"/>
  <c r="O421" i="78"/>
  <c r="B421" i="78"/>
  <c r="O420" i="78"/>
  <c r="B420" i="78"/>
  <c r="N419" i="78"/>
  <c r="N194" i="79" s="1"/>
  <c r="G48" i="97" s="1"/>
  <c r="M419" i="78"/>
  <c r="M194" i="79" s="1"/>
  <c r="G47" i="97" s="1"/>
  <c r="L419" i="78"/>
  <c r="K419" i="78"/>
  <c r="K194" i="79" s="1"/>
  <c r="G45" i="97" s="1"/>
  <c r="J419" i="78"/>
  <c r="J194" i="79" s="1"/>
  <c r="G44" i="97" s="1"/>
  <c r="I419" i="78"/>
  <c r="I194" i="79" s="1"/>
  <c r="G43" i="97" s="1"/>
  <c r="H419" i="78"/>
  <c r="H194" i="79" s="1"/>
  <c r="G42" i="97" s="1"/>
  <c r="G419" i="78"/>
  <c r="G194" i="79" s="1"/>
  <c r="G41" i="97" s="1"/>
  <c r="F419" i="78"/>
  <c r="F194" i="79" s="1"/>
  <c r="G40" i="97" s="1"/>
  <c r="E419" i="78"/>
  <c r="E194" i="79" s="1"/>
  <c r="G39" i="97" s="1"/>
  <c r="O418" i="78"/>
  <c r="B418" i="78"/>
  <c r="O417" i="78"/>
  <c r="B417" i="78"/>
  <c r="O416" i="78"/>
  <c r="B416" i="78"/>
  <c r="O415" i="78"/>
  <c r="B415" i="78"/>
  <c r="O414" i="78"/>
  <c r="B414" i="78"/>
  <c r="O413" i="78"/>
  <c r="B413" i="78"/>
  <c r="N412" i="78"/>
  <c r="N193" i="79" s="1"/>
  <c r="F48" i="97" s="1"/>
  <c r="M412" i="78"/>
  <c r="M193" i="79" s="1"/>
  <c r="F47" i="97" s="1"/>
  <c r="L412" i="78"/>
  <c r="L193" i="79" s="1"/>
  <c r="F46" i="97" s="1"/>
  <c r="K412" i="78"/>
  <c r="J412" i="78"/>
  <c r="I412" i="78"/>
  <c r="I193" i="79" s="1"/>
  <c r="F43" i="97" s="1"/>
  <c r="H412" i="78"/>
  <c r="G412" i="78"/>
  <c r="F412" i="78"/>
  <c r="F193" i="79" s="1"/>
  <c r="F40" i="97" s="1"/>
  <c r="E412" i="78"/>
  <c r="I371" i="78"/>
  <c r="N13" i="78" s="1"/>
  <c r="G52" i="99" s="1"/>
  <c r="I369" i="78"/>
  <c r="K13" i="78" s="1"/>
  <c r="F52" i="99" s="1"/>
  <c r="F365" i="78"/>
  <c r="E209" i="79" s="1"/>
  <c r="E49" i="97" s="1"/>
  <c r="O363" i="78"/>
  <c r="H363" i="78"/>
  <c r="B361" i="78"/>
  <c r="F355" i="78"/>
  <c r="E192" i="79" s="1"/>
  <c r="E39" i="97" s="1"/>
  <c r="O353" i="78"/>
  <c r="H353" i="78"/>
  <c r="B351" i="78"/>
  <c r="I330" i="78"/>
  <c r="N12" i="78" s="1"/>
  <c r="G51" i="99" s="1"/>
  <c r="I328" i="78"/>
  <c r="K12" i="78" s="1"/>
  <c r="F51" i="99" s="1"/>
  <c r="B316" i="78"/>
  <c r="B315" i="78"/>
  <c r="B314" i="78"/>
  <c r="B313" i="78"/>
  <c r="B312" i="78"/>
  <c r="L303" i="78"/>
  <c r="L302" i="78"/>
  <c r="B302" i="78"/>
  <c r="O295" i="78"/>
  <c r="I12" i="78" s="1"/>
  <c r="E51" i="99" s="1"/>
  <c r="I287" i="78"/>
  <c r="N11" i="78" s="1"/>
  <c r="G50" i="99" s="1"/>
  <c r="I285" i="78"/>
  <c r="K11" i="78" s="1"/>
  <c r="F50" i="99" s="1"/>
  <c r="B273" i="78"/>
  <c r="B272" i="78"/>
  <c r="B271" i="78"/>
  <c r="B270" i="78"/>
  <c r="B269" i="78"/>
  <c r="L259" i="78"/>
  <c r="L258" i="78"/>
  <c r="B258" i="78"/>
  <c r="O251" i="78"/>
  <c r="I11" i="78" s="1"/>
  <c r="E50" i="99" s="1"/>
  <c r="I243" i="78"/>
  <c r="N10" i="78" s="1"/>
  <c r="G49" i="99" s="1"/>
  <c r="I241" i="78"/>
  <c r="K10" i="78" s="1"/>
  <c r="F49" i="99" s="1"/>
  <c r="B222" i="78"/>
  <c r="B221" i="78"/>
  <c r="B220" i="78"/>
  <c r="B201" i="78"/>
  <c r="B200" i="78"/>
  <c r="B199" i="78"/>
  <c r="L187" i="78"/>
  <c r="L186" i="78"/>
  <c r="B186" i="78"/>
  <c r="O179" i="78"/>
  <c r="I10" i="78" s="1"/>
  <c r="E49" i="99" s="1"/>
  <c r="I171" i="78"/>
  <c r="N9" i="78" s="1"/>
  <c r="G48" i="99" s="1"/>
  <c r="I169" i="78"/>
  <c r="K9" i="78" s="1"/>
  <c r="F48" i="99" s="1"/>
  <c r="H121" i="78"/>
  <c r="O120" i="78"/>
  <c r="I41" i="79" s="1"/>
  <c r="AA20" i="99" s="1"/>
  <c r="B120" i="78"/>
  <c r="H82" i="78"/>
  <c r="O81" i="78"/>
  <c r="B98" i="78" s="1"/>
  <c r="B81" i="78"/>
  <c r="E60" i="78"/>
  <c r="E59" i="78"/>
  <c r="E58" i="78"/>
  <c r="E57" i="78"/>
  <c r="E55" i="78"/>
  <c r="E53" i="78"/>
  <c r="E51" i="78"/>
  <c r="E545" i="78" s="1"/>
  <c r="F545" i="78" s="1"/>
  <c r="G545" i="78" s="1"/>
  <c r="H545" i="78" s="1"/>
  <c r="I545" i="78" s="1"/>
  <c r="J545" i="78" s="1"/>
  <c r="K545" i="78" s="1"/>
  <c r="L545" i="78" s="1"/>
  <c r="M545" i="78" s="1"/>
  <c r="N545" i="78" s="1"/>
  <c r="D40" i="78"/>
  <c r="L40" i="78" s="1"/>
  <c r="D39" i="78"/>
  <c r="H39" i="78" s="1"/>
  <c r="D38" i="78"/>
  <c r="D37" i="78"/>
  <c r="M37" i="78" s="1"/>
  <c r="N35" i="78"/>
  <c r="M35" i="78"/>
  <c r="L35" i="78"/>
  <c r="J35" i="78"/>
  <c r="H35" i="78"/>
  <c r="F35" i="78"/>
  <c r="D35" i="78"/>
  <c r="D29" i="78"/>
  <c r="N18" i="78"/>
  <c r="G57" i="99" s="1"/>
  <c r="K18" i="78"/>
  <c r="F57" i="99" s="1"/>
  <c r="I18" i="78"/>
  <c r="E57" i="99" s="1"/>
  <c r="N17" i="78"/>
  <c r="G56" i="99" s="1"/>
  <c r="K17" i="78"/>
  <c r="F56" i="99" s="1"/>
  <c r="N16" i="78"/>
  <c r="G55" i="99" s="1"/>
  <c r="K16" i="78"/>
  <c r="F55" i="99" s="1"/>
  <c r="N8" i="78"/>
  <c r="G47" i="99" s="1"/>
  <c r="K8" i="78"/>
  <c r="F47" i="99" s="1"/>
  <c r="B728" i="44"/>
  <c r="B716" i="44"/>
  <c r="L698" i="44"/>
  <c r="M697" i="44" s="1"/>
  <c r="K697" i="44" s="1"/>
  <c r="G698" i="44"/>
  <c r="G697" i="44" s="1"/>
  <c r="B698" i="44"/>
  <c r="L695" i="44"/>
  <c r="G695" i="44"/>
  <c r="B695" i="44"/>
  <c r="L694" i="44"/>
  <c r="G694" i="44"/>
  <c r="B694" i="44"/>
  <c r="L693" i="44"/>
  <c r="G693" i="44"/>
  <c r="B693" i="44"/>
  <c r="L690" i="44"/>
  <c r="G690" i="44"/>
  <c r="B690" i="44"/>
  <c r="L689" i="44"/>
  <c r="G689" i="44"/>
  <c r="B689" i="44"/>
  <c r="L686" i="44"/>
  <c r="G686" i="44"/>
  <c r="B686" i="44"/>
  <c r="L685" i="44"/>
  <c r="G685" i="44"/>
  <c r="B685" i="44"/>
  <c r="L682" i="44"/>
  <c r="L681" i="44" s="1"/>
  <c r="G682" i="44"/>
  <c r="G681" i="44" s="1"/>
  <c r="B682" i="44"/>
  <c r="L679" i="44"/>
  <c r="M678" i="44" s="1"/>
  <c r="K678" i="44" s="1"/>
  <c r="G679" i="44"/>
  <c r="H678" i="44" s="1"/>
  <c r="F678" i="44" s="1"/>
  <c r="B679" i="44"/>
  <c r="L676" i="44"/>
  <c r="G676" i="44"/>
  <c r="B676" i="44"/>
  <c r="L675" i="44"/>
  <c r="G675" i="44"/>
  <c r="B675" i="44"/>
  <c r="L672" i="44"/>
  <c r="G672" i="44"/>
  <c r="B672" i="44"/>
  <c r="L671" i="44"/>
  <c r="G671" i="44"/>
  <c r="B671" i="44"/>
  <c r="N670" i="44"/>
  <c r="I670" i="44"/>
  <c r="L636" i="44"/>
  <c r="M315" i="52" s="1"/>
  <c r="FU19" i="99" s="1"/>
  <c r="G636" i="44"/>
  <c r="M314" i="52" s="1"/>
  <c r="FT19" i="99" s="1"/>
  <c r="B636" i="44"/>
  <c r="L635" i="44"/>
  <c r="M296" i="52" s="1"/>
  <c r="FG19" i="99" s="1"/>
  <c r="G635" i="44"/>
  <c r="M295" i="52" s="1"/>
  <c r="FF19" i="99" s="1"/>
  <c r="B635" i="44"/>
  <c r="L634" i="44"/>
  <c r="M277" i="52" s="1"/>
  <c r="EQ19" i="99" s="1"/>
  <c r="G634" i="44"/>
  <c r="M276" i="52" s="1"/>
  <c r="EP19" i="99" s="1"/>
  <c r="B634" i="44"/>
  <c r="L631" i="44"/>
  <c r="M279" i="52" s="1"/>
  <c r="ES19" i="99" s="1"/>
  <c r="G631" i="44"/>
  <c r="F150" i="52" s="1"/>
  <c r="DA19" i="99" s="1"/>
  <c r="B631" i="44"/>
  <c r="L630" i="44"/>
  <c r="G630" i="44"/>
  <c r="B630" i="44"/>
  <c r="L627" i="44"/>
  <c r="M152" i="52" s="1"/>
  <c r="DK19" i="99" s="1"/>
  <c r="G627" i="44"/>
  <c r="F152" i="52" s="1"/>
  <c r="DC19" i="99" s="1"/>
  <c r="B627" i="44"/>
  <c r="L626" i="44"/>
  <c r="M298" i="52" s="1"/>
  <c r="FI19" i="99" s="1"/>
  <c r="G626" i="44"/>
  <c r="M297" i="52" s="1"/>
  <c r="FH19" i="99" s="1"/>
  <c r="B626" i="44"/>
  <c r="L625" i="44"/>
  <c r="M149" i="52" s="1"/>
  <c r="DH19" i="99" s="1"/>
  <c r="G625" i="44"/>
  <c r="F149" i="52" s="1"/>
  <c r="CZ19" i="99" s="1"/>
  <c r="B625" i="44"/>
  <c r="L622" i="44"/>
  <c r="M156" i="52" s="1"/>
  <c r="DN19" i="99" s="1"/>
  <c r="G622" i="44"/>
  <c r="B622" i="44"/>
  <c r="L621" i="44"/>
  <c r="G621" i="44"/>
  <c r="B621" i="44"/>
  <c r="L618" i="44"/>
  <c r="M155" i="52" s="1"/>
  <c r="DM19" i="99" s="1"/>
  <c r="G618" i="44"/>
  <c r="F155" i="52" s="1"/>
  <c r="DE19" i="99" s="1"/>
  <c r="B618" i="44"/>
  <c r="L617" i="44"/>
  <c r="G617" i="44"/>
  <c r="B617" i="44"/>
  <c r="L614" i="44"/>
  <c r="M154" i="52" s="1"/>
  <c r="DL19" i="99" s="1"/>
  <c r="G614" i="44"/>
  <c r="F154" i="52" s="1"/>
  <c r="DD19" i="99" s="1"/>
  <c r="B614" i="44"/>
  <c r="L613" i="44"/>
  <c r="G613" i="44"/>
  <c r="B613" i="44"/>
  <c r="L610" i="44"/>
  <c r="L56" i="52" s="1"/>
  <c r="BI19" i="99" s="1"/>
  <c r="G610" i="44"/>
  <c r="L54" i="52" s="1"/>
  <c r="AU19" i="99" s="1"/>
  <c r="B610" i="44"/>
  <c r="L609" i="44"/>
  <c r="L55" i="52" s="1"/>
  <c r="BB19" i="99" s="1"/>
  <c r="G609" i="44"/>
  <c r="L53" i="52" s="1"/>
  <c r="AN19" i="99" s="1"/>
  <c r="B609" i="44"/>
  <c r="L608" i="44"/>
  <c r="G608" i="44"/>
  <c r="B608" i="44"/>
  <c r="L607" i="44"/>
  <c r="G607" i="44"/>
  <c r="B607" i="44"/>
  <c r="L606" i="44"/>
  <c r="G606" i="44"/>
  <c r="B606" i="44"/>
  <c r="L605" i="44"/>
  <c r="G605" i="44"/>
  <c r="B605" i="44"/>
  <c r="N604" i="44"/>
  <c r="I604" i="44"/>
  <c r="I572" i="44"/>
  <c r="N15" i="44" s="1"/>
  <c r="D54" i="99" s="1"/>
  <c r="I570" i="44"/>
  <c r="K15" i="44" s="1"/>
  <c r="C54" i="99" s="1"/>
  <c r="N565" i="44"/>
  <c r="M565" i="44"/>
  <c r="L565" i="44"/>
  <c r="K565" i="44"/>
  <c r="J565" i="44"/>
  <c r="I565" i="44"/>
  <c r="H565" i="44"/>
  <c r="G565" i="44"/>
  <c r="F565" i="44"/>
  <c r="E565" i="44"/>
  <c r="O564" i="44"/>
  <c r="F308" i="52" s="1"/>
  <c r="FQ19" i="99" s="1"/>
  <c r="B564" i="44"/>
  <c r="O563" i="44"/>
  <c r="F307" i="52" s="1"/>
  <c r="FP19" i="99" s="1"/>
  <c r="B563" i="44"/>
  <c r="N558" i="44"/>
  <c r="M558" i="44"/>
  <c r="L558" i="44"/>
  <c r="K558" i="44"/>
  <c r="J558" i="44"/>
  <c r="I558" i="44"/>
  <c r="H558" i="44"/>
  <c r="G558" i="44"/>
  <c r="F558" i="44"/>
  <c r="E558" i="44"/>
  <c r="O557" i="44"/>
  <c r="F289" i="52" s="1"/>
  <c r="FC19" i="99" s="1"/>
  <c r="B557" i="44"/>
  <c r="O556" i="44"/>
  <c r="F288" i="52" s="1"/>
  <c r="FB19" i="99" s="1"/>
  <c r="B556" i="44"/>
  <c r="N550" i="44"/>
  <c r="M550" i="44"/>
  <c r="L550" i="44"/>
  <c r="K550" i="44"/>
  <c r="J550" i="44"/>
  <c r="I550" i="44"/>
  <c r="H550" i="44"/>
  <c r="G550" i="44"/>
  <c r="F550" i="44"/>
  <c r="E550" i="44"/>
  <c r="O549" i="44"/>
  <c r="F270" i="52" s="1"/>
  <c r="EM19" i="99" s="1"/>
  <c r="B549" i="44"/>
  <c r="O548" i="44"/>
  <c r="F269" i="52" s="1"/>
  <c r="EL19" i="99" s="1"/>
  <c r="B548" i="44"/>
  <c r="N538" i="44"/>
  <c r="M538" i="44"/>
  <c r="L538" i="44"/>
  <c r="K538" i="44"/>
  <c r="J538" i="44"/>
  <c r="I538" i="44"/>
  <c r="H538" i="44"/>
  <c r="G538" i="44"/>
  <c r="F538" i="44"/>
  <c r="E538" i="44"/>
  <c r="O537" i="44"/>
  <c r="E308" i="52" s="1"/>
  <c r="FL19" i="99" s="1"/>
  <c r="B537" i="44"/>
  <c r="O536" i="44"/>
  <c r="E307" i="52" s="1"/>
  <c r="FK19" i="99" s="1"/>
  <c r="B536" i="44"/>
  <c r="N531" i="44"/>
  <c r="M531" i="44"/>
  <c r="L531" i="44"/>
  <c r="K531" i="44"/>
  <c r="J531" i="44"/>
  <c r="I531" i="44"/>
  <c r="H531" i="44"/>
  <c r="G531" i="44"/>
  <c r="E531" i="44"/>
  <c r="O530" i="44"/>
  <c r="E289" i="52" s="1"/>
  <c r="EW19" i="99" s="1"/>
  <c r="B530" i="44"/>
  <c r="O529" i="44"/>
  <c r="E288" i="52" s="1"/>
  <c r="EV19" i="99" s="1"/>
  <c r="B529" i="44"/>
  <c r="N523" i="44"/>
  <c r="M523" i="44"/>
  <c r="L523" i="44"/>
  <c r="K523" i="44"/>
  <c r="J523" i="44"/>
  <c r="I523" i="44"/>
  <c r="H523" i="44"/>
  <c r="G523" i="44"/>
  <c r="F523" i="44"/>
  <c r="E523" i="44"/>
  <c r="O522" i="44"/>
  <c r="E270" i="52" s="1"/>
  <c r="EH19" i="99" s="1"/>
  <c r="B522" i="44"/>
  <c r="O521" i="44"/>
  <c r="E269" i="52" s="1"/>
  <c r="EG19" i="99" s="1"/>
  <c r="B521" i="44"/>
  <c r="I499" i="44"/>
  <c r="N14" i="44" s="1"/>
  <c r="D53" i="99" s="1"/>
  <c r="I497" i="44"/>
  <c r="K14" i="44" s="1"/>
  <c r="C53" i="99" s="1"/>
  <c r="O492" i="44"/>
  <c r="B492" i="44"/>
  <c r="O491" i="44"/>
  <c r="B491" i="44"/>
  <c r="O490" i="44"/>
  <c r="B490" i="44"/>
  <c r="O489" i="44"/>
  <c r="B489" i="44"/>
  <c r="O488" i="44"/>
  <c r="B488" i="44"/>
  <c r="N487" i="44"/>
  <c r="N214" i="52" s="1"/>
  <c r="J38" i="97" s="1"/>
  <c r="M487" i="44"/>
  <c r="M214" i="52" s="1"/>
  <c r="J37" i="97" s="1"/>
  <c r="L487" i="44"/>
  <c r="L214" i="52" s="1"/>
  <c r="J36" i="97" s="1"/>
  <c r="K487" i="44"/>
  <c r="K214" i="52" s="1"/>
  <c r="J35" i="97" s="1"/>
  <c r="J487" i="44"/>
  <c r="J214" i="52" s="1"/>
  <c r="J34" i="97" s="1"/>
  <c r="I487" i="44"/>
  <c r="I214" i="52" s="1"/>
  <c r="J33" i="97" s="1"/>
  <c r="H487" i="44"/>
  <c r="H214" i="52" s="1"/>
  <c r="J32" i="97" s="1"/>
  <c r="G487" i="44"/>
  <c r="G214" i="52" s="1"/>
  <c r="J31" i="97" s="1"/>
  <c r="F487" i="44"/>
  <c r="F214" i="52" s="1"/>
  <c r="J30" i="97" s="1"/>
  <c r="E487" i="44"/>
  <c r="E214" i="52" s="1"/>
  <c r="J29" i="97" s="1"/>
  <c r="O486" i="44"/>
  <c r="B486" i="44"/>
  <c r="O485" i="44"/>
  <c r="B485" i="44"/>
  <c r="O484" i="44"/>
  <c r="B484" i="44"/>
  <c r="O483" i="44"/>
  <c r="B483" i="44"/>
  <c r="O482" i="44"/>
  <c r="B482" i="44"/>
  <c r="N481" i="44"/>
  <c r="N213" i="52" s="1"/>
  <c r="I38" i="97" s="1"/>
  <c r="M481" i="44"/>
  <c r="L481" i="44"/>
  <c r="L213" i="52" s="1"/>
  <c r="I36" i="97" s="1"/>
  <c r="K481" i="44"/>
  <c r="K213" i="52" s="1"/>
  <c r="I35" i="97" s="1"/>
  <c r="J481" i="44"/>
  <c r="I481" i="44"/>
  <c r="H481" i="44"/>
  <c r="G481" i="44"/>
  <c r="G213" i="52" s="1"/>
  <c r="I31" i="97" s="1"/>
  <c r="F481" i="44"/>
  <c r="F213" i="52" s="1"/>
  <c r="I30" i="97" s="1"/>
  <c r="E481" i="44"/>
  <c r="E213" i="52" s="1"/>
  <c r="I29" i="97" s="1"/>
  <c r="O478" i="44"/>
  <c r="B478" i="44"/>
  <c r="O477" i="44"/>
  <c r="B477" i="44"/>
  <c r="O476" i="44"/>
  <c r="B476" i="44"/>
  <c r="O475" i="44"/>
  <c r="B475" i="44"/>
  <c r="O474" i="44"/>
  <c r="B474" i="44"/>
  <c r="O473" i="44"/>
  <c r="B473" i="44"/>
  <c r="N472" i="44"/>
  <c r="N554" i="44" s="1"/>
  <c r="M472" i="44"/>
  <c r="M554" i="44" s="1"/>
  <c r="L472" i="44"/>
  <c r="L554" i="44" s="1"/>
  <c r="K472" i="44"/>
  <c r="J472" i="44"/>
  <c r="I472" i="44"/>
  <c r="I554" i="44" s="1"/>
  <c r="H472" i="44"/>
  <c r="H554" i="44" s="1"/>
  <c r="G472" i="44"/>
  <c r="G554" i="44" s="1"/>
  <c r="F472" i="44"/>
  <c r="F554" i="44" s="1"/>
  <c r="E472" i="44"/>
  <c r="E554" i="44" s="1"/>
  <c r="O470" i="44"/>
  <c r="B470" i="44"/>
  <c r="O469" i="44"/>
  <c r="B469" i="44"/>
  <c r="O468" i="44"/>
  <c r="B468" i="44"/>
  <c r="O467" i="44"/>
  <c r="B467" i="44"/>
  <c r="O466" i="44"/>
  <c r="B466" i="44"/>
  <c r="O465" i="44"/>
  <c r="B465" i="44"/>
  <c r="N464" i="44"/>
  <c r="N211" i="52" s="1"/>
  <c r="G38" i="97" s="1"/>
  <c r="M464" i="44"/>
  <c r="L464" i="44"/>
  <c r="K464" i="44"/>
  <c r="K211" i="52" s="1"/>
  <c r="G35" i="97" s="1"/>
  <c r="J464" i="44"/>
  <c r="I464" i="44"/>
  <c r="I211" i="52" s="1"/>
  <c r="G33" i="97" s="1"/>
  <c r="H464" i="44"/>
  <c r="H211" i="52" s="1"/>
  <c r="G32" i="97" s="1"/>
  <c r="G464" i="44"/>
  <c r="G211" i="52" s="1"/>
  <c r="G31" i="97" s="1"/>
  <c r="F464" i="44"/>
  <c r="F211" i="52" s="1"/>
  <c r="G30" i="97" s="1"/>
  <c r="E464" i="44"/>
  <c r="O463" i="44"/>
  <c r="B463" i="44"/>
  <c r="O462" i="44"/>
  <c r="B462" i="44"/>
  <c r="O461" i="44"/>
  <c r="B461" i="44"/>
  <c r="O460" i="44"/>
  <c r="B460" i="44"/>
  <c r="O459" i="44"/>
  <c r="B459" i="44"/>
  <c r="O458" i="44"/>
  <c r="B458" i="44"/>
  <c r="N457" i="44"/>
  <c r="N210" i="52" s="1"/>
  <c r="F38" i="97" s="1"/>
  <c r="M457" i="44"/>
  <c r="M210" i="52" s="1"/>
  <c r="F37" i="97" s="1"/>
  <c r="L457" i="44"/>
  <c r="L210" i="52" s="1"/>
  <c r="F36" i="97" s="1"/>
  <c r="K457" i="44"/>
  <c r="K210" i="52" s="1"/>
  <c r="F35" i="97" s="1"/>
  <c r="J457" i="44"/>
  <c r="J210" i="52" s="1"/>
  <c r="F34" i="97" s="1"/>
  <c r="I457" i="44"/>
  <c r="H457" i="44"/>
  <c r="H210" i="52" s="1"/>
  <c r="F32" i="97" s="1"/>
  <c r="G457" i="44"/>
  <c r="G210" i="52" s="1"/>
  <c r="F31" i="97" s="1"/>
  <c r="F457" i="44"/>
  <c r="E457" i="44"/>
  <c r="E210" i="52" s="1"/>
  <c r="F29" i="97" s="1"/>
  <c r="O447" i="44"/>
  <c r="B447" i="44"/>
  <c r="O446" i="44"/>
  <c r="B446" i="44"/>
  <c r="O445" i="44"/>
  <c r="B445" i="44"/>
  <c r="O444" i="44"/>
  <c r="B444" i="44"/>
  <c r="O443" i="44"/>
  <c r="B443" i="44"/>
  <c r="N442" i="44"/>
  <c r="N197" i="52" s="1"/>
  <c r="J28" i="97" s="1"/>
  <c r="M442" i="44"/>
  <c r="M197" i="52" s="1"/>
  <c r="J27" i="97" s="1"/>
  <c r="L442" i="44"/>
  <c r="L197" i="52" s="1"/>
  <c r="J26" i="97" s="1"/>
  <c r="K442" i="44"/>
  <c r="K197" i="52" s="1"/>
  <c r="J25" i="97" s="1"/>
  <c r="J442" i="44"/>
  <c r="J197" i="52" s="1"/>
  <c r="J24" i="97" s="1"/>
  <c r="I442" i="44"/>
  <c r="I197" i="52" s="1"/>
  <c r="J23" i="97" s="1"/>
  <c r="H442" i="44"/>
  <c r="H197" i="52" s="1"/>
  <c r="J22" i="97" s="1"/>
  <c r="G442" i="44"/>
  <c r="G197" i="52" s="1"/>
  <c r="J21" i="97" s="1"/>
  <c r="F442" i="44"/>
  <c r="F197" i="52" s="1"/>
  <c r="J20" i="97" s="1"/>
  <c r="E442" i="44"/>
  <c r="O441" i="44"/>
  <c r="B441" i="44"/>
  <c r="O440" i="44"/>
  <c r="B440" i="44"/>
  <c r="O439" i="44"/>
  <c r="B439" i="44"/>
  <c r="O438" i="44"/>
  <c r="B438" i="44"/>
  <c r="O437" i="44"/>
  <c r="B437" i="44"/>
  <c r="N436" i="44"/>
  <c r="N196" i="52" s="1"/>
  <c r="I28" i="97" s="1"/>
  <c r="M436" i="44"/>
  <c r="M196" i="52" s="1"/>
  <c r="I27" i="97" s="1"/>
  <c r="L436" i="44"/>
  <c r="L196" i="52" s="1"/>
  <c r="I26" i="97" s="1"/>
  <c r="K436" i="44"/>
  <c r="J436" i="44"/>
  <c r="I436" i="44"/>
  <c r="H436" i="44"/>
  <c r="H196" i="52" s="1"/>
  <c r="I22" i="97" s="1"/>
  <c r="G436" i="44"/>
  <c r="G196" i="52" s="1"/>
  <c r="I21" i="97" s="1"/>
  <c r="F436" i="44"/>
  <c r="E436" i="44"/>
  <c r="E196" i="52" s="1"/>
  <c r="I19" i="97" s="1"/>
  <c r="O433" i="44"/>
  <c r="B433" i="44"/>
  <c r="O432" i="44"/>
  <c r="B432" i="44"/>
  <c r="O431" i="44"/>
  <c r="B431" i="44"/>
  <c r="O430" i="44"/>
  <c r="B430" i="44"/>
  <c r="O429" i="44"/>
  <c r="B429" i="44"/>
  <c r="O428" i="44"/>
  <c r="B428" i="44"/>
  <c r="N427" i="44"/>
  <c r="N527" i="44" s="1"/>
  <c r="M427" i="44"/>
  <c r="L427" i="44"/>
  <c r="L527" i="44" s="1"/>
  <c r="K427" i="44"/>
  <c r="K527" i="44" s="1"/>
  <c r="J427" i="44"/>
  <c r="J527" i="44" s="1"/>
  <c r="I427" i="44"/>
  <c r="I527" i="44" s="1"/>
  <c r="H427" i="44"/>
  <c r="H527" i="44" s="1"/>
  <c r="G427" i="44"/>
  <c r="G527" i="44" s="1"/>
  <c r="F427" i="44"/>
  <c r="F527" i="44" s="1"/>
  <c r="E427" i="44"/>
  <c r="O425" i="44"/>
  <c r="B425" i="44"/>
  <c r="O424" i="44"/>
  <c r="B424" i="44"/>
  <c r="O423" i="44"/>
  <c r="B423" i="44"/>
  <c r="O422" i="44"/>
  <c r="B422" i="44"/>
  <c r="O421" i="44"/>
  <c r="B421" i="44"/>
  <c r="O420" i="44"/>
  <c r="B420" i="44"/>
  <c r="N419" i="44"/>
  <c r="N194" i="52" s="1"/>
  <c r="G28" i="97" s="1"/>
  <c r="M419" i="44"/>
  <c r="M194" i="52" s="1"/>
  <c r="G27" i="97" s="1"/>
  <c r="L419" i="44"/>
  <c r="K419" i="44"/>
  <c r="K194" i="52" s="1"/>
  <c r="G25" i="97" s="1"/>
  <c r="J419" i="44"/>
  <c r="J194" i="52" s="1"/>
  <c r="G24" i="97" s="1"/>
  <c r="I419" i="44"/>
  <c r="I194" i="52" s="1"/>
  <c r="G23" i="97" s="1"/>
  <c r="H419" i="44"/>
  <c r="H194" i="52" s="1"/>
  <c r="G22" i="97" s="1"/>
  <c r="G419" i="44"/>
  <c r="G194" i="52" s="1"/>
  <c r="G21" i="97" s="1"/>
  <c r="F419" i="44"/>
  <c r="F194" i="52" s="1"/>
  <c r="G20" i="97" s="1"/>
  <c r="E419" i="44"/>
  <c r="E194" i="52" s="1"/>
  <c r="G19" i="97" s="1"/>
  <c r="O418" i="44"/>
  <c r="B418" i="44"/>
  <c r="O417" i="44"/>
  <c r="B417" i="44"/>
  <c r="O416" i="44"/>
  <c r="B416" i="44"/>
  <c r="O415" i="44"/>
  <c r="B415" i="44"/>
  <c r="O414" i="44"/>
  <c r="B414" i="44"/>
  <c r="O413" i="44"/>
  <c r="B413" i="44"/>
  <c r="N412" i="44"/>
  <c r="M412" i="44"/>
  <c r="L412" i="44"/>
  <c r="L193" i="52" s="1"/>
  <c r="F26" i="97" s="1"/>
  <c r="K412" i="44"/>
  <c r="J412" i="44"/>
  <c r="J193" i="52" s="1"/>
  <c r="F24" i="97" s="1"/>
  <c r="I412" i="44"/>
  <c r="H412" i="44"/>
  <c r="G412" i="44"/>
  <c r="G193" i="52" s="1"/>
  <c r="F21" i="97" s="1"/>
  <c r="F412" i="44"/>
  <c r="F193" i="52" s="1"/>
  <c r="F20" i="97" s="1"/>
  <c r="E412" i="44"/>
  <c r="E193" i="52" s="1"/>
  <c r="F19" i="97" s="1"/>
  <c r="I371" i="44"/>
  <c r="N13" i="44" s="1"/>
  <c r="D52" i="99" s="1"/>
  <c r="I369" i="44"/>
  <c r="K13" i="44" s="1"/>
  <c r="C52" i="99" s="1"/>
  <c r="B361" i="44"/>
  <c r="O353" i="44"/>
  <c r="B351" i="44"/>
  <c r="I330" i="44"/>
  <c r="N12" i="44" s="1"/>
  <c r="D51" i="99" s="1"/>
  <c r="I328" i="44"/>
  <c r="K12" i="44" s="1"/>
  <c r="C51" i="99" s="1"/>
  <c r="B316" i="44"/>
  <c r="B315" i="44"/>
  <c r="B314" i="44"/>
  <c r="B313" i="44"/>
  <c r="B312" i="44"/>
  <c r="L303" i="44"/>
  <c r="L302" i="44"/>
  <c r="B302" i="44"/>
  <c r="O295" i="44"/>
  <c r="I12" i="44" s="1"/>
  <c r="B51" i="99" s="1"/>
  <c r="I287" i="44"/>
  <c r="N11" i="44" s="1"/>
  <c r="D50" i="99" s="1"/>
  <c r="I285" i="44"/>
  <c r="K11" i="44" s="1"/>
  <c r="C50" i="99" s="1"/>
  <c r="B273" i="44"/>
  <c r="B272" i="44"/>
  <c r="B271" i="44"/>
  <c r="B270" i="44"/>
  <c r="B269" i="44"/>
  <c r="L259" i="44"/>
  <c r="L258" i="44"/>
  <c r="B258" i="44"/>
  <c r="O251" i="44"/>
  <c r="I11" i="44" s="1"/>
  <c r="B50" i="99" s="1"/>
  <c r="I243" i="44"/>
  <c r="N10" i="44" s="1"/>
  <c r="D49" i="99" s="1"/>
  <c r="I241" i="44"/>
  <c r="K10" i="44" s="1"/>
  <c r="C49" i="99" s="1"/>
  <c r="B222" i="44"/>
  <c r="B221" i="44"/>
  <c r="B220" i="44"/>
  <c r="B201" i="44"/>
  <c r="B200" i="44"/>
  <c r="B199" i="44"/>
  <c r="L187" i="44"/>
  <c r="L186" i="44"/>
  <c r="B186" i="44"/>
  <c r="O179" i="44"/>
  <c r="I10" i="44" s="1"/>
  <c r="B49" i="99" s="1"/>
  <c r="I171" i="44"/>
  <c r="N9" i="44" s="1"/>
  <c r="D48" i="99" s="1"/>
  <c r="I169" i="44"/>
  <c r="K9" i="44" s="1"/>
  <c r="C48" i="99" s="1"/>
  <c r="H121" i="44"/>
  <c r="O120" i="44"/>
  <c r="B130" i="44" s="1"/>
  <c r="B120" i="44"/>
  <c r="H82" i="44"/>
  <c r="I33" i="52"/>
  <c r="Z19" i="99" s="1"/>
  <c r="B81" i="44"/>
  <c r="E60" i="44"/>
  <c r="E59" i="44"/>
  <c r="E58" i="44"/>
  <c r="E57" i="44"/>
  <c r="E55" i="44"/>
  <c r="E53" i="44"/>
  <c r="E51" i="44"/>
  <c r="E455" i="44" s="1"/>
  <c r="F455" i="44" s="1"/>
  <c r="G455" i="44" s="1"/>
  <c r="H455" i="44" s="1"/>
  <c r="I455" i="44" s="1"/>
  <c r="J455" i="44" s="1"/>
  <c r="K455" i="44" s="1"/>
  <c r="L455" i="44" s="1"/>
  <c r="M455" i="44" s="1"/>
  <c r="N455" i="44" s="1"/>
  <c r="D40" i="44"/>
  <c r="F40" i="44" s="1"/>
  <c r="D39" i="44"/>
  <c r="D38" i="44"/>
  <c r="L38" i="44" s="1"/>
  <c r="D37" i="44"/>
  <c r="J37" i="44" s="1"/>
  <c r="N35" i="44"/>
  <c r="M35" i="44"/>
  <c r="L35" i="44"/>
  <c r="J35" i="44"/>
  <c r="H35" i="44"/>
  <c r="F35" i="44"/>
  <c r="D35" i="44"/>
  <c r="D29" i="44"/>
  <c r="N18" i="44"/>
  <c r="D57" i="99" s="1"/>
  <c r="K18" i="44"/>
  <c r="C57" i="99" s="1"/>
  <c r="I18" i="44"/>
  <c r="B57" i="99" s="1"/>
  <c r="N17" i="44"/>
  <c r="D56" i="99" s="1"/>
  <c r="K17" i="44"/>
  <c r="C56" i="99" s="1"/>
  <c r="N16" i="44"/>
  <c r="D55" i="99" s="1"/>
  <c r="K16" i="44"/>
  <c r="C55" i="99" s="1"/>
  <c r="N8" i="44"/>
  <c r="D47" i="99" s="1"/>
  <c r="K8" i="44"/>
  <c r="C47" i="99" s="1"/>
  <c r="F350" i="52"/>
  <c r="D74" i="52"/>
  <c r="D73" i="52"/>
  <c r="D72" i="52"/>
  <c r="H66" i="52"/>
  <c r="BO19" i="99" s="1"/>
  <c r="H65" i="52"/>
  <c r="BN19" i="99" s="1"/>
  <c r="H64" i="52"/>
  <c r="D66" i="52"/>
  <c r="BL19" i="99" s="1"/>
  <c r="D65" i="52"/>
  <c r="D64" i="52"/>
  <c r="BJ19" i="99" s="1"/>
  <c r="D41" i="52"/>
  <c r="CI13" i="93" s="1"/>
  <c r="D33" i="52"/>
  <c r="K340" i="52"/>
  <c r="IB19" i="99" s="1"/>
  <c r="J340" i="52"/>
  <c r="IA19" i="99" s="1"/>
  <c r="I340" i="52"/>
  <c r="HZ19" i="99" s="1"/>
  <c r="H340" i="52"/>
  <c r="HY19" i="99" s="1"/>
  <c r="G340" i="52"/>
  <c r="HX19" i="99" s="1"/>
  <c r="F340" i="52"/>
  <c r="HW19" i="99" s="1"/>
  <c r="E340" i="52"/>
  <c r="HV19" i="99" s="1"/>
  <c r="K338" i="52"/>
  <c r="HL19" i="99" s="1"/>
  <c r="J338" i="52"/>
  <c r="HK19" i="99" s="1"/>
  <c r="I338" i="52"/>
  <c r="HJ19" i="99" s="1"/>
  <c r="H338" i="52"/>
  <c r="HI19" i="99" s="1"/>
  <c r="G338" i="52"/>
  <c r="HH19" i="99" s="1"/>
  <c r="F338" i="52"/>
  <c r="HG19" i="99" s="1"/>
  <c r="E338" i="52"/>
  <c r="HF19" i="99" s="1"/>
  <c r="K328" i="52"/>
  <c r="GT19" i="99" s="1"/>
  <c r="J328" i="52"/>
  <c r="GS19" i="99" s="1"/>
  <c r="I328" i="52"/>
  <c r="GR19" i="99" s="1"/>
  <c r="H328" i="52"/>
  <c r="GQ19" i="99" s="1"/>
  <c r="G328" i="52"/>
  <c r="GP19" i="99" s="1"/>
  <c r="F328" i="52"/>
  <c r="GO19" i="99" s="1"/>
  <c r="E328" i="52"/>
  <c r="GN19" i="99" s="1"/>
  <c r="K326" i="52"/>
  <c r="GD19" i="99" s="1"/>
  <c r="J326" i="52"/>
  <c r="GC19" i="99" s="1"/>
  <c r="I326" i="52"/>
  <c r="GB19" i="99" s="1"/>
  <c r="H326" i="52"/>
  <c r="GA19" i="99" s="1"/>
  <c r="G326" i="52"/>
  <c r="FZ19" i="99" s="1"/>
  <c r="F326" i="52"/>
  <c r="FY19" i="99" s="1"/>
  <c r="E326" i="52"/>
  <c r="FX19" i="99" s="1"/>
  <c r="K316" i="52"/>
  <c r="K314" i="52"/>
  <c r="D310" i="52"/>
  <c r="D309" i="52"/>
  <c r="D308" i="52"/>
  <c r="D307" i="52"/>
  <c r="D306" i="52"/>
  <c r="K297" i="52"/>
  <c r="K295" i="52"/>
  <c r="D291" i="52"/>
  <c r="D290" i="52"/>
  <c r="D289" i="52"/>
  <c r="D288" i="52"/>
  <c r="D287" i="52"/>
  <c r="D286" i="52"/>
  <c r="K278" i="52"/>
  <c r="K276" i="52"/>
  <c r="D272" i="52"/>
  <c r="D271" i="52"/>
  <c r="D270" i="52"/>
  <c r="D269" i="52"/>
  <c r="D268" i="52"/>
  <c r="N212" i="52"/>
  <c r="H38" i="97" s="1"/>
  <c r="M212" i="52"/>
  <c r="H37" i="97" s="1"/>
  <c r="L212" i="52"/>
  <c r="H36" i="97" s="1"/>
  <c r="E212" i="52"/>
  <c r="H29" i="97" s="1"/>
  <c r="E209" i="52"/>
  <c r="E29" i="97" s="1"/>
  <c r="K193" i="52"/>
  <c r="F25" i="97" s="1"/>
  <c r="E192" i="52"/>
  <c r="E19" i="97" s="1"/>
  <c r="F180" i="52"/>
  <c r="F179" i="52"/>
  <c r="BA91" i="91" s="1"/>
  <c r="F178" i="52"/>
  <c r="BA89" i="91" s="1"/>
  <c r="F177" i="52"/>
  <c r="F176" i="52"/>
  <c r="I167" i="52"/>
  <c r="G167" i="52"/>
  <c r="I166" i="52"/>
  <c r="G166" i="52"/>
  <c r="I165" i="52"/>
  <c r="G165" i="52"/>
  <c r="G163" i="52"/>
  <c r="G162" i="52"/>
  <c r="G161" i="52"/>
  <c r="N156" i="52"/>
  <c r="G156" i="52"/>
  <c r="F156" i="52"/>
  <c r="DF19" i="99" s="1"/>
  <c r="N155" i="52"/>
  <c r="G155" i="52"/>
  <c r="N154" i="52"/>
  <c r="G154" i="52"/>
  <c r="N152" i="52"/>
  <c r="G152" i="52"/>
  <c r="N151" i="52"/>
  <c r="G151" i="52"/>
  <c r="N150" i="52"/>
  <c r="G150" i="52"/>
  <c r="L123" i="52"/>
  <c r="D118" i="52" s="1"/>
  <c r="D71" i="91" s="1"/>
  <c r="E123" i="52"/>
  <c r="CW19" i="99" s="1"/>
  <c r="D123" i="52"/>
  <c r="G61" i="91" s="1"/>
  <c r="E122" i="52"/>
  <c r="CV19" i="99" s="1"/>
  <c r="D122" i="52"/>
  <c r="G63" i="91" s="1"/>
  <c r="L121" i="52"/>
  <c r="E121" i="52"/>
  <c r="CU19" i="99" s="1"/>
  <c r="D121" i="52"/>
  <c r="G65" i="91" s="1"/>
  <c r="L120" i="52"/>
  <c r="E120" i="52"/>
  <c r="CT19" i="99" s="1"/>
  <c r="D120" i="52"/>
  <c r="G67" i="91" s="1"/>
  <c r="L119" i="52"/>
  <c r="E119" i="52"/>
  <c r="CS19" i="99" s="1"/>
  <c r="D119" i="52"/>
  <c r="G69" i="91" s="1"/>
  <c r="L118" i="52"/>
  <c r="E118" i="52"/>
  <c r="CR19" i="99" s="1"/>
  <c r="D117" i="52"/>
  <c r="L110" i="52"/>
  <c r="D110" i="52" s="1"/>
  <c r="AW71" i="91" s="1"/>
  <c r="E110" i="52"/>
  <c r="CP19" i="99" s="1"/>
  <c r="L109" i="52"/>
  <c r="E109" i="52"/>
  <c r="CO19" i="99" s="1"/>
  <c r="D109" i="52"/>
  <c r="AZ69" i="91" s="1"/>
  <c r="L108" i="52"/>
  <c r="E108" i="52"/>
  <c r="CN19" i="99" s="1"/>
  <c r="D108" i="52"/>
  <c r="AZ67" i="91" s="1"/>
  <c r="L107" i="52"/>
  <c r="E107" i="52"/>
  <c r="CM19" i="99" s="1"/>
  <c r="D107" i="52"/>
  <c r="AZ65" i="91" s="1"/>
  <c r="L106" i="52"/>
  <c r="E106" i="52"/>
  <c r="CL19" i="99" s="1"/>
  <c r="D106" i="52"/>
  <c r="AZ63" i="91" s="1"/>
  <c r="L105" i="52"/>
  <c r="E105" i="52"/>
  <c r="CK19" i="99" s="1"/>
  <c r="D105" i="52"/>
  <c r="AZ61" i="91" s="1"/>
  <c r="D104" i="52"/>
  <c r="J97" i="52"/>
  <c r="L90" i="52" s="1"/>
  <c r="G97" i="52"/>
  <c r="J90" i="52" s="1"/>
  <c r="J96" i="52"/>
  <c r="G96" i="52"/>
  <c r="J95" i="52"/>
  <c r="G95" i="52"/>
  <c r="J94" i="52"/>
  <c r="G94" i="52"/>
  <c r="F89" i="52"/>
  <c r="E89" i="52"/>
  <c r="CH19" i="99" s="1"/>
  <c r="D89" i="52"/>
  <c r="CG19" i="99" s="1"/>
  <c r="F88" i="52"/>
  <c r="CF19" i="99" s="1"/>
  <c r="E88" i="52"/>
  <c r="CE19" i="99" s="1"/>
  <c r="D88" i="52"/>
  <c r="CD19" i="99" s="1"/>
  <c r="F87" i="52"/>
  <c r="CC19" i="99" s="1"/>
  <c r="E87" i="52"/>
  <c r="CB19" i="99" s="1"/>
  <c r="D87" i="52"/>
  <c r="CA19" i="99" s="1"/>
  <c r="F81" i="52"/>
  <c r="E81" i="52"/>
  <c r="D81" i="52"/>
  <c r="F80" i="52"/>
  <c r="E80" i="52"/>
  <c r="D80" i="52"/>
  <c r="F79" i="52"/>
  <c r="E79" i="52"/>
  <c r="D79" i="52"/>
  <c r="F78" i="52"/>
  <c r="E78" i="52"/>
  <c r="D78" i="52"/>
  <c r="F77" i="52"/>
  <c r="E77" i="52"/>
  <c r="D77" i="52"/>
  <c r="I76" i="52"/>
  <c r="F76" i="52"/>
  <c r="E76" i="52"/>
  <c r="D76" i="52"/>
  <c r="I75" i="52"/>
  <c r="F75" i="52"/>
  <c r="E75" i="52"/>
  <c r="D75" i="52"/>
  <c r="I74" i="52"/>
  <c r="F74" i="52"/>
  <c r="BY19" i="99" s="1"/>
  <c r="E74" i="52"/>
  <c r="BX19" i="99" s="1"/>
  <c r="I73" i="52"/>
  <c r="F73" i="52"/>
  <c r="BV19" i="99" s="1"/>
  <c r="E73" i="52"/>
  <c r="BU19" i="99" s="1"/>
  <c r="I72" i="52"/>
  <c r="F72" i="52"/>
  <c r="BS19" i="99" s="1"/>
  <c r="E72" i="52"/>
  <c r="BR19" i="99" s="1"/>
  <c r="K71" i="52"/>
  <c r="J71" i="52"/>
  <c r="I56" i="52"/>
  <c r="BG19" i="99" s="1"/>
  <c r="H56" i="52"/>
  <c r="BF19" i="99" s="1"/>
  <c r="G56" i="52"/>
  <c r="BE19" i="99" s="1"/>
  <c r="F56" i="52"/>
  <c r="BD19" i="99" s="1"/>
  <c r="E56" i="52"/>
  <c r="BC19" i="99" s="1"/>
  <c r="I55" i="52"/>
  <c r="AZ19" i="99" s="1"/>
  <c r="H55" i="52"/>
  <c r="AY19" i="99" s="1"/>
  <c r="G55" i="52"/>
  <c r="AX19" i="99" s="1"/>
  <c r="F55" i="52"/>
  <c r="AW19" i="99" s="1"/>
  <c r="E55" i="52"/>
  <c r="AV19" i="99" s="1"/>
  <c r="I54" i="52"/>
  <c r="AS19" i="99" s="1"/>
  <c r="H54" i="52"/>
  <c r="AR19" i="99" s="1"/>
  <c r="G54" i="52"/>
  <c r="AQ19" i="99" s="1"/>
  <c r="F54" i="52"/>
  <c r="AP19" i="99" s="1"/>
  <c r="E54" i="52"/>
  <c r="AO19" i="99" s="1"/>
  <c r="I53" i="52"/>
  <c r="AL19" i="99" s="1"/>
  <c r="H53" i="52"/>
  <c r="AK19" i="99" s="1"/>
  <c r="G53" i="52"/>
  <c r="AJ19" i="99" s="1"/>
  <c r="F53" i="52"/>
  <c r="AI19" i="99" s="1"/>
  <c r="E53" i="52"/>
  <c r="AH19" i="99" s="1"/>
  <c r="H26" i="52"/>
  <c r="U19" i="99" s="1"/>
  <c r="G26" i="52"/>
  <c r="T19" i="99" s="1"/>
  <c r="E26" i="52"/>
  <c r="M19" i="99" s="1"/>
  <c r="G25" i="52"/>
  <c r="S19" i="99" s="1"/>
  <c r="E25" i="52"/>
  <c r="L19" i="99" s="1"/>
  <c r="G24" i="52"/>
  <c r="R19" i="99" s="1"/>
  <c r="E24" i="52"/>
  <c r="K19" i="99" s="1"/>
  <c r="H23" i="52"/>
  <c r="Q19" i="99" s="1"/>
  <c r="G23" i="52"/>
  <c r="P19" i="99" s="1"/>
  <c r="G22" i="52"/>
  <c r="E22" i="52"/>
  <c r="I19" i="99" s="1"/>
  <c r="G21" i="52"/>
  <c r="N19" i="99" s="1"/>
  <c r="B187" i="66"/>
  <c r="B180" i="66"/>
  <c r="B178" i="66"/>
  <c r="B158" i="66"/>
  <c r="B156" i="66"/>
  <c r="B142" i="66"/>
  <c r="B118" i="66"/>
  <c r="B116" i="66"/>
  <c r="I94" i="66"/>
  <c r="F94" i="66"/>
  <c r="N94" i="66" s="1"/>
  <c r="I93" i="66"/>
  <c r="F93" i="66"/>
  <c r="N93" i="66" s="1"/>
  <c r="I92" i="66"/>
  <c r="F92" i="66"/>
  <c r="N92" i="66" s="1"/>
  <c r="I91" i="66"/>
  <c r="F91" i="66"/>
  <c r="N91" i="66" s="1"/>
  <c r="I90" i="66"/>
  <c r="F90" i="66"/>
  <c r="N90" i="66" s="1"/>
  <c r="I89" i="66"/>
  <c r="F89" i="66"/>
  <c r="N89" i="66" s="1"/>
  <c r="I88" i="66"/>
  <c r="F88" i="66"/>
  <c r="N88" i="66" s="1"/>
  <c r="I87" i="66"/>
  <c r="F87" i="66"/>
  <c r="N87" i="66" s="1"/>
  <c r="I86" i="66"/>
  <c r="F86" i="66"/>
  <c r="N86" i="66" s="1"/>
  <c r="I85" i="66"/>
  <c r="F85" i="66"/>
  <c r="N85" i="66" s="1"/>
  <c r="B62" i="66"/>
  <c r="B49" i="66"/>
  <c r="O39" i="66"/>
  <c r="I9" i="66" s="1"/>
  <c r="B39" i="99" s="1"/>
  <c r="B32" i="66"/>
  <c r="O19" i="66"/>
  <c r="I8" i="66" s="1"/>
  <c r="B38" i="99" s="1"/>
  <c r="I212" i="52" l="1"/>
  <c r="H33" i="97" s="1"/>
  <c r="I330" i="81"/>
  <c r="N12" i="81" s="1"/>
  <c r="J51" i="99" s="1"/>
  <c r="I371" i="81"/>
  <c r="N13" i="81" s="1"/>
  <c r="J52" i="99" s="1"/>
  <c r="I499" i="81"/>
  <c r="N14" i="81" s="1"/>
  <c r="J53" i="99" s="1"/>
  <c r="G253" i="52"/>
  <c r="DW19" i="99" s="1"/>
  <c r="L456" i="44"/>
  <c r="F25" i="82"/>
  <c r="E20" i="93" s="1"/>
  <c r="I169" i="81"/>
  <c r="K9" i="81" s="1"/>
  <c r="I48" i="99" s="1"/>
  <c r="L91" i="79"/>
  <c r="F26" i="82"/>
  <c r="E22" i="93" s="1"/>
  <c r="I287" i="81"/>
  <c r="N11" i="81" s="1"/>
  <c r="J50" i="99" s="1"/>
  <c r="I570" i="81"/>
  <c r="K15" i="81" s="1"/>
  <c r="I54" i="99" s="1"/>
  <c r="I497" i="81"/>
  <c r="K14" i="81" s="1"/>
  <c r="I53" i="99" s="1"/>
  <c r="I285" i="81"/>
  <c r="K11" i="81" s="1"/>
  <c r="I50" i="99" s="1"/>
  <c r="L612" i="81"/>
  <c r="L480" i="78"/>
  <c r="L562" i="78" s="1"/>
  <c r="L566" i="78" s="1"/>
  <c r="M150" i="52"/>
  <c r="DI19" i="99" s="1"/>
  <c r="M278" i="52"/>
  <c r="ER19" i="99" s="1"/>
  <c r="M151" i="52"/>
  <c r="DJ19" i="99" s="1"/>
  <c r="M317" i="52"/>
  <c r="FW19" i="99" s="1"/>
  <c r="J21" i="52"/>
  <c r="V19" i="99" s="1"/>
  <c r="BM45" i="91"/>
  <c r="BQ19" i="99"/>
  <c r="L89" i="52"/>
  <c r="CI19" i="99"/>
  <c r="BM47" i="91"/>
  <c r="BT19" i="99"/>
  <c r="F21" i="79"/>
  <c r="E14" i="92" s="1"/>
  <c r="N20" i="99"/>
  <c r="F22" i="79"/>
  <c r="E16" i="92" s="1"/>
  <c r="O20" i="99"/>
  <c r="L87" i="79"/>
  <c r="CF45" i="92" s="1"/>
  <c r="CC20" i="99"/>
  <c r="D45" i="92"/>
  <c r="BJ20" i="99"/>
  <c r="L88" i="79"/>
  <c r="CF47" i="92" s="1"/>
  <c r="CF20" i="99"/>
  <c r="F21" i="82"/>
  <c r="E14" i="93" s="1"/>
  <c r="N21" i="99"/>
  <c r="D49" i="92"/>
  <c r="BL20" i="99"/>
  <c r="BM49" i="91"/>
  <c r="BW19" i="99"/>
  <c r="O45" i="92"/>
  <c r="BM20" i="99"/>
  <c r="G255" i="82"/>
  <c r="DX21" i="99" s="1"/>
  <c r="O47" i="92"/>
  <c r="BN20" i="99"/>
  <c r="O49" i="92"/>
  <c r="BO20" i="99"/>
  <c r="D45" i="93"/>
  <c r="BJ21" i="99"/>
  <c r="BM45" i="92"/>
  <c r="BQ20" i="99"/>
  <c r="F22" i="52"/>
  <c r="E16" i="91" s="1"/>
  <c r="O19" i="99"/>
  <c r="H212" i="52"/>
  <c r="H32" i="97" s="1"/>
  <c r="BM47" i="92"/>
  <c r="BT20" i="99"/>
  <c r="D49" i="93"/>
  <c r="BL21" i="99"/>
  <c r="BM19" i="99"/>
  <c r="BM49" i="92"/>
  <c r="BW20" i="99"/>
  <c r="K678" i="81"/>
  <c r="L633" i="81"/>
  <c r="L620" i="81"/>
  <c r="M688" i="81"/>
  <c r="J329" i="82" s="1"/>
  <c r="HA21" i="99" s="1"/>
  <c r="G253" i="82"/>
  <c r="DW21" i="99" s="1"/>
  <c r="G684" i="81"/>
  <c r="G257" i="82"/>
  <c r="DY21" i="99" s="1"/>
  <c r="O550" i="81"/>
  <c r="F271" i="82" s="1"/>
  <c r="EN21" i="99" s="1"/>
  <c r="G480" i="81"/>
  <c r="G562" i="81" s="1"/>
  <c r="G566" i="81" s="1"/>
  <c r="F480" i="81"/>
  <c r="F562" i="81" s="1"/>
  <c r="F566" i="81" s="1"/>
  <c r="M240" i="82"/>
  <c r="DQ21" i="99" s="1"/>
  <c r="L616" i="81"/>
  <c r="G195" i="52"/>
  <c r="H21" i="97" s="1"/>
  <c r="N480" i="81"/>
  <c r="N562" i="81" s="1"/>
  <c r="N566" i="81" s="1"/>
  <c r="I257" i="82"/>
  <c r="EB21" i="99" s="1"/>
  <c r="G327" i="52"/>
  <c r="GH19" i="99" s="1"/>
  <c r="M456" i="81"/>
  <c r="M547" i="81" s="1"/>
  <c r="M612" i="81"/>
  <c r="F341" i="82" s="1"/>
  <c r="IE21" i="99" s="1"/>
  <c r="F255" i="82"/>
  <c r="DU21" i="99" s="1"/>
  <c r="I480" i="81"/>
  <c r="I562" i="81" s="1"/>
  <c r="I566" i="81" s="1"/>
  <c r="K554" i="81"/>
  <c r="L688" i="81"/>
  <c r="M480" i="44"/>
  <c r="M562" i="44" s="1"/>
  <c r="M566" i="44" s="1"/>
  <c r="M480" i="78"/>
  <c r="M562" i="78" s="1"/>
  <c r="M566" i="78" s="1"/>
  <c r="I253" i="79"/>
  <c r="DZ20" i="99" s="1"/>
  <c r="H616" i="81"/>
  <c r="G339" i="82" s="1"/>
  <c r="HP21" i="99" s="1"/>
  <c r="M674" i="81"/>
  <c r="K674" i="81" s="1"/>
  <c r="D30" i="78"/>
  <c r="D30" i="81"/>
  <c r="D30" i="44"/>
  <c r="M30" i="81"/>
  <c r="M30" i="44"/>
  <c r="M30" i="78"/>
  <c r="H674" i="44"/>
  <c r="F327" i="52" s="1"/>
  <c r="GG19" i="99" s="1"/>
  <c r="N435" i="81"/>
  <c r="N535" i="81" s="1"/>
  <c r="N539" i="81" s="1"/>
  <c r="J89" i="82"/>
  <c r="BX49" i="93" s="1"/>
  <c r="I480" i="78"/>
  <c r="I562" i="78" s="1"/>
  <c r="I566" i="78" s="1"/>
  <c r="M616" i="81"/>
  <c r="E554" i="81"/>
  <c r="M154" i="82"/>
  <c r="DL21" i="99" s="1"/>
  <c r="N411" i="44"/>
  <c r="H670" i="44"/>
  <c r="E327" i="52" s="1"/>
  <c r="GF19" i="99" s="1"/>
  <c r="M243" i="79"/>
  <c r="DR20" i="99" s="1"/>
  <c r="G257" i="79"/>
  <c r="DY20" i="99" s="1"/>
  <c r="H620" i="78"/>
  <c r="H339" i="79" s="1"/>
  <c r="HQ20" i="99" s="1"/>
  <c r="M237" i="82"/>
  <c r="DP21" i="99" s="1"/>
  <c r="I554" i="81"/>
  <c r="O558" i="81"/>
  <c r="F290" i="82" s="1"/>
  <c r="FD21" i="99" s="1"/>
  <c r="L674" i="81"/>
  <c r="J253" i="82"/>
  <c r="EC21" i="99" s="1"/>
  <c r="L554" i="81"/>
  <c r="L678" i="81"/>
  <c r="M213" i="52"/>
  <c r="I37" i="97" s="1"/>
  <c r="F456" i="44"/>
  <c r="H629" i="44"/>
  <c r="F629" i="44" s="1"/>
  <c r="G456" i="44"/>
  <c r="G547" i="44" s="1"/>
  <c r="M236" i="82"/>
  <c r="DO21" i="99" s="1"/>
  <c r="L681" i="81"/>
  <c r="F257" i="79"/>
  <c r="DV20" i="99" s="1"/>
  <c r="G674" i="78"/>
  <c r="F253" i="52"/>
  <c r="DT19" i="99" s="1"/>
  <c r="J480" i="44"/>
  <c r="J562" i="44" s="1"/>
  <c r="J566" i="44" s="1"/>
  <c r="J22" i="52"/>
  <c r="W19" i="99" s="1"/>
  <c r="M243" i="82"/>
  <c r="DR21" i="99" s="1"/>
  <c r="I255" i="82"/>
  <c r="EA21" i="99" s="1"/>
  <c r="I456" i="81"/>
  <c r="M480" i="81"/>
  <c r="M562" i="81" s="1"/>
  <c r="M566" i="81" s="1"/>
  <c r="O565" i="81"/>
  <c r="F309" i="82" s="1"/>
  <c r="FR21" i="99" s="1"/>
  <c r="M670" i="81"/>
  <c r="L670" i="81" s="1"/>
  <c r="L697" i="81"/>
  <c r="K89" i="79"/>
  <c r="CH49" i="92" s="1"/>
  <c r="O111" i="66"/>
  <c r="I11" i="66" s="1"/>
  <c r="B41" i="99" s="1"/>
  <c r="J88" i="79"/>
  <c r="BX47" i="92" s="1"/>
  <c r="J88" i="82"/>
  <c r="BX47" i="93" s="1"/>
  <c r="L88" i="82"/>
  <c r="CF47" i="93" s="1"/>
  <c r="J87" i="82"/>
  <c r="BX45" i="93" s="1"/>
  <c r="I118" i="82"/>
  <c r="O214" i="82"/>
  <c r="I108" i="82"/>
  <c r="E83" i="75"/>
  <c r="J91" i="52"/>
  <c r="K91" i="79"/>
  <c r="K75" i="79"/>
  <c r="BA49" i="92" s="1"/>
  <c r="L40" i="81"/>
  <c r="M40" i="81"/>
  <c r="N40" i="81"/>
  <c r="J40" i="78"/>
  <c r="N38" i="44"/>
  <c r="H38" i="81"/>
  <c r="J38" i="81"/>
  <c r="M38" i="81"/>
  <c r="CD2" i="77"/>
  <c r="N38" i="81"/>
  <c r="F39" i="81"/>
  <c r="H39" i="81"/>
  <c r="J39" i="81"/>
  <c r="F40" i="81"/>
  <c r="F37" i="44"/>
  <c r="H40" i="81"/>
  <c r="C4" i="92"/>
  <c r="C4" i="93"/>
  <c r="I257" i="52"/>
  <c r="EB19" i="99" s="1"/>
  <c r="B605" i="81"/>
  <c r="B694" i="81"/>
  <c r="B618" i="81"/>
  <c r="B634" i="81"/>
  <c r="G692" i="81"/>
  <c r="G688" i="81"/>
  <c r="H688" i="81"/>
  <c r="F688" i="81" s="1"/>
  <c r="H684" i="81"/>
  <c r="I327" i="82" s="1"/>
  <c r="GJ21" i="99" s="1"/>
  <c r="H681" i="81"/>
  <c r="H678" i="81"/>
  <c r="G327" i="82" s="1"/>
  <c r="GH21" i="99" s="1"/>
  <c r="H670" i="81"/>
  <c r="F670" i="81" s="1"/>
  <c r="J25" i="82"/>
  <c r="Y21" i="99" s="1"/>
  <c r="M604" i="81"/>
  <c r="E341" i="82" s="1"/>
  <c r="ID21" i="99" s="1"/>
  <c r="J24" i="82"/>
  <c r="X21" i="99" s="1"/>
  <c r="H629" i="81"/>
  <c r="F629" i="81" s="1"/>
  <c r="G620" i="81"/>
  <c r="G616" i="81"/>
  <c r="G612" i="81"/>
  <c r="H612" i="81"/>
  <c r="F339" i="82" s="1"/>
  <c r="HO21" i="99" s="1"/>
  <c r="J22" i="82"/>
  <c r="W21" i="99" s="1"/>
  <c r="L507" i="81"/>
  <c r="I435" i="81"/>
  <c r="I535" i="81" s="1"/>
  <c r="I539" i="81" s="1"/>
  <c r="E435" i="81"/>
  <c r="E535" i="81" s="1"/>
  <c r="E539" i="81" s="1"/>
  <c r="I253" i="82"/>
  <c r="DZ21" i="99" s="1"/>
  <c r="H435" i="81"/>
  <c r="H535" i="81" s="1"/>
  <c r="H539" i="81" s="1"/>
  <c r="G435" i="81"/>
  <c r="G535" i="81" s="1"/>
  <c r="G539" i="81" s="1"/>
  <c r="G527" i="81"/>
  <c r="J527" i="81"/>
  <c r="O427" i="81"/>
  <c r="E527" i="81"/>
  <c r="F253" i="82"/>
  <c r="DT21" i="99" s="1"/>
  <c r="M375" i="81"/>
  <c r="M411" i="81"/>
  <c r="M520" i="81" s="1"/>
  <c r="M524" i="81" s="1"/>
  <c r="L375" i="81"/>
  <c r="O375" i="81" s="1"/>
  <c r="I14" i="81" s="1"/>
  <c r="H53" i="99" s="1"/>
  <c r="M338" i="81"/>
  <c r="L338" i="81"/>
  <c r="O338" i="81" s="1"/>
  <c r="I13" i="81" s="1"/>
  <c r="H52" i="99" s="1"/>
  <c r="I119" i="82"/>
  <c r="K76" i="82"/>
  <c r="BA50" i="93" s="1"/>
  <c r="J74" i="82"/>
  <c r="AX48" i="93" s="1"/>
  <c r="G77" i="75"/>
  <c r="F77" i="75"/>
  <c r="D77" i="75"/>
  <c r="I33" i="82"/>
  <c r="B89" i="81"/>
  <c r="B91" i="81"/>
  <c r="B98" i="81"/>
  <c r="L697" i="78"/>
  <c r="G697" i="78"/>
  <c r="L692" i="78"/>
  <c r="H684" i="78"/>
  <c r="F684" i="78" s="1"/>
  <c r="M678" i="78"/>
  <c r="G329" i="79" s="1"/>
  <c r="GX20" i="99" s="1"/>
  <c r="M674" i="78"/>
  <c r="F329" i="79" s="1"/>
  <c r="GW20" i="99" s="1"/>
  <c r="H629" i="78"/>
  <c r="J339" i="79" s="1"/>
  <c r="HS20" i="99" s="1"/>
  <c r="M620" i="78"/>
  <c r="H341" i="79" s="1"/>
  <c r="IG20" i="99" s="1"/>
  <c r="G616" i="78"/>
  <c r="O538" i="78"/>
  <c r="E309" i="79" s="1"/>
  <c r="FM20" i="99" s="1"/>
  <c r="F40" i="78"/>
  <c r="M629" i="78"/>
  <c r="J341" i="79" s="1"/>
  <c r="II20" i="99" s="1"/>
  <c r="M684" i="78"/>
  <c r="I329" i="79" s="1"/>
  <c r="GZ20" i="99" s="1"/>
  <c r="F152" i="79"/>
  <c r="DC20" i="99" s="1"/>
  <c r="H612" i="78"/>
  <c r="F339" i="79" s="1"/>
  <c r="HO20" i="99" s="1"/>
  <c r="J480" i="78"/>
  <c r="J562" i="78" s="1"/>
  <c r="J566" i="78" s="1"/>
  <c r="M681" i="78"/>
  <c r="H329" i="79" s="1"/>
  <c r="GY20" i="99" s="1"/>
  <c r="J39" i="78"/>
  <c r="J22" i="79"/>
  <c r="W20" i="99" s="1"/>
  <c r="M670" i="78"/>
  <c r="E329" i="79" s="1"/>
  <c r="GV20" i="99" s="1"/>
  <c r="G692" i="78"/>
  <c r="I88" i="79"/>
  <c r="CA47" i="92" s="1"/>
  <c r="E411" i="78"/>
  <c r="E520" i="78" s="1"/>
  <c r="L39" i="78"/>
  <c r="B139" i="78"/>
  <c r="J253" i="79"/>
  <c r="EC20" i="99" s="1"/>
  <c r="O523" i="78"/>
  <c r="E271" i="79" s="1"/>
  <c r="EI20" i="99" s="1"/>
  <c r="O531" i="78"/>
  <c r="E290" i="79" s="1"/>
  <c r="O550" i="78"/>
  <c r="F271" i="79" s="1"/>
  <c r="EN20" i="99" s="1"/>
  <c r="M604" i="78"/>
  <c r="L604" i="78" s="1"/>
  <c r="G624" i="78"/>
  <c r="L674" i="78"/>
  <c r="M39" i="78"/>
  <c r="H624" i="78"/>
  <c r="H670" i="78"/>
  <c r="G681" i="78"/>
  <c r="G684" i="78"/>
  <c r="H692" i="78"/>
  <c r="F692" i="78" s="1"/>
  <c r="I105" i="79"/>
  <c r="M150" i="79"/>
  <c r="DI20" i="99" s="1"/>
  <c r="M152" i="79"/>
  <c r="DK20" i="99" s="1"/>
  <c r="L213" i="79"/>
  <c r="I56" i="97" s="1"/>
  <c r="N39" i="78"/>
  <c r="K435" i="78"/>
  <c r="K535" i="78" s="1"/>
  <c r="K539" i="78" s="1"/>
  <c r="J255" i="79"/>
  <c r="ED20" i="99" s="1"/>
  <c r="O580" i="78"/>
  <c r="I16" i="78" s="1"/>
  <c r="E55" i="99" s="1"/>
  <c r="M616" i="78"/>
  <c r="K616" i="78" s="1"/>
  <c r="M624" i="78"/>
  <c r="I341" i="79" s="1"/>
  <c r="IH20" i="99" s="1"/>
  <c r="L629" i="78"/>
  <c r="H674" i="78"/>
  <c r="F327" i="79" s="1"/>
  <c r="GG20" i="99" s="1"/>
  <c r="F255" i="79"/>
  <c r="DU20" i="99" s="1"/>
  <c r="L684" i="78"/>
  <c r="F151" i="79"/>
  <c r="DB20" i="99" s="1"/>
  <c r="J257" i="79"/>
  <c r="EE20" i="99" s="1"/>
  <c r="H604" i="78"/>
  <c r="E339" i="79" s="1"/>
  <c r="HN20" i="99" s="1"/>
  <c r="L612" i="78"/>
  <c r="G629" i="78"/>
  <c r="M688" i="78"/>
  <c r="J329" i="79" s="1"/>
  <c r="HA20" i="99" s="1"/>
  <c r="M692" i="78"/>
  <c r="J21" i="79"/>
  <c r="V20" i="99" s="1"/>
  <c r="O646" i="78"/>
  <c r="I17" i="78" s="1"/>
  <c r="E56" i="99" s="1"/>
  <c r="M151" i="79"/>
  <c r="DJ20" i="99" s="1"/>
  <c r="F39" i="78"/>
  <c r="H435" i="78"/>
  <c r="H535" i="78" s="1"/>
  <c r="H539" i="78" s="1"/>
  <c r="L435" i="78"/>
  <c r="L535" i="78" s="1"/>
  <c r="L539" i="78" s="1"/>
  <c r="O558" i="78"/>
  <c r="F290" i="79" s="1"/>
  <c r="FD20" i="99" s="1"/>
  <c r="O565" i="78"/>
  <c r="F309" i="79" s="1"/>
  <c r="FR20" i="99" s="1"/>
  <c r="G620" i="78"/>
  <c r="H148" i="79"/>
  <c r="M55" i="79"/>
  <c r="L62" i="75" s="1"/>
  <c r="L89" i="79"/>
  <c r="CF49" i="92" s="1"/>
  <c r="J74" i="79"/>
  <c r="AX48" i="92" s="1"/>
  <c r="L212" i="79"/>
  <c r="H56" i="97" s="1"/>
  <c r="G554" i="78"/>
  <c r="J554" i="78"/>
  <c r="N212" i="79"/>
  <c r="H58" i="97" s="1"/>
  <c r="K554" i="78"/>
  <c r="H456" i="78"/>
  <c r="H547" i="78" s="1"/>
  <c r="H555" i="78" s="1"/>
  <c r="H559" i="78" s="1"/>
  <c r="E456" i="78"/>
  <c r="F456" i="78"/>
  <c r="F547" i="78" s="1"/>
  <c r="F555" i="78" s="1"/>
  <c r="F559" i="78" s="1"/>
  <c r="K456" i="78"/>
  <c r="K547" i="78" s="1"/>
  <c r="O442" i="78"/>
  <c r="N435" i="78"/>
  <c r="N535" i="78" s="1"/>
  <c r="N539" i="78" s="1"/>
  <c r="I143" i="79"/>
  <c r="H146" i="75" s="1"/>
  <c r="I435" i="78"/>
  <c r="I535" i="78" s="1"/>
  <c r="I539" i="78" s="1"/>
  <c r="M142" i="79"/>
  <c r="L145" i="75" s="1"/>
  <c r="L527" i="78"/>
  <c r="N527" i="78"/>
  <c r="I527" i="78"/>
  <c r="G527" i="78"/>
  <c r="K411" i="78"/>
  <c r="J140" i="79"/>
  <c r="I143" i="75" s="1"/>
  <c r="H411" i="78"/>
  <c r="H520" i="78" s="1"/>
  <c r="H524" i="78" s="1"/>
  <c r="G411" i="78"/>
  <c r="G520" i="78" s="1"/>
  <c r="G528" i="78" s="1"/>
  <c r="N411" i="78"/>
  <c r="L411" i="78"/>
  <c r="L520" i="78" s="1"/>
  <c r="O375" i="78"/>
  <c r="I14" i="78" s="1"/>
  <c r="E53" i="99" s="1"/>
  <c r="I411" i="78"/>
  <c r="I520" i="78" s="1"/>
  <c r="F411" i="78"/>
  <c r="F520" i="78" s="1"/>
  <c r="F524" i="78" s="1"/>
  <c r="E193" i="79"/>
  <c r="F39" i="97" s="1"/>
  <c r="O338" i="78"/>
  <c r="I13" i="78" s="1"/>
  <c r="E52" i="99" s="1"/>
  <c r="I106" i="79"/>
  <c r="I123" i="79"/>
  <c r="K88" i="79"/>
  <c r="CH47" i="92" s="1"/>
  <c r="I89" i="79"/>
  <c r="CA49" i="92" s="1"/>
  <c r="K74" i="79"/>
  <c r="BA48" i="92" s="1"/>
  <c r="E28" i="79"/>
  <c r="I24" i="79" s="1"/>
  <c r="O173" i="66"/>
  <c r="I13" i="66" s="1"/>
  <c r="B43" i="99" s="1"/>
  <c r="O151" i="66"/>
  <c r="I12" i="66" s="1"/>
  <c r="B42" i="99" s="1"/>
  <c r="E410" i="81"/>
  <c r="E191" i="82" s="1"/>
  <c r="D59" i="97" s="1"/>
  <c r="D73" i="66"/>
  <c r="F435" i="44"/>
  <c r="F535" i="44" s="1"/>
  <c r="F539" i="44" s="1"/>
  <c r="H435" i="44"/>
  <c r="H535" i="44" s="1"/>
  <c r="H539" i="44" s="1"/>
  <c r="H411" i="44"/>
  <c r="H520" i="44" s="1"/>
  <c r="H528" i="44" s="1"/>
  <c r="H532" i="44" s="1"/>
  <c r="F255" i="52"/>
  <c r="DU19" i="99" s="1"/>
  <c r="I411" i="44"/>
  <c r="I520" i="44" s="1"/>
  <c r="I524" i="44" s="1"/>
  <c r="F257" i="52"/>
  <c r="DV19" i="99" s="1"/>
  <c r="M411" i="44"/>
  <c r="M520" i="44" s="1"/>
  <c r="M524" i="44" s="1"/>
  <c r="E410" i="78"/>
  <c r="E191" i="79" s="1"/>
  <c r="F604" i="78"/>
  <c r="E308" i="75"/>
  <c r="I65" i="75"/>
  <c r="I140" i="79"/>
  <c r="H143" i="75" s="1"/>
  <c r="K140" i="79"/>
  <c r="J143" i="75" s="1"/>
  <c r="I62" i="75"/>
  <c r="K55" i="79"/>
  <c r="N142" i="79"/>
  <c r="M145" i="75" s="1"/>
  <c r="CK3" i="93"/>
  <c r="J141" i="79"/>
  <c r="I144" i="75" s="1"/>
  <c r="I148" i="75" s="1"/>
  <c r="E328" i="75"/>
  <c r="AJ16" i="92"/>
  <c r="J213" i="52"/>
  <c r="I34" i="97" s="1"/>
  <c r="N37" i="78"/>
  <c r="B100" i="78"/>
  <c r="M411" i="78"/>
  <c r="O427" i="78"/>
  <c r="E195" i="79"/>
  <c r="H39" i="97" s="1"/>
  <c r="G435" i="78"/>
  <c r="G196" i="79"/>
  <c r="I41" i="97" s="1"/>
  <c r="E284" i="75"/>
  <c r="F22" i="75"/>
  <c r="BI16" i="92"/>
  <c r="J72" i="79"/>
  <c r="AX45" i="92" s="1"/>
  <c r="M195" i="79"/>
  <c r="H47" i="97" s="1"/>
  <c r="H212" i="79"/>
  <c r="H52" i="97" s="1"/>
  <c r="N145" i="92"/>
  <c r="BC145" i="92"/>
  <c r="L193" i="82"/>
  <c r="F66" i="97" s="1"/>
  <c r="L411" i="81"/>
  <c r="F194" i="82"/>
  <c r="F411" i="81"/>
  <c r="K456" i="81"/>
  <c r="K210" i="82"/>
  <c r="F75" i="97" s="1"/>
  <c r="E211" i="82"/>
  <c r="G69" i="97" s="1"/>
  <c r="O464" i="81"/>
  <c r="N38" i="78"/>
  <c r="L38" i="78"/>
  <c r="J38" i="78"/>
  <c r="N480" i="78"/>
  <c r="N562" i="78" s="1"/>
  <c r="N566" i="78" s="1"/>
  <c r="O487" i="78"/>
  <c r="G22" i="75"/>
  <c r="I33" i="79"/>
  <c r="Z20" i="99" s="1"/>
  <c r="D59" i="75"/>
  <c r="J75" i="79"/>
  <c r="AX49" i="92" s="1"/>
  <c r="D74" i="75"/>
  <c r="K53" i="82"/>
  <c r="E307" i="75"/>
  <c r="I80" i="75"/>
  <c r="M37" i="44"/>
  <c r="K480" i="44"/>
  <c r="K562" i="44" s="1"/>
  <c r="K566" i="44" s="1"/>
  <c r="F38" i="78"/>
  <c r="I456" i="78"/>
  <c r="E59" i="75"/>
  <c r="D65" i="75"/>
  <c r="E138" i="79"/>
  <c r="N193" i="52"/>
  <c r="F28" i="97" s="1"/>
  <c r="F411" i="44"/>
  <c r="F520" i="44" s="1"/>
  <c r="M670" i="44"/>
  <c r="E329" i="52" s="1"/>
  <c r="GV19" i="99" s="1"/>
  <c r="M681" i="44"/>
  <c r="H38" i="78"/>
  <c r="CG4" i="92"/>
  <c r="O412" i="78"/>
  <c r="O419" i="78"/>
  <c r="H527" i="78"/>
  <c r="H195" i="79"/>
  <c r="H42" i="97" s="1"/>
  <c r="I255" i="79"/>
  <c r="EA20" i="99" s="1"/>
  <c r="J435" i="78"/>
  <c r="J535" i="78" s="1"/>
  <c r="J539" i="78" s="1"/>
  <c r="J196" i="79"/>
  <c r="I44" i="97" s="1"/>
  <c r="F143" i="79"/>
  <c r="E146" i="75" s="1"/>
  <c r="O481" i="78"/>
  <c r="M554" i="78"/>
  <c r="J25" i="79"/>
  <c r="Y20" i="99" s="1"/>
  <c r="L624" i="78"/>
  <c r="K90" i="79"/>
  <c r="M140" i="79"/>
  <c r="L143" i="75" s="1"/>
  <c r="J143" i="79"/>
  <c r="I146" i="75" s="1"/>
  <c r="G193" i="79"/>
  <c r="F41" i="97" s="1"/>
  <c r="H196" i="79"/>
  <c r="I42" i="97" s="1"/>
  <c r="T145" i="92"/>
  <c r="BI145" i="92"/>
  <c r="M684" i="81"/>
  <c r="L684" i="81"/>
  <c r="M193" i="52"/>
  <c r="F27" i="97" s="1"/>
  <c r="E411" i="44"/>
  <c r="E520" i="44" s="1"/>
  <c r="N140" i="79"/>
  <c r="M143" i="75" s="1"/>
  <c r="E285" i="75"/>
  <c r="M243" i="52"/>
  <c r="I255" i="52"/>
  <c r="EA19" i="99" s="1"/>
  <c r="M38" i="78"/>
  <c r="B128" i="78"/>
  <c r="F253" i="79"/>
  <c r="DT20" i="99" s="1"/>
  <c r="K142" i="79"/>
  <c r="J145" i="75" s="1"/>
  <c r="L456" i="78"/>
  <c r="M612" i="78"/>
  <c r="H678" i="78"/>
  <c r="G678" i="78"/>
  <c r="CK3" i="92"/>
  <c r="G59" i="75"/>
  <c r="F65" i="75"/>
  <c r="I119" i="79"/>
  <c r="K143" i="79"/>
  <c r="J146" i="75" s="1"/>
  <c r="H193" i="79"/>
  <c r="F42" i="97" s="1"/>
  <c r="V145" i="92"/>
  <c r="BK145" i="92"/>
  <c r="G257" i="52"/>
  <c r="DY19" i="99" s="1"/>
  <c r="I257" i="79"/>
  <c r="EB20" i="99" s="1"/>
  <c r="M456" i="78"/>
  <c r="E212" i="79"/>
  <c r="H49" i="97" s="1"/>
  <c r="O472" i="78"/>
  <c r="E554" i="78"/>
  <c r="G213" i="79"/>
  <c r="I51" i="97" s="1"/>
  <c r="G480" i="78"/>
  <c r="G562" i="78" s="1"/>
  <c r="G566" i="78" s="1"/>
  <c r="J24" i="79"/>
  <c r="X20" i="99" s="1"/>
  <c r="H59" i="75"/>
  <c r="G65" i="75"/>
  <c r="J73" i="79"/>
  <c r="AX46" i="92" s="1"/>
  <c r="K193" i="79"/>
  <c r="F45" i="97" s="1"/>
  <c r="J213" i="79"/>
  <c r="I54" i="97" s="1"/>
  <c r="H327" i="79"/>
  <c r="GI20" i="99" s="1"/>
  <c r="H604" i="81"/>
  <c r="J21" i="82"/>
  <c r="V21" i="99" s="1"/>
  <c r="F196" i="52"/>
  <c r="I20" i="97" s="1"/>
  <c r="BA85" i="91"/>
  <c r="F181" i="52"/>
  <c r="BA96" i="91" s="1"/>
  <c r="F209" i="79"/>
  <c r="E50" i="97" s="1"/>
  <c r="K141" i="79"/>
  <c r="J144" i="75" s="1"/>
  <c r="J148" i="75" s="1"/>
  <c r="E435" i="78"/>
  <c r="N456" i="78"/>
  <c r="H213" i="79"/>
  <c r="I52" i="97" s="1"/>
  <c r="H480" i="78"/>
  <c r="H562" i="78" s="1"/>
  <c r="H566" i="78" s="1"/>
  <c r="E527" i="78"/>
  <c r="G612" i="78"/>
  <c r="D66" i="75"/>
  <c r="E42" i="79"/>
  <c r="I59" i="75"/>
  <c r="H65" i="75"/>
  <c r="K73" i="79"/>
  <c r="BA46" i="92" s="1"/>
  <c r="K76" i="79"/>
  <c r="BA50" i="92" s="1"/>
  <c r="J76" i="79"/>
  <c r="AX50" i="92" s="1"/>
  <c r="I108" i="79"/>
  <c r="G141" i="79"/>
  <c r="F144" i="75" s="1"/>
  <c r="F148" i="75" s="1"/>
  <c r="N143" i="79"/>
  <c r="M146" i="75" s="1"/>
  <c r="L139" i="79"/>
  <c r="K142" i="75" s="1"/>
  <c r="L620" i="44"/>
  <c r="B130" i="78"/>
  <c r="F212" i="52"/>
  <c r="H30" i="97" s="1"/>
  <c r="G411" i="44"/>
  <c r="G520" i="44" s="1"/>
  <c r="G528" i="44" s="1"/>
  <c r="G532" i="44" s="1"/>
  <c r="B137" i="78"/>
  <c r="I139" i="79"/>
  <c r="H142" i="75" s="1"/>
  <c r="F435" i="78"/>
  <c r="F535" i="78" s="1"/>
  <c r="F539" i="78" s="1"/>
  <c r="O214" i="79"/>
  <c r="BI112" i="92" s="1"/>
  <c r="F527" i="78"/>
  <c r="F150" i="79"/>
  <c r="DA20" i="99" s="1"/>
  <c r="M278" i="79"/>
  <c r="ER20" i="99" s="1"/>
  <c r="F25" i="79"/>
  <c r="E20" i="92" s="1"/>
  <c r="E44" i="79"/>
  <c r="BO24" i="92" s="1"/>
  <c r="K54" i="79"/>
  <c r="J89" i="79"/>
  <c r="BX49" i="92" s="1"/>
  <c r="I120" i="79"/>
  <c r="E197" i="79"/>
  <c r="J39" i="97" s="1"/>
  <c r="H210" i="79"/>
  <c r="F52" i="97" s="1"/>
  <c r="AB145" i="92"/>
  <c r="F328" i="75"/>
  <c r="J411" i="78"/>
  <c r="J193" i="79"/>
  <c r="F44" i="97" s="1"/>
  <c r="O457" i="78"/>
  <c r="O464" i="78"/>
  <c r="E327" i="75"/>
  <c r="L620" i="78"/>
  <c r="E46" i="79"/>
  <c r="BN15" i="92" s="1"/>
  <c r="AJ25" i="92"/>
  <c r="K56" i="79"/>
  <c r="I122" i="79"/>
  <c r="I118" i="79"/>
  <c r="F139" i="79"/>
  <c r="E142" i="75" s="1"/>
  <c r="I141" i="79"/>
  <c r="H144" i="75" s="1"/>
  <c r="H148" i="75" s="1"/>
  <c r="F140" i="79"/>
  <c r="E143" i="75" s="1"/>
  <c r="G143" i="79"/>
  <c r="F146" i="75" s="1"/>
  <c r="M142" i="82"/>
  <c r="L161" i="75" s="1"/>
  <c r="G253" i="79"/>
  <c r="DW20" i="99" s="1"/>
  <c r="D56" i="75"/>
  <c r="K53" i="79"/>
  <c r="D62" i="75"/>
  <c r="BI25" i="92"/>
  <c r="I87" i="79"/>
  <c r="CA45" i="92" s="1"/>
  <c r="M148" i="79"/>
  <c r="DG20" i="99" s="1"/>
  <c r="BA91" i="92"/>
  <c r="D141" i="75"/>
  <c r="E141" i="75" s="1"/>
  <c r="F141" i="75" s="1"/>
  <c r="G141" i="75" s="1"/>
  <c r="H141" i="75" s="1"/>
  <c r="I141" i="75" s="1"/>
  <c r="J141" i="75" s="1"/>
  <c r="K141" i="75" s="1"/>
  <c r="L141" i="75" s="1"/>
  <c r="M141" i="75" s="1"/>
  <c r="H140" i="79"/>
  <c r="G143" i="75" s="1"/>
  <c r="H143" i="79"/>
  <c r="G146" i="75" s="1"/>
  <c r="AF145" i="92"/>
  <c r="M297" i="82"/>
  <c r="FH21" i="99" s="1"/>
  <c r="F151" i="82"/>
  <c r="DB21" i="99" s="1"/>
  <c r="G624" i="81"/>
  <c r="I88" i="82"/>
  <c r="CA47" i="93" s="1"/>
  <c r="I91" i="82"/>
  <c r="I90" i="82"/>
  <c r="M143" i="79"/>
  <c r="L146" i="75" s="1"/>
  <c r="G456" i="78"/>
  <c r="G210" i="79"/>
  <c r="F51" i="97" s="1"/>
  <c r="J527" i="78"/>
  <c r="L633" i="78"/>
  <c r="D21" i="75"/>
  <c r="D60" i="75"/>
  <c r="E56" i="75"/>
  <c r="J87" i="79"/>
  <c r="BX45" i="92" s="1"/>
  <c r="I90" i="79"/>
  <c r="I109" i="79"/>
  <c r="I121" i="79"/>
  <c r="BV145" i="92"/>
  <c r="I74" i="75"/>
  <c r="E456" i="81"/>
  <c r="M298" i="82"/>
  <c r="FI21" i="99" s="1"/>
  <c r="M151" i="82"/>
  <c r="DJ21" i="99" s="1"/>
  <c r="D23" i="75"/>
  <c r="D75" i="75"/>
  <c r="E28" i="82"/>
  <c r="I21" i="82" s="1"/>
  <c r="J25" i="52"/>
  <c r="Y19" i="99" s="1"/>
  <c r="F37" i="78"/>
  <c r="G140" i="79"/>
  <c r="F143" i="75" s="1"/>
  <c r="M237" i="79"/>
  <c r="DP20" i="99" s="1"/>
  <c r="M435" i="78"/>
  <c r="M535" i="78" s="1"/>
  <c r="M539" i="78" s="1"/>
  <c r="G255" i="79"/>
  <c r="DX20" i="99" s="1"/>
  <c r="E480" i="78"/>
  <c r="K527" i="78"/>
  <c r="M633" i="78"/>
  <c r="F26" i="79"/>
  <c r="E22" i="92" s="1"/>
  <c r="F56" i="75"/>
  <c r="K87" i="79"/>
  <c r="CH45" i="92" s="1"/>
  <c r="J90" i="79"/>
  <c r="I107" i="79"/>
  <c r="F142" i="79"/>
  <c r="E145" i="75" s="1"/>
  <c r="BA93" i="92"/>
  <c r="L197" i="79"/>
  <c r="J46" i="97" s="1"/>
  <c r="K670" i="81"/>
  <c r="E329" i="82"/>
  <c r="GV21" i="99" s="1"/>
  <c r="L91" i="52"/>
  <c r="F195" i="52"/>
  <c r="H20" i="97" s="1"/>
  <c r="F210" i="52"/>
  <c r="F30" i="97" s="1"/>
  <c r="M316" i="52"/>
  <c r="FV19" i="99" s="1"/>
  <c r="BQ142" i="93"/>
  <c r="X142" i="93"/>
  <c r="I435" i="44"/>
  <c r="I535" i="44" s="1"/>
  <c r="I539" i="44" s="1"/>
  <c r="E435" i="44"/>
  <c r="E449" i="44" s="1"/>
  <c r="L624" i="44"/>
  <c r="H37" i="78"/>
  <c r="N40" i="78"/>
  <c r="M40" i="78"/>
  <c r="B89" i="78"/>
  <c r="N198" i="79"/>
  <c r="I215" i="79"/>
  <c r="F480" i="78"/>
  <c r="F562" i="78" s="1"/>
  <c r="F566" i="78" s="1"/>
  <c r="F21" i="75"/>
  <c r="E21" i="75" s="1"/>
  <c r="H19" i="77" s="1"/>
  <c r="L194" i="79"/>
  <c r="F198" i="79"/>
  <c r="AL145" i="92"/>
  <c r="M197" i="82"/>
  <c r="O442" i="81"/>
  <c r="I56" i="75"/>
  <c r="M240" i="79"/>
  <c r="DQ20" i="99" s="1"/>
  <c r="J456" i="78"/>
  <c r="J210" i="79"/>
  <c r="F54" i="97" s="1"/>
  <c r="E547" i="78"/>
  <c r="L616" i="78"/>
  <c r="H633" i="78"/>
  <c r="G633" i="78"/>
  <c r="H688" i="78"/>
  <c r="G688" i="78"/>
  <c r="I91" i="79"/>
  <c r="I110" i="79"/>
  <c r="M139" i="79"/>
  <c r="L142" i="75" s="1"/>
  <c r="I142" i="79"/>
  <c r="H145" i="75" s="1"/>
  <c r="F181" i="79"/>
  <c r="N37" i="81"/>
  <c r="M37" i="81"/>
  <c r="L37" i="81"/>
  <c r="J37" i="81"/>
  <c r="H37" i="81"/>
  <c r="F37" i="81"/>
  <c r="J339" i="82"/>
  <c r="HS21" i="99" s="1"/>
  <c r="J37" i="78"/>
  <c r="H193" i="52"/>
  <c r="F22" i="97" s="1"/>
  <c r="I195" i="52"/>
  <c r="L37" i="78"/>
  <c r="H40" i="78"/>
  <c r="B91" i="78"/>
  <c r="M236" i="79"/>
  <c r="DO20" i="99" s="1"/>
  <c r="O436" i="78"/>
  <c r="K215" i="79"/>
  <c r="K480" i="78"/>
  <c r="K562" i="78" s="1"/>
  <c r="K566" i="78" s="1"/>
  <c r="L688" i="78"/>
  <c r="N139" i="79"/>
  <c r="M142" i="75" s="1"/>
  <c r="F192" i="79"/>
  <c r="E40" i="97" s="1"/>
  <c r="I198" i="79"/>
  <c r="J145" i="92"/>
  <c r="CD145" i="92"/>
  <c r="N527" i="81"/>
  <c r="N195" i="82"/>
  <c r="H68" i="97" s="1"/>
  <c r="M212" i="82"/>
  <c r="H77" i="97" s="1"/>
  <c r="M554" i="81"/>
  <c r="L692" i="81"/>
  <c r="M692" i="81"/>
  <c r="N195" i="52"/>
  <c r="H28" i="97" s="1"/>
  <c r="J255" i="52"/>
  <c r="ED19" i="99" s="1"/>
  <c r="O507" i="78"/>
  <c r="I15" i="78" s="1"/>
  <c r="E54" i="99" s="1"/>
  <c r="I554" i="78"/>
  <c r="H616" i="78"/>
  <c r="F23" i="79"/>
  <c r="E24" i="92" s="1"/>
  <c r="K72" i="79"/>
  <c r="BA45" i="92" s="1"/>
  <c r="F212" i="79"/>
  <c r="H50" i="97" s="1"/>
  <c r="CG4" i="93"/>
  <c r="K193" i="82"/>
  <c r="F65" i="97" s="1"/>
  <c r="K411" i="81"/>
  <c r="O419" i="81"/>
  <c r="E194" i="82"/>
  <c r="G59" i="97" s="1"/>
  <c r="E411" i="81"/>
  <c r="J456" i="81"/>
  <c r="J210" i="82"/>
  <c r="F74" i="97" s="1"/>
  <c r="N212" i="82"/>
  <c r="H78" i="97" s="1"/>
  <c r="N554" i="81"/>
  <c r="G80" i="75"/>
  <c r="E196" i="79"/>
  <c r="I39" i="97" s="1"/>
  <c r="E210" i="79"/>
  <c r="F49" i="97" s="1"/>
  <c r="BM145" i="92"/>
  <c r="CF145" i="92"/>
  <c r="I77" i="75"/>
  <c r="G140" i="82"/>
  <c r="F159" i="75" s="1"/>
  <c r="M435" i="81"/>
  <c r="M535" i="81" s="1"/>
  <c r="M539" i="81" s="1"/>
  <c r="L456" i="81"/>
  <c r="L210" i="82"/>
  <c r="F76" i="97" s="1"/>
  <c r="O472" i="81"/>
  <c r="H480" i="81"/>
  <c r="H562" i="81" s="1"/>
  <c r="H566" i="81" s="1"/>
  <c r="B627" i="81"/>
  <c r="F74" i="75"/>
  <c r="K91" i="82"/>
  <c r="K90" i="82"/>
  <c r="I107" i="82"/>
  <c r="V145" i="93"/>
  <c r="BO145" i="92"/>
  <c r="H140" i="82"/>
  <c r="G159" i="75" s="1"/>
  <c r="F327" i="75"/>
  <c r="B606" i="81"/>
  <c r="F152" i="82"/>
  <c r="DC21" i="99" s="1"/>
  <c r="M316" i="82"/>
  <c r="FV21" i="99" s="1"/>
  <c r="M633" i="81"/>
  <c r="F23" i="75"/>
  <c r="E23" i="75" s="1"/>
  <c r="H21" i="77" s="1"/>
  <c r="G74" i="75"/>
  <c r="J76" i="82"/>
  <c r="AX50" i="93" s="1"/>
  <c r="O487" i="81"/>
  <c r="H620" i="81"/>
  <c r="M152" i="82"/>
  <c r="DK21" i="99" s="1"/>
  <c r="M317" i="82"/>
  <c r="FW21" i="99" s="1"/>
  <c r="B672" i="81"/>
  <c r="F681" i="81"/>
  <c r="H327" i="82"/>
  <c r="GI21" i="99" s="1"/>
  <c r="H74" i="75"/>
  <c r="J73" i="82"/>
  <c r="AX46" i="93" s="1"/>
  <c r="I210" i="82"/>
  <c r="F73" i="97" s="1"/>
  <c r="I41" i="82"/>
  <c r="AA21" i="99" s="1"/>
  <c r="B139" i="81"/>
  <c r="J140" i="82"/>
  <c r="I159" i="75" s="1"/>
  <c r="E196" i="82"/>
  <c r="I59" i="97" s="1"/>
  <c r="O436" i="81"/>
  <c r="M507" i="81"/>
  <c r="G554" i="81"/>
  <c r="K73" i="82"/>
  <c r="BA46" i="93" s="1"/>
  <c r="M210" i="82"/>
  <c r="F77" i="97" s="1"/>
  <c r="D63" i="75"/>
  <c r="G56" i="75"/>
  <c r="E62" i="75"/>
  <c r="E140" i="79"/>
  <c r="E213" i="79"/>
  <c r="I49" i="97" s="1"/>
  <c r="M215" i="79"/>
  <c r="L39" i="81"/>
  <c r="F192" i="82"/>
  <c r="E60" i="97" s="1"/>
  <c r="E138" i="82"/>
  <c r="G411" i="81"/>
  <c r="K140" i="82"/>
  <c r="J159" i="75" s="1"/>
  <c r="F142" i="82"/>
  <c r="E161" i="75" s="1"/>
  <c r="F456" i="81"/>
  <c r="O481" i="81"/>
  <c r="F284" i="75"/>
  <c r="O538" i="81"/>
  <c r="E309" i="82" s="1"/>
  <c r="FM21" i="99" s="1"/>
  <c r="H554" i="81"/>
  <c r="B621" i="81"/>
  <c r="B682" i="81"/>
  <c r="B689" i="81"/>
  <c r="H697" i="81"/>
  <c r="F697" i="81" s="1"/>
  <c r="D24" i="75"/>
  <c r="D78" i="75"/>
  <c r="AJ16" i="93"/>
  <c r="F307" i="75"/>
  <c r="AF145" i="93"/>
  <c r="D20" i="75"/>
  <c r="D57" i="75"/>
  <c r="F24" i="79"/>
  <c r="E18" i="92" s="1"/>
  <c r="H56" i="75"/>
  <c r="F62" i="75"/>
  <c r="BA89" i="92"/>
  <c r="D140" i="75"/>
  <c r="E140" i="75" s="1"/>
  <c r="F140" i="75" s="1"/>
  <c r="G140" i="75" s="1"/>
  <c r="H140" i="75" s="1"/>
  <c r="I140" i="75" s="1"/>
  <c r="J140" i="75" s="1"/>
  <c r="K140" i="75" s="1"/>
  <c r="L140" i="75" s="1"/>
  <c r="M140" i="75" s="1"/>
  <c r="M39" i="81"/>
  <c r="B128" i="81"/>
  <c r="H411" i="81"/>
  <c r="L140" i="82"/>
  <c r="K159" i="75" s="1"/>
  <c r="G142" i="82"/>
  <c r="F161" i="75" s="1"/>
  <c r="G456" i="81"/>
  <c r="F148" i="82"/>
  <c r="CY21" i="99" s="1"/>
  <c r="G629" i="81"/>
  <c r="L87" i="82"/>
  <c r="CF45" i="93" s="1"/>
  <c r="K87" i="82"/>
  <c r="CH45" i="93" s="1"/>
  <c r="I140" i="82"/>
  <c r="H159" i="75" s="1"/>
  <c r="G62" i="75"/>
  <c r="O211" i="79"/>
  <c r="AQ112" i="92" s="1"/>
  <c r="M140" i="82"/>
  <c r="L159" i="75" s="1"/>
  <c r="H142" i="82"/>
  <c r="G161" i="75" s="1"/>
  <c r="H456" i="81"/>
  <c r="J554" i="81"/>
  <c r="M620" i="81"/>
  <c r="H674" i="81"/>
  <c r="G674" i="81"/>
  <c r="K681" i="81"/>
  <c r="H329" i="82"/>
  <c r="GY21" i="99" s="1"/>
  <c r="B698" i="81"/>
  <c r="I83" i="75"/>
  <c r="J141" i="82"/>
  <c r="I160" i="75" s="1"/>
  <c r="I164" i="75" s="1"/>
  <c r="F20" i="75"/>
  <c r="E20" i="75" s="1"/>
  <c r="H18" i="77" s="1"/>
  <c r="H62" i="75"/>
  <c r="B130" i="81"/>
  <c r="N194" i="82"/>
  <c r="G68" i="97" s="1"/>
  <c r="N411" i="81"/>
  <c r="G141" i="82"/>
  <c r="F160" i="75" s="1"/>
  <c r="F164" i="75" s="1"/>
  <c r="F554" i="81"/>
  <c r="F212" i="82"/>
  <c r="H70" i="97" s="1"/>
  <c r="O523" i="81"/>
  <c r="E271" i="82" s="1"/>
  <c r="EI21" i="99" s="1"/>
  <c r="B622" i="81"/>
  <c r="F684" i="81"/>
  <c r="BI25" i="93"/>
  <c r="K74" i="82"/>
  <c r="BA48" i="93" s="1"/>
  <c r="Z145" i="92"/>
  <c r="B671" i="81"/>
  <c r="B626" i="81"/>
  <c r="B610" i="81"/>
  <c r="B636" i="81"/>
  <c r="B675" i="81"/>
  <c r="B630" i="81"/>
  <c r="B614" i="81"/>
  <c r="B635" i="81"/>
  <c r="B685" i="81"/>
  <c r="B608" i="81"/>
  <c r="B690" i="81"/>
  <c r="B613" i="81"/>
  <c r="B695" i="81"/>
  <c r="B679" i="81"/>
  <c r="B607" i="81"/>
  <c r="B137" i="81"/>
  <c r="F209" i="82"/>
  <c r="E70" i="97" s="1"/>
  <c r="E193" i="82"/>
  <c r="F59" i="97" s="1"/>
  <c r="O412" i="81"/>
  <c r="H141" i="82"/>
  <c r="G160" i="75" s="1"/>
  <c r="G164" i="75" s="1"/>
  <c r="J435" i="81"/>
  <c r="J535" i="81" s="1"/>
  <c r="J539" i="81" s="1"/>
  <c r="J196" i="82"/>
  <c r="I64" i="97" s="1"/>
  <c r="F143" i="82"/>
  <c r="E162" i="75" s="1"/>
  <c r="N456" i="81"/>
  <c r="N211" i="82"/>
  <c r="G78" i="97" s="1"/>
  <c r="F527" i="81"/>
  <c r="B609" i="81"/>
  <c r="B676" i="81"/>
  <c r="K88" i="82"/>
  <c r="CH47" i="93" s="1"/>
  <c r="I121" i="82"/>
  <c r="E141" i="82"/>
  <c r="E213" i="82"/>
  <c r="I69" i="97" s="1"/>
  <c r="F139" i="82"/>
  <c r="E158" i="75" s="1"/>
  <c r="K435" i="81"/>
  <c r="K535" i="81" s="1"/>
  <c r="K539" i="81" s="1"/>
  <c r="K196" i="82"/>
  <c r="I65" i="97" s="1"/>
  <c r="G143" i="82"/>
  <c r="F162" i="75" s="1"/>
  <c r="E210" i="82"/>
  <c r="F69" i="97" s="1"/>
  <c r="O457" i="81"/>
  <c r="J480" i="81"/>
  <c r="J562" i="81" s="1"/>
  <c r="J566" i="81" s="1"/>
  <c r="J213" i="82"/>
  <c r="I74" i="97" s="1"/>
  <c r="M629" i="81"/>
  <c r="M279" i="82"/>
  <c r="ES21" i="99" s="1"/>
  <c r="L629" i="81"/>
  <c r="M150" i="82"/>
  <c r="DI21" i="99" s="1"/>
  <c r="J72" i="82"/>
  <c r="AX45" i="93" s="1"/>
  <c r="I195" i="82"/>
  <c r="H63" i="97" s="1"/>
  <c r="I213" i="82"/>
  <c r="I73" i="97" s="1"/>
  <c r="BC145" i="93"/>
  <c r="L145" i="92"/>
  <c r="AD145" i="92"/>
  <c r="BT145" i="92"/>
  <c r="G139" i="82"/>
  <c r="F158" i="75" s="1"/>
  <c r="G198" i="82"/>
  <c r="L435" i="81"/>
  <c r="L535" i="81" s="1"/>
  <c r="L539" i="81" s="1"/>
  <c r="L196" i="82"/>
  <c r="I66" i="97" s="1"/>
  <c r="J255" i="82"/>
  <c r="ED21" i="99" s="1"/>
  <c r="K480" i="81"/>
  <c r="K562" i="81" s="1"/>
  <c r="K566" i="81" s="1"/>
  <c r="K213" i="82"/>
  <c r="I75" i="97" s="1"/>
  <c r="H527" i="81"/>
  <c r="O531" i="81"/>
  <c r="E290" i="82" s="1"/>
  <c r="EX21" i="99" s="1"/>
  <c r="BI16" i="93"/>
  <c r="K54" i="82"/>
  <c r="K75" i="82"/>
  <c r="BA49" i="93" s="1"/>
  <c r="K72" i="82"/>
  <c r="BA45" i="93" s="1"/>
  <c r="E143" i="82"/>
  <c r="I196" i="82"/>
  <c r="I63" i="97" s="1"/>
  <c r="H139" i="82"/>
  <c r="G158" i="75" s="1"/>
  <c r="H198" i="82"/>
  <c r="K527" i="81"/>
  <c r="K195" i="82"/>
  <c r="H65" i="97" s="1"/>
  <c r="I143" i="82"/>
  <c r="H162" i="75" s="1"/>
  <c r="G215" i="82"/>
  <c r="L480" i="81"/>
  <c r="L562" i="81" s="1"/>
  <c r="L566" i="81" s="1"/>
  <c r="L213" i="82"/>
  <c r="I76" i="97" s="1"/>
  <c r="AJ25" i="93"/>
  <c r="B625" i="81"/>
  <c r="G633" i="81"/>
  <c r="D80" i="75"/>
  <c r="K55" i="82"/>
  <c r="H143" i="82"/>
  <c r="G162" i="75" s="1"/>
  <c r="P145" i="92"/>
  <c r="AH145" i="92"/>
  <c r="BE145" i="92"/>
  <c r="BX145" i="92"/>
  <c r="I193" i="82"/>
  <c r="F63" i="97" s="1"/>
  <c r="I411" i="81"/>
  <c r="L527" i="81"/>
  <c r="L195" i="82"/>
  <c r="H66" i="97" s="1"/>
  <c r="N142" i="82"/>
  <c r="M161" i="75" s="1"/>
  <c r="J143" i="82"/>
  <c r="I162" i="75" s="1"/>
  <c r="H215" i="82"/>
  <c r="J257" i="82"/>
  <c r="EE21" i="99" s="1"/>
  <c r="B617" i="81"/>
  <c r="H624" i="81"/>
  <c r="H633" i="81"/>
  <c r="B686" i="81"/>
  <c r="B693" i="81"/>
  <c r="E80" i="75"/>
  <c r="J75" i="82"/>
  <c r="AX49" i="93" s="1"/>
  <c r="I89" i="82"/>
  <c r="CA49" i="93" s="1"/>
  <c r="I122" i="82"/>
  <c r="N145" i="93"/>
  <c r="F59" i="75"/>
  <c r="E65" i="75"/>
  <c r="BA85" i="92"/>
  <c r="D139" i="75"/>
  <c r="E139" i="75" s="1"/>
  <c r="F139" i="75" s="1"/>
  <c r="G139" i="75" s="1"/>
  <c r="H139" i="75" s="1"/>
  <c r="I139" i="75" s="1"/>
  <c r="J139" i="75" s="1"/>
  <c r="K139" i="75" s="1"/>
  <c r="L139" i="75" s="1"/>
  <c r="M139" i="75" s="1"/>
  <c r="R145" i="92"/>
  <c r="AJ145" i="92"/>
  <c r="BG145" i="92"/>
  <c r="BZ145" i="92"/>
  <c r="AF102" i="92"/>
  <c r="W141" i="92"/>
  <c r="BP141" i="92"/>
  <c r="BE13" i="92"/>
  <c r="L38" i="81"/>
  <c r="J193" i="82"/>
  <c r="F64" i="97" s="1"/>
  <c r="J411" i="81"/>
  <c r="F257" i="82"/>
  <c r="DV21" i="99" s="1"/>
  <c r="M527" i="81"/>
  <c r="M195" i="82"/>
  <c r="H67" i="97" s="1"/>
  <c r="F435" i="81"/>
  <c r="K143" i="82"/>
  <c r="J162" i="75" s="1"/>
  <c r="E480" i="81"/>
  <c r="M624" i="81"/>
  <c r="L624" i="81"/>
  <c r="H692" i="81"/>
  <c r="F80" i="75"/>
  <c r="L89" i="82"/>
  <c r="CF49" i="93" s="1"/>
  <c r="K89" i="82"/>
  <c r="CH49" i="93" s="1"/>
  <c r="M149" i="82"/>
  <c r="DH21" i="99" s="1"/>
  <c r="BK145" i="93"/>
  <c r="P145" i="93"/>
  <c r="AH145" i="93"/>
  <c r="BE145" i="93"/>
  <c r="BX145" i="93"/>
  <c r="G83" i="75"/>
  <c r="F150" i="82"/>
  <c r="DA21" i="99" s="1"/>
  <c r="M277" i="82"/>
  <c r="EQ21" i="99" s="1"/>
  <c r="R145" i="93"/>
  <c r="AJ145" i="93"/>
  <c r="BG145" i="93"/>
  <c r="BZ145" i="93"/>
  <c r="H83" i="75"/>
  <c r="T145" i="93"/>
  <c r="AL145" i="93"/>
  <c r="BI145" i="93"/>
  <c r="CB145" i="93"/>
  <c r="F24" i="75"/>
  <c r="E24" i="75" s="1"/>
  <c r="H22" i="77" s="1"/>
  <c r="H77" i="75"/>
  <c r="CD145" i="93"/>
  <c r="F25" i="75"/>
  <c r="D84" i="75"/>
  <c r="F22" i="82"/>
  <c r="E16" i="93" s="1"/>
  <c r="I87" i="82"/>
  <c r="CA45" i="93" s="1"/>
  <c r="BM145" i="93"/>
  <c r="CF145" i="93"/>
  <c r="G25" i="75"/>
  <c r="BO145" i="93"/>
  <c r="CB145" i="92"/>
  <c r="BM102" i="92"/>
  <c r="CI13" i="92"/>
  <c r="AN141" i="92"/>
  <c r="CH141" i="92"/>
  <c r="I123" i="82"/>
  <c r="E74" i="75"/>
  <c r="J90" i="82"/>
  <c r="L143" i="82"/>
  <c r="K162" i="75" s="1"/>
  <c r="F285" i="75"/>
  <c r="D25" i="75"/>
  <c r="F308" i="75"/>
  <c r="F23" i="82"/>
  <c r="E24" i="93" s="1"/>
  <c r="L90" i="82"/>
  <c r="I105" i="82"/>
  <c r="I109" i="82"/>
  <c r="N143" i="82"/>
  <c r="M162" i="75" s="1"/>
  <c r="H80" i="75"/>
  <c r="F181" i="82"/>
  <c r="I120" i="82"/>
  <c r="Z145" i="93"/>
  <c r="D81" i="75"/>
  <c r="K56" i="82"/>
  <c r="I106" i="82"/>
  <c r="I110" i="82"/>
  <c r="N139" i="82"/>
  <c r="M158" i="75" s="1"/>
  <c r="J145" i="93"/>
  <c r="AB145" i="93"/>
  <c r="D83" i="75"/>
  <c r="D155" i="75"/>
  <c r="E155" i="75" s="1"/>
  <c r="F155" i="75" s="1"/>
  <c r="G155" i="75" s="1"/>
  <c r="H155" i="75" s="1"/>
  <c r="I155" i="75" s="1"/>
  <c r="J155" i="75" s="1"/>
  <c r="K155" i="75" s="1"/>
  <c r="L155" i="75" s="1"/>
  <c r="M155" i="75" s="1"/>
  <c r="L145" i="93"/>
  <c r="AD145" i="93"/>
  <c r="BT145" i="93"/>
  <c r="D156" i="75"/>
  <c r="E156" i="75" s="1"/>
  <c r="F156" i="75" s="1"/>
  <c r="G156" i="75" s="1"/>
  <c r="H156" i="75" s="1"/>
  <c r="I156" i="75" s="1"/>
  <c r="J156" i="75" s="1"/>
  <c r="K156" i="75" s="1"/>
  <c r="L156" i="75" s="1"/>
  <c r="M156" i="75" s="1"/>
  <c r="BV145" i="93"/>
  <c r="E77" i="75"/>
  <c r="F83" i="75"/>
  <c r="D157" i="75"/>
  <c r="E157" i="75" s="1"/>
  <c r="F157" i="75" s="1"/>
  <c r="G157" i="75" s="1"/>
  <c r="H157" i="75" s="1"/>
  <c r="I157" i="75" s="1"/>
  <c r="J157" i="75" s="1"/>
  <c r="K157" i="75" s="1"/>
  <c r="L157" i="75" s="1"/>
  <c r="M157" i="75" s="1"/>
  <c r="E138" i="52"/>
  <c r="F138" i="52" s="1"/>
  <c r="E518" i="81"/>
  <c r="F518" i="81" s="1"/>
  <c r="G518" i="81" s="1"/>
  <c r="H518" i="81" s="1"/>
  <c r="I518" i="81" s="1"/>
  <c r="J518" i="81" s="1"/>
  <c r="K518" i="81" s="1"/>
  <c r="L518" i="81" s="1"/>
  <c r="M518" i="81" s="1"/>
  <c r="N518" i="81" s="1"/>
  <c r="E545" i="81"/>
  <c r="F545" i="81" s="1"/>
  <c r="G545" i="81" s="1"/>
  <c r="H545" i="81" s="1"/>
  <c r="I545" i="81" s="1"/>
  <c r="J545" i="81" s="1"/>
  <c r="K545" i="81" s="1"/>
  <c r="L545" i="81" s="1"/>
  <c r="M545" i="81" s="1"/>
  <c r="N545" i="81" s="1"/>
  <c r="E455" i="78"/>
  <c r="F455" i="78" s="1"/>
  <c r="G455" i="78" s="1"/>
  <c r="H455" i="78" s="1"/>
  <c r="I455" i="78" s="1"/>
  <c r="J455" i="78" s="1"/>
  <c r="K455" i="78" s="1"/>
  <c r="L455" i="78" s="1"/>
  <c r="M455" i="78" s="1"/>
  <c r="N455" i="78" s="1"/>
  <c r="E455" i="81"/>
  <c r="F455" i="81" s="1"/>
  <c r="G455" i="81" s="1"/>
  <c r="H455" i="81" s="1"/>
  <c r="I455" i="81" s="1"/>
  <c r="J455" i="81" s="1"/>
  <c r="K455" i="81" s="1"/>
  <c r="L455" i="81" s="1"/>
  <c r="M455" i="81" s="1"/>
  <c r="N455" i="81" s="1"/>
  <c r="E518" i="78"/>
  <c r="F518" i="78" s="1"/>
  <c r="G518" i="78" s="1"/>
  <c r="H518" i="78" s="1"/>
  <c r="I518" i="78" s="1"/>
  <c r="J518" i="78" s="1"/>
  <c r="K518" i="78" s="1"/>
  <c r="L518" i="78" s="1"/>
  <c r="M518" i="78" s="1"/>
  <c r="N518" i="78" s="1"/>
  <c r="E23" i="77"/>
  <c r="D22" i="77"/>
  <c r="D24" i="77"/>
  <c r="E22" i="77"/>
  <c r="D21" i="77"/>
  <c r="E21" i="77"/>
  <c r="D23" i="77"/>
  <c r="D372" i="75"/>
  <c r="O371" i="75" s="1"/>
  <c r="BB88" i="77" s="1"/>
  <c r="I140" i="52"/>
  <c r="H127" i="75" s="1"/>
  <c r="E139" i="52"/>
  <c r="D126" i="75" s="1"/>
  <c r="J88" i="52"/>
  <c r="BX47" i="91" s="1"/>
  <c r="J89" i="52"/>
  <c r="BX49" i="91" s="1"/>
  <c r="I90" i="52"/>
  <c r="J87" i="52"/>
  <c r="BX45" i="91" s="1"/>
  <c r="K91" i="52"/>
  <c r="F143" i="52"/>
  <c r="E130" i="75" s="1"/>
  <c r="L87" i="52"/>
  <c r="N143" i="52"/>
  <c r="M130" i="75" s="1"/>
  <c r="I91" i="52"/>
  <c r="I118" i="52"/>
  <c r="L88" i="52"/>
  <c r="I105" i="52"/>
  <c r="D39" i="75"/>
  <c r="D19" i="75"/>
  <c r="F25" i="52"/>
  <c r="E20" i="91" s="1"/>
  <c r="D38" i="75"/>
  <c r="I41" i="75"/>
  <c r="AB145" i="91"/>
  <c r="AJ145" i="91"/>
  <c r="BX145" i="91"/>
  <c r="D47" i="91"/>
  <c r="D163" i="91"/>
  <c r="G142" i="52"/>
  <c r="F129" i="75" s="1"/>
  <c r="K139" i="52"/>
  <c r="J126" i="75" s="1"/>
  <c r="CK2" i="91"/>
  <c r="F21" i="52"/>
  <c r="E14" i="91" s="1"/>
  <c r="F23" i="52"/>
  <c r="E24" i="91" s="1"/>
  <c r="D45" i="75"/>
  <c r="L125" i="52"/>
  <c r="CX19" i="99" s="1"/>
  <c r="E38" i="75"/>
  <c r="I38" i="75"/>
  <c r="F41" i="75"/>
  <c r="D44" i="75"/>
  <c r="H44" i="75"/>
  <c r="F47" i="75"/>
  <c r="BI25" i="91"/>
  <c r="J76" i="52"/>
  <c r="K76" i="52"/>
  <c r="K90" i="52"/>
  <c r="I106" i="52"/>
  <c r="I107" i="52"/>
  <c r="I122" i="52"/>
  <c r="L143" i="52"/>
  <c r="K130" i="75" s="1"/>
  <c r="BA87" i="91"/>
  <c r="G140" i="52"/>
  <c r="F127" i="75" s="1"/>
  <c r="N145" i="91"/>
  <c r="V145" i="91"/>
  <c r="AD145" i="91"/>
  <c r="AL145" i="91"/>
  <c r="BG145" i="91"/>
  <c r="BO145" i="91"/>
  <c r="BZ145" i="91"/>
  <c r="BQ142" i="91"/>
  <c r="BE13" i="91"/>
  <c r="X142" i="91"/>
  <c r="D49" i="91"/>
  <c r="H38" i="75"/>
  <c r="G44" i="75"/>
  <c r="I47" i="75"/>
  <c r="N142" i="52"/>
  <c r="M129" i="75" s="1"/>
  <c r="F140" i="52"/>
  <c r="E127" i="75" s="1"/>
  <c r="L145" i="91"/>
  <c r="BM145" i="91"/>
  <c r="CK3" i="91"/>
  <c r="F18" i="75"/>
  <c r="E18" i="75" s="1"/>
  <c r="H16" i="77" s="1"/>
  <c r="F24" i="52"/>
  <c r="E18" i="91" s="1"/>
  <c r="F38" i="75"/>
  <c r="AJ16" i="91"/>
  <c r="G41" i="75"/>
  <c r="E44" i="75"/>
  <c r="I44" i="75"/>
  <c r="G47" i="75"/>
  <c r="I87" i="52"/>
  <c r="CF49" i="91"/>
  <c r="I110" i="52"/>
  <c r="I121" i="52"/>
  <c r="E142" i="52"/>
  <c r="D129" i="75" s="1"/>
  <c r="N140" i="52"/>
  <c r="M127" i="75" s="1"/>
  <c r="I143" i="52"/>
  <c r="H130" i="75" s="1"/>
  <c r="H140" i="52"/>
  <c r="G127" i="75" s="1"/>
  <c r="P145" i="91"/>
  <c r="AF145" i="91"/>
  <c r="BI145" i="91"/>
  <c r="BT145" i="91"/>
  <c r="CB145" i="91"/>
  <c r="AN141" i="91"/>
  <c r="CI13" i="91"/>
  <c r="CH141" i="91"/>
  <c r="O45" i="91"/>
  <c r="BI16" i="91"/>
  <c r="E41" i="75"/>
  <c r="E47" i="75"/>
  <c r="I108" i="52"/>
  <c r="BA93" i="91"/>
  <c r="T145" i="91"/>
  <c r="BE145" i="91"/>
  <c r="CF145" i="91"/>
  <c r="O49" i="91"/>
  <c r="K143" i="52"/>
  <c r="J130" i="75" s="1"/>
  <c r="AJ25" i="91"/>
  <c r="CG4" i="91"/>
  <c r="G19" i="75"/>
  <c r="D48" i="75"/>
  <c r="F26" i="52"/>
  <c r="E22" i="91" s="1"/>
  <c r="G38" i="75"/>
  <c r="D41" i="75"/>
  <c r="H41" i="75"/>
  <c r="F44" i="75"/>
  <c r="D47" i="75"/>
  <c r="H47" i="75"/>
  <c r="K88" i="52"/>
  <c r="I109" i="52"/>
  <c r="I119" i="52"/>
  <c r="I120" i="52"/>
  <c r="I123" i="52"/>
  <c r="L139" i="52"/>
  <c r="K126" i="75" s="1"/>
  <c r="M142" i="52"/>
  <c r="L129" i="75" s="1"/>
  <c r="J145" i="91"/>
  <c r="R145" i="91"/>
  <c r="Z145" i="91"/>
  <c r="AH145" i="91"/>
  <c r="BC145" i="91"/>
  <c r="BK145" i="91"/>
  <c r="BV145" i="91"/>
  <c r="CD145" i="91"/>
  <c r="D45" i="91"/>
  <c r="O47" i="91"/>
  <c r="J253" i="52"/>
  <c r="EC19" i="99" s="1"/>
  <c r="M692" i="44"/>
  <c r="K692" i="44" s="1"/>
  <c r="L692" i="44"/>
  <c r="M688" i="44"/>
  <c r="K688" i="44" s="1"/>
  <c r="M684" i="44"/>
  <c r="I329" i="52" s="1"/>
  <c r="GZ19" i="99" s="1"/>
  <c r="L684" i="44"/>
  <c r="G692" i="44"/>
  <c r="H688" i="44"/>
  <c r="F688" i="44" s="1"/>
  <c r="G688" i="44"/>
  <c r="H684" i="44"/>
  <c r="F684" i="44" s="1"/>
  <c r="O646" i="44"/>
  <c r="I17" i="44" s="1"/>
  <c r="B56" i="99" s="1"/>
  <c r="M633" i="44"/>
  <c r="K341" i="52" s="1"/>
  <c r="IJ19" i="99" s="1"/>
  <c r="L633" i="44"/>
  <c r="L629" i="44"/>
  <c r="M148" i="52"/>
  <c r="DG19" i="99" s="1"/>
  <c r="J339" i="52"/>
  <c r="HS19" i="99" s="1"/>
  <c r="F148" i="52"/>
  <c r="CY19" i="99" s="1"/>
  <c r="M616" i="44"/>
  <c r="K616" i="44" s="1"/>
  <c r="F151" i="52"/>
  <c r="DB19" i="99" s="1"/>
  <c r="O150" i="52"/>
  <c r="D219" i="52" s="1"/>
  <c r="L612" i="44"/>
  <c r="G612" i="44"/>
  <c r="M604" i="44"/>
  <c r="K604" i="44" s="1"/>
  <c r="D307" i="75"/>
  <c r="M143" i="52"/>
  <c r="L130" i="75" s="1"/>
  <c r="N215" i="52"/>
  <c r="E480" i="44"/>
  <c r="E562" i="44" s="1"/>
  <c r="E566" i="44" s="1"/>
  <c r="N456" i="44"/>
  <c r="N547" i="44" s="1"/>
  <c r="O464" i="44"/>
  <c r="M456" i="44"/>
  <c r="M494" i="44" s="1"/>
  <c r="L211" i="52"/>
  <c r="G36" i="97" s="1"/>
  <c r="K140" i="52"/>
  <c r="J127" i="75" s="1"/>
  <c r="G435" i="44"/>
  <c r="G535" i="44" s="1"/>
  <c r="G539" i="44" s="1"/>
  <c r="L142" i="52"/>
  <c r="K129" i="75" s="1"/>
  <c r="H143" i="52"/>
  <c r="G130" i="75" s="1"/>
  <c r="M237" i="52"/>
  <c r="DP19" i="99" s="1"/>
  <c r="H195" i="52"/>
  <c r="H22" i="97" s="1"/>
  <c r="J195" i="52"/>
  <c r="H24" i="97" s="1"/>
  <c r="G143" i="52"/>
  <c r="F130" i="75" s="1"/>
  <c r="N435" i="44"/>
  <c r="N535" i="44" s="1"/>
  <c r="N539" i="44" s="1"/>
  <c r="L435" i="44"/>
  <c r="L535" i="44" s="1"/>
  <c r="L539" i="44" s="1"/>
  <c r="K195" i="52"/>
  <c r="H25" i="97" s="1"/>
  <c r="L195" i="52"/>
  <c r="H26" i="97" s="1"/>
  <c r="I253" i="52"/>
  <c r="DZ19" i="99" s="1"/>
  <c r="O214" i="52"/>
  <c r="BI112" i="91" s="1"/>
  <c r="E28" i="52"/>
  <c r="I26" i="52" s="1"/>
  <c r="J75" i="52"/>
  <c r="M211" i="52"/>
  <c r="G37" i="97" s="1"/>
  <c r="G329" i="52"/>
  <c r="GX19" i="99" s="1"/>
  <c r="K456" i="44"/>
  <c r="K547" i="44" s="1"/>
  <c r="L480" i="44"/>
  <c r="L562" i="44" s="1"/>
  <c r="L566" i="44" s="1"/>
  <c r="K72" i="52"/>
  <c r="E211" i="52"/>
  <c r="H37" i="44"/>
  <c r="J411" i="44"/>
  <c r="J520" i="44" s="1"/>
  <c r="H681" i="44"/>
  <c r="H692" i="44"/>
  <c r="L37" i="44"/>
  <c r="O338" i="44"/>
  <c r="I13" i="44" s="1"/>
  <c r="B52" i="99" s="1"/>
  <c r="F480" i="44"/>
  <c r="F562" i="44" s="1"/>
  <c r="F566" i="44" s="1"/>
  <c r="N480" i="44"/>
  <c r="N562" i="44" s="1"/>
  <c r="N566" i="44" s="1"/>
  <c r="H604" i="44"/>
  <c r="G604" i="44" s="1"/>
  <c r="I193" i="52"/>
  <c r="F23" i="97" s="1"/>
  <c r="G212" i="52"/>
  <c r="H31" i="97" s="1"/>
  <c r="M240" i="52"/>
  <c r="DQ19" i="99" s="1"/>
  <c r="J257" i="52"/>
  <c r="EE19" i="99" s="1"/>
  <c r="G480" i="44"/>
  <c r="G562" i="44" s="1"/>
  <c r="G566" i="44" s="1"/>
  <c r="H612" i="44"/>
  <c r="L616" i="44"/>
  <c r="G629" i="44"/>
  <c r="J143" i="52"/>
  <c r="I130" i="75" s="1"/>
  <c r="H253" i="52"/>
  <c r="N253" i="52" s="1"/>
  <c r="CB108" i="91" s="1"/>
  <c r="N37" i="44"/>
  <c r="B139" i="44"/>
  <c r="O412" i="44"/>
  <c r="O436" i="44"/>
  <c r="H524" i="44"/>
  <c r="O538" i="44"/>
  <c r="E309" i="52" s="1"/>
  <c r="FM19" i="99" s="1"/>
  <c r="G620" i="44"/>
  <c r="M624" i="44"/>
  <c r="M629" i="44"/>
  <c r="G633" i="44"/>
  <c r="J24" i="52"/>
  <c r="X19" i="99" s="1"/>
  <c r="I41" i="52"/>
  <c r="AA19" i="99" s="1"/>
  <c r="I196" i="52"/>
  <c r="I23" i="97" s="1"/>
  <c r="H456" i="44"/>
  <c r="H547" i="44" s="1"/>
  <c r="H555" i="44" s="1"/>
  <c r="H559" i="44" s="1"/>
  <c r="O507" i="44"/>
  <c r="I15" i="44" s="1"/>
  <c r="B54" i="99" s="1"/>
  <c r="L678" i="44"/>
  <c r="L688" i="44"/>
  <c r="E456" i="44"/>
  <c r="O580" i="44"/>
  <c r="I16" i="44" s="1"/>
  <c r="B55" i="99" s="1"/>
  <c r="G684" i="44"/>
  <c r="CD3" i="77"/>
  <c r="D42" i="75"/>
  <c r="D18" i="75"/>
  <c r="F19" i="75"/>
  <c r="J28" i="52"/>
  <c r="K53" i="52"/>
  <c r="K75" i="52"/>
  <c r="I89" i="52"/>
  <c r="F192" i="52"/>
  <c r="E20" i="97" s="1"/>
  <c r="D285" i="75"/>
  <c r="H616" i="44"/>
  <c r="G616" i="44"/>
  <c r="J74" i="52"/>
  <c r="I88" i="52"/>
  <c r="E545" i="44"/>
  <c r="F545" i="44" s="1"/>
  <c r="G545" i="44" s="1"/>
  <c r="H545" i="44" s="1"/>
  <c r="I545" i="44" s="1"/>
  <c r="J545" i="44" s="1"/>
  <c r="K545" i="44" s="1"/>
  <c r="L545" i="44" s="1"/>
  <c r="M545" i="44" s="1"/>
  <c r="N545" i="44" s="1"/>
  <c r="E410" i="44"/>
  <c r="E518" i="44"/>
  <c r="F518" i="44" s="1"/>
  <c r="G518" i="44" s="1"/>
  <c r="H518" i="44" s="1"/>
  <c r="I518" i="44" s="1"/>
  <c r="J518" i="44" s="1"/>
  <c r="K518" i="44" s="1"/>
  <c r="L518" i="44" s="1"/>
  <c r="M518" i="44" s="1"/>
  <c r="N518" i="44" s="1"/>
  <c r="B98" i="44"/>
  <c r="B91" i="44"/>
  <c r="B89" i="44"/>
  <c r="O375" i="44"/>
  <c r="I14" i="44" s="1"/>
  <c r="B53" i="99" s="1"/>
  <c r="O427" i="44"/>
  <c r="E195" i="52"/>
  <c r="H19" i="97" s="1"/>
  <c r="E527" i="44"/>
  <c r="M527" i="44"/>
  <c r="M195" i="52"/>
  <c r="F547" i="44"/>
  <c r="J554" i="44"/>
  <c r="J212" i="52"/>
  <c r="H34" i="97" s="1"/>
  <c r="O565" i="44"/>
  <c r="F309" i="52" s="1"/>
  <c r="FR19" i="99" s="1"/>
  <c r="D17" i="75"/>
  <c r="E36" i="52"/>
  <c r="M53" i="52"/>
  <c r="L38" i="75" s="1"/>
  <c r="K54" i="52"/>
  <c r="K55" i="52"/>
  <c r="K74" i="52"/>
  <c r="K89" i="52"/>
  <c r="G139" i="52"/>
  <c r="F126" i="75" s="1"/>
  <c r="D123" i="75"/>
  <c r="G198" i="52"/>
  <c r="L194" i="52"/>
  <c r="G26" i="97" s="1"/>
  <c r="L411" i="44"/>
  <c r="E197" i="52"/>
  <c r="J19" i="97" s="1"/>
  <c r="O442" i="44"/>
  <c r="K212" i="52"/>
  <c r="H35" i="97" s="1"/>
  <c r="K554" i="44"/>
  <c r="H480" i="44"/>
  <c r="H213" i="52"/>
  <c r="I32" i="97" s="1"/>
  <c r="D124" i="75"/>
  <c r="E38" i="52"/>
  <c r="K56" i="52"/>
  <c r="J73" i="52"/>
  <c r="K411" i="44"/>
  <c r="O419" i="44"/>
  <c r="J435" i="44"/>
  <c r="J535" i="44" s="1"/>
  <c r="J539" i="44" s="1"/>
  <c r="J196" i="52"/>
  <c r="I24" i="97" s="1"/>
  <c r="M236" i="52"/>
  <c r="DO19" i="99" s="1"/>
  <c r="G255" i="52"/>
  <c r="DX19" i="99" s="1"/>
  <c r="J456" i="44"/>
  <c r="J211" i="52"/>
  <c r="G34" i="97" s="1"/>
  <c r="I480" i="44"/>
  <c r="I562" i="44" s="1"/>
  <c r="I566" i="44" s="1"/>
  <c r="I213" i="52"/>
  <c r="I33" i="97" s="1"/>
  <c r="O487" i="44"/>
  <c r="E34" i="52"/>
  <c r="F17" i="75"/>
  <c r="E17" i="75" s="1"/>
  <c r="H15" i="77" s="1"/>
  <c r="K73" i="52"/>
  <c r="K87" i="52"/>
  <c r="N520" i="44"/>
  <c r="M435" i="44"/>
  <c r="M535" i="44" s="1"/>
  <c r="M539" i="44" s="1"/>
  <c r="K435" i="44"/>
  <c r="K535" i="44" s="1"/>
  <c r="K539" i="44" s="1"/>
  <c r="K196" i="52"/>
  <c r="I25" i="97" s="1"/>
  <c r="I456" i="44"/>
  <c r="I210" i="52"/>
  <c r="F33" i="97" s="1"/>
  <c r="O63" i="52"/>
  <c r="BP19" i="99" s="1"/>
  <c r="J72" i="52"/>
  <c r="L112" i="52"/>
  <c r="CQ19" i="99" s="1"/>
  <c r="J139" i="52"/>
  <c r="I126" i="75" s="1"/>
  <c r="M39" i="44"/>
  <c r="L39" i="44"/>
  <c r="J39" i="44"/>
  <c r="H39" i="44"/>
  <c r="F39" i="44"/>
  <c r="N39" i="44"/>
  <c r="B100" i="44"/>
  <c r="N40" i="44"/>
  <c r="M40" i="44"/>
  <c r="L40" i="44"/>
  <c r="J40" i="44"/>
  <c r="H40" i="44"/>
  <c r="L547" i="44"/>
  <c r="G551" i="44"/>
  <c r="G555" i="44"/>
  <c r="G559" i="44" s="1"/>
  <c r="D308" i="75"/>
  <c r="D327" i="75"/>
  <c r="M38" i="44"/>
  <c r="B137" i="44"/>
  <c r="O457" i="44"/>
  <c r="O481" i="44"/>
  <c r="H633" i="44"/>
  <c r="D328" i="75"/>
  <c r="O550" i="44"/>
  <c r="F271" i="52" s="1"/>
  <c r="EN19" i="99" s="1"/>
  <c r="M612" i="44"/>
  <c r="H624" i="44"/>
  <c r="G624" i="44"/>
  <c r="G670" i="44"/>
  <c r="F670" i="44"/>
  <c r="F38" i="44"/>
  <c r="O531" i="44"/>
  <c r="E290" i="52" s="1"/>
  <c r="EX19" i="99" s="1"/>
  <c r="M620" i="44"/>
  <c r="F674" i="44"/>
  <c r="F209" i="52"/>
  <c r="E30" i="97" s="1"/>
  <c r="H38" i="44"/>
  <c r="B128" i="44"/>
  <c r="J38" i="44"/>
  <c r="O472" i="44"/>
  <c r="O523" i="44"/>
  <c r="E271" i="52" s="1"/>
  <c r="EI19" i="99" s="1"/>
  <c r="O558" i="44"/>
  <c r="F290" i="52" s="1"/>
  <c r="FD19" i="99" s="1"/>
  <c r="D125" i="75"/>
  <c r="D284" i="75"/>
  <c r="M674" i="44"/>
  <c r="L674" i="44"/>
  <c r="H620" i="44"/>
  <c r="H697" i="44"/>
  <c r="F697" i="44" s="1"/>
  <c r="G674" i="44"/>
  <c r="L697" i="44"/>
  <c r="G678" i="44"/>
  <c r="O507" i="81" l="1"/>
  <c r="I15" i="81" s="1"/>
  <c r="H54" i="99" s="1"/>
  <c r="F674" i="78"/>
  <c r="J327" i="82"/>
  <c r="GK21" i="99" s="1"/>
  <c r="K688" i="81"/>
  <c r="E327" i="82"/>
  <c r="GF21" i="99" s="1"/>
  <c r="F616" i="81"/>
  <c r="F612" i="81"/>
  <c r="L604" i="81"/>
  <c r="L638" i="81" s="1"/>
  <c r="E344" i="82" s="1"/>
  <c r="M494" i="81"/>
  <c r="H255" i="82"/>
  <c r="M528" i="81"/>
  <c r="M532" i="81" s="1"/>
  <c r="K678" i="78"/>
  <c r="L670" i="44"/>
  <c r="K670" i="44"/>
  <c r="E535" i="44"/>
  <c r="F620" i="78"/>
  <c r="F329" i="82"/>
  <c r="GW21" i="99" s="1"/>
  <c r="M528" i="44"/>
  <c r="M198" i="52"/>
  <c r="H27" i="97"/>
  <c r="M53" i="82"/>
  <c r="L74" i="75" s="1"/>
  <c r="Z21" i="99"/>
  <c r="E494" i="44"/>
  <c r="E295" i="79"/>
  <c r="EX20" i="99"/>
  <c r="E215" i="52"/>
  <c r="G29" i="97"/>
  <c r="K620" i="78"/>
  <c r="F198" i="82"/>
  <c r="G60" i="97"/>
  <c r="K211" i="75"/>
  <c r="O194" i="79"/>
  <c r="H112" i="92" s="1"/>
  <c r="G46" i="97"/>
  <c r="J211" i="75"/>
  <c r="DR19" i="99"/>
  <c r="O197" i="82"/>
  <c r="AB112" i="93" s="1"/>
  <c r="J67" i="97"/>
  <c r="N494" i="44"/>
  <c r="I141" i="52"/>
  <c r="H128" i="75" s="1"/>
  <c r="H132" i="75" s="1"/>
  <c r="H23" i="97"/>
  <c r="F191" i="79"/>
  <c r="D40" i="97" s="1"/>
  <c r="D39" i="97"/>
  <c r="L205" i="75"/>
  <c r="L700" i="81"/>
  <c r="E332" i="82" s="1"/>
  <c r="K612" i="81"/>
  <c r="E279" i="82"/>
  <c r="M272" i="82"/>
  <c r="N272" i="82" s="1"/>
  <c r="V131" i="93" s="1"/>
  <c r="E298" i="82"/>
  <c r="E317" i="82"/>
  <c r="M310" i="82"/>
  <c r="N310" i="82" s="1"/>
  <c r="CD131" i="93" s="1"/>
  <c r="I494" i="81"/>
  <c r="L208" i="75"/>
  <c r="I547" i="81"/>
  <c r="I555" i="81" s="1"/>
  <c r="I559" i="81" s="1"/>
  <c r="O456" i="44"/>
  <c r="G532" i="78"/>
  <c r="L67" i="81"/>
  <c r="E547" i="44"/>
  <c r="K494" i="44"/>
  <c r="K670" i="78"/>
  <c r="F629" i="78"/>
  <c r="E449" i="78"/>
  <c r="K327" i="79"/>
  <c r="GL20" i="99" s="1"/>
  <c r="J327" i="52"/>
  <c r="GK19" i="99" s="1"/>
  <c r="I327" i="79"/>
  <c r="GJ20" i="99" s="1"/>
  <c r="G341" i="52"/>
  <c r="IF19" i="99" s="1"/>
  <c r="B72" i="66"/>
  <c r="O56" i="66" s="1"/>
  <c r="I10" i="66" s="1"/>
  <c r="B40" i="99" s="1"/>
  <c r="E208" i="82"/>
  <c r="D69" i="97" s="1"/>
  <c r="O554" i="81"/>
  <c r="F286" i="82" s="1"/>
  <c r="EZ21" i="99" s="1"/>
  <c r="K329" i="52"/>
  <c r="HB19" i="99" s="1"/>
  <c r="G670" i="81"/>
  <c r="G700" i="81" s="1"/>
  <c r="E331" i="82" s="1"/>
  <c r="HD21" i="99" s="1"/>
  <c r="L204" i="75"/>
  <c r="H257" i="79"/>
  <c r="E229" i="75" s="1"/>
  <c r="F604" i="44"/>
  <c r="H551" i="44"/>
  <c r="H551" i="78"/>
  <c r="G341" i="82"/>
  <c r="IF21" i="99" s="1"/>
  <c r="K616" i="81"/>
  <c r="F678" i="81"/>
  <c r="F449" i="44"/>
  <c r="M139" i="52"/>
  <c r="L126" i="75" s="1"/>
  <c r="K681" i="78"/>
  <c r="L149" i="75"/>
  <c r="J176" i="75"/>
  <c r="C3" i="92"/>
  <c r="E38" i="82"/>
  <c r="AN15" i="93" s="1"/>
  <c r="F215" i="82"/>
  <c r="E36" i="82"/>
  <c r="AO24" i="93" s="1"/>
  <c r="H253" i="82"/>
  <c r="N253" i="82" s="1"/>
  <c r="CB108" i="93" s="1"/>
  <c r="E34" i="82"/>
  <c r="O210" i="82"/>
  <c r="AK112" i="93" s="1"/>
  <c r="F141" i="82"/>
  <c r="E160" i="75" s="1"/>
  <c r="E164" i="75" s="1"/>
  <c r="D79" i="75"/>
  <c r="L215" i="79"/>
  <c r="L142" i="79"/>
  <c r="K145" i="75" s="1"/>
  <c r="K253" i="79"/>
  <c r="O253" i="79" s="1"/>
  <c r="CG108" i="92" s="1"/>
  <c r="E314" i="79"/>
  <c r="E329" i="75"/>
  <c r="M327" i="75" s="1"/>
  <c r="D46" i="75"/>
  <c r="N141" i="52"/>
  <c r="M128" i="75" s="1"/>
  <c r="M132" i="75" s="1"/>
  <c r="N139" i="52"/>
  <c r="M126" i="75" s="1"/>
  <c r="M175" i="75" s="1"/>
  <c r="F350" i="75"/>
  <c r="D76" i="75"/>
  <c r="N141" i="75"/>
  <c r="D64" i="75"/>
  <c r="F142" i="52"/>
  <c r="E129" i="75" s="1"/>
  <c r="E178" i="75" s="1"/>
  <c r="G82" i="75"/>
  <c r="F163" i="75"/>
  <c r="G85" i="75"/>
  <c r="E82" i="75"/>
  <c r="J80" i="75"/>
  <c r="J82" i="75" s="1"/>
  <c r="J28" i="82"/>
  <c r="K253" i="82"/>
  <c r="J225" i="75" s="1"/>
  <c r="G307" i="75"/>
  <c r="L178" i="75"/>
  <c r="E76" i="75"/>
  <c r="I82" i="75"/>
  <c r="O213" i="82"/>
  <c r="O148" i="82"/>
  <c r="F179" i="75"/>
  <c r="F79" i="75"/>
  <c r="M165" i="75"/>
  <c r="G226" i="82"/>
  <c r="G76" i="75"/>
  <c r="F76" i="75"/>
  <c r="O211" i="82"/>
  <c r="BI112" i="93"/>
  <c r="C2" i="93"/>
  <c r="O212" i="82"/>
  <c r="F198" i="52"/>
  <c r="F215" i="52"/>
  <c r="M291" i="52"/>
  <c r="F139" i="52"/>
  <c r="E126" i="75" s="1"/>
  <c r="E175" i="75" s="1"/>
  <c r="H147" i="75"/>
  <c r="J62" i="75"/>
  <c r="J64" i="75" s="1"/>
  <c r="O150" i="79"/>
  <c r="D219" i="79" s="1"/>
  <c r="BK104" i="92" s="1"/>
  <c r="E58" i="75"/>
  <c r="C2" i="92"/>
  <c r="C3" i="77"/>
  <c r="C3" i="93"/>
  <c r="J83" i="75"/>
  <c r="J85" i="75" s="1"/>
  <c r="I85" i="75"/>
  <c r="F82" i="75"/>
  <c r="H82" i="75"/>
  <c r="I25" i="79"/>
  <c r="E85" i="75"/>
  <c r="E137" i="82"/>
  <c r="F137" i="82" s="1"/>
  <c r="G137" i="82" s="1"/>
  <c r="H137" i="82" s="1"/>
  <c r="I137" i="82" s="1"/>
  <c r="J137" i="82" s="1"/>
  <c r="K137" i="82" s="1"/>
  <c r="L137" i="82" s="1"/>
  <c r="M137" i="82" s="1"/>
  <c r="N137" i="82" s="1"/>
  <c r="F191" i="82"/>
  <c r="D60" i="97" s="1"/>
  <c r="E208" i="79"/>
  <c r="O45" i="78"/>
  <c r="O45" i="44"/>
  <c r="F410" i="81"/>
  <c r="G410" i="81" s="1"/>
  <c r="H410" i="81" s="1"/>
  <c r="I410" i="81" s="1"/>
  <c r="J410" i="81" s="1"/>
  <c r="K410" i="81" s="1"/>
  <c r="L410" i="81" s="1"/>
  <c r="M410" i="81" s="1"/>
  <c r="N410" i="81" s="1"/>
  <c r="O45" i="81"/>
  <c r="C3" i="91"/>
  <c r="I528" i="44"/>
  <c r="I532" i="44" s="1"/>
  <c r="I449" i="44"/>
  <c r="G163" i="75"/>
  <c r="H176" i="75"/>
  <c r="I76" i="75"/>
  <c r="H76" i="75"/>
  <c r="M67" i="81"/>
  <c r="K604" i="81"/>
  <c r="O580" i="81"/>
  <c r="I16" i="81" s="1"/>
  <c r="H55" i="99" s="1"/>
  <c r="G328" i="75"/>
  <c r="F351" i="75"/>
  <c r="F165" i="75"/>
  <c r="G165" i="75"/>
  <c r="E165" i="75"/>
  <c r="O527" i="81"/>
  <c r="E286" i="82" s="1"/>
  <c r="N157" i="75"/>
  <c r="E25" i="75"/>
  <c r="H23" i="77" s="1"/>
  <c r="J77" i="75"/>
  <c r="J79" i="75" s="1"/>
  <c r="I25" i="82"/>
  <c r="I22" i="82"/>
  <c r="G79" i="75"/>
  <c r="K88" i="75"/>
  <c r="I79" i="75"/>
  <c r="E79" i="75"/>
  <c r="H79" i="75"/>
  <c r="I26" i="82"/>
  <c r="J74" i="75"/>
  <c r="J76" i="75" s="1"/>
  <c r="K688" i="78"/>
  <c r="K684" i="78"/>
  <c r="M700" i="78"/>
  <c r="K700" i="78" s="1"/>
  <c r="K674" i="78"/>
  <c r="L670" i="78"/>
  <c r="L700" i="78" s="1"/>
  <c r="E332" i="79" s="1"/>
  <c r="H700" i="78"/>
  <c r="F700" i="78" s="1"/>
  <c r="K629" i="78"/>
  <c r="K624" i="78"/>
  <c r="E341" i="79"/>
  <c r="ID20" i="99" s="1"/>
  <c r="K604" i="78"/>
  <c r="M310" i="79"/>
  <c r="N310" i="79" s="1"/>
  <c r="CD131" i="92" s="1"/>
  <c r="E317" i="79"/>
  <c r="E298" i="79"/>
  <c r="E279" i="79"/>
  <c r="G64" i="75"/>
  <c r="H528" i="78"/>
  <c r="H532" i="78" s="1"/>
  <c r="G604" i="78"/>
  <c r="G638" i="78" s="1"/>
  <c r="E343" i="79" s="1"/>
  <c r="IL20" i="99" s="1"/>
  <c r="K449" i="78"/>
  <c r="F612" i="78"/>
  <c r="J179" i="75"/>
  <c r="E67" i="75"/>
  <c r="G327" i="75"/>
  <c r="H64" i="75"/>
  <c r="H61" i="75"/>
  <c r="F64" i="75"/>
  <c r="G58" i="75"/>
  <c r="F551" i="78"/>
  <c r="N449" i="78"/>
  <c r="E286" i="75"/>
  <c r="M284" i="75" s="1"/>
  <c r="E64" i="75"/>
  <c r="M291" i="79"/>
  <c r="N291" i="79" s="1"/>
  <c r="AY131" i="92" s="1"/>
  <c r="G308" i="75"/>
  <c r="E309" i="75"/>
  <c r="M306" i="75" s="1"/>
  <c r="E350" i="75"/>
  <c r="K520" i="78"/>
  <c r="K524" i="78" s="1"/>
  <c r="N520" i="78"/>
  <c r="N528" i="78" s="1"/>
  <c r="N532" i="78" s="1"/>
  <c r="G524" i="78"/>
  <c r="M272" i="79"/>
  <c r="N272" i="79" s="1"/>
  <c r="V131" i="92" s="1"/>
  <c r="E276" i="79"/>
  <c r="H494" i="78"/>
  <c r="L141" i="79"/>
  <c r="K144" i="75" s="1"/>
  <c r="K148" i="75" s="1"/>
  <c r="G61" i="75"/>
  <c r="N141" i="79"/>
  <c r="M144" i="75" s="1"/>
  <c r="M148" i="75" s="1"/>
  <c r="G341" i="79"/>
  <c r="IF20" i="99" s="1"/>
  <c r="N215" i="79"/>
  <c r="N226" i="79" s="1"/>
  <c r="D61" i="75"/>
  <c r="N139" i="75"/>
  <c r="E327" i="79"/>
  <c r="GF20" i="99" s="1"/>
  <c r="F670" i="78"/>
  <c r="G670" i="78"/>
  <c r="I339" i="79"/>
  <c r="HR20" i="99" s="1"/>
  <c r="F624" i="78"/>
  <c r="H255" i="79"/>
  <c r="N255" i="79" s="1"/>
  <c r="CB111" i="92" s="1"/>
  <c r="M638" i="78"/>
  <c r="L341" i="79" s="1"/>
  <c r="IK20" i="99" s="1"/>
  <c r="I58" i="75"/>
  <c r="H149" i="75"/>
  <c r="H449" i="78"/>
  <c r="F176" i="75"/>
  <c r="L638" i="78"/>
  <c r="E344" i="79" s="1"/>
  <c r="G67" i="75"/>
  <c r="K494" i="78"/>
  <c r="K329" i="79"/>
  <c r="HB20" i="99" s="1"/>
  <c r="K692" i="78"/>
  <c r="K70" i="75"/>
  <c r="F67" i="75"/>
  <c r="D67" i="75"/>
  <c r="I64" i="75"/>
  <c r="H67" i="75"/>
  <c r="G176" i="75"/>
  <c r="I226" i="79"/>
  <c r="O456" i="78"/>
  <c r="E147" i="75"/>
  <c r="E149" i="75"/>
  <c r="J149" i="75"/>
  <c r="M149" i="75"/>
  <c r="M178" i="75"/>
  <c r="M147" i="75"/>
  <c r="L147" i="75"/>
  <c r="L449" i="78"/>
  <c r="O193" i="79"/>
  <c r="E112" i="92" s="1"/>
  <c r="I449" i="78"/>
  <c r="I528" i="78"/>
  <c r="I532" i="78" s="1"/>
  <c r="I524" i="78"/>
  <c r="F528" i="78"/>
  <c r="F532" i="78" s="1"/>
  <c r="F449" i="78"/>
  <c r="J59" i="75"/>
  <c r="J61" i="75" s="1"/>
  <c r="I61" i="75"/>
  <c r="E61" i="75"/>
  <c r="I26" i="79"/>
  <c r="I22" i="79"/>
  <c r="I21" i="79"/>
  <c r="I23" i="79"/>
  <c r="J56" i="75"/>
  <c r="J58" i="75" s="1"/>
  <c r="F58" i="75"/>
  <c r="F410" i="78"/>
  <c r="G410" i="78" s="1"/>
  <c r="H410" i="78" s="1"/>
  <c r="I410" i="78" s="1"/>
  <c r="J410" i="78" s="1"/>
  <c r="K410" i="78" s="1"/>
  <c r="L410" i="78" s="1"/>
  <c r="M410" i="78" s="1"/>
  <c r="N410" i="78" s="1"/>
  <c r="H449" i="44"/>
  <c r="K255" i="52"/>
  <c r="O255" i="52" s="1"/>
  <c r="CG111" i="91" s="1"/>
  <c r="N198" i="52"/>
  <c r="N226" i="52" s="1"/>
  <c r="F141" i="52"/>
  <c r="E128" i="75" s="1"/>
  <c r="H257" i="52"/>
  <c r="N257" i="52" s="1"/>
  <c r="CB113" i="91" s="1"/>
  <c r="G524" i="44"/>
  <c r="G449" i="44"/>
  <c r="H139" i="52"/>
  <c r="G126" i="75" s="1"/>
  <c r="G131" i="75" s="1"/>
  <c r="E137" i="79"/>
  <c r="F137" i="79" s="1"/>
  <c r="G137" i="79" s="1"/>
  <c r="H137" i="79" s="1"/>
  <c r="I137" i="79" s="1"/>
  <c r="J137" i="79" s="1"/>
  <c r="K137" i="79" s="1"/>
  <c r="L137" i="79" s="1"/>
  <c r="M137" i="79" s="1"/>
  <c r="N137" i="79" s="1"/>
  <c r="O67" i="78"/>
  <c r="I9" i="78" s="1"/>
  <c r="E48" i="99" s="1"/>
  <c r="I341" i="82"/>
  <c r="IH21" i="99" s="1"/>
  <c r="K624" i="81"/>
  <c r="N547" i="81"/>
  <c r="N494" i="81"/>
  <c r="N140" i="82"/>
  <c r="M159" i="75" s="1"/>
  <c r="F327" i="82"/>
  <c r="GG21" i="99" s="1"/>
  <c r="F674" i="81"/>
  <c r="G449" i="81"/>
  <c r="G520" i="81"/>
  <c r="M215" i="82"/>
  <c r="G339" i="79"/>
  <c r="HP20" i="99" s="1"/>
  <c r="F616" i="78"/>
  <c r="K204" i="75"/>
  <c r="H253" i="79"/>
  <c r="I329" i="82"/>
  <c r="GZ21" i="99" s="1"/>
  <c r="K684" i="81"/>
  <c r="M551" i="81"/>
  <c r="M555" i="81"/>
  <c r="M559" i="81" s="1"/>
  <c r="M139" i="82"/>
  <c r="L158" i="75" s="1"/>
  <c r="G449" i="78"/>
  <c r="G535" i="78"/>
  <c r="G539" i="78" s="1"/>
  <c r="E562" i="81"/>
  <c r="O480" i="81"/>
  <c r="J341" i="82"/>
  <c r="II21" i="99" s="1"/>
  <c r="K629" i="81"/>
  <c r="L211" i="75"/>
  <c r="M211" i="75" s="1"/>
  <c r="L143" i="79"/>
  <c r="K146" i="75" s="1"/>
  <c r="K205" i="75"/>
  <c r="E494" i="81"/>
  <c r="O456" i="81"/>
  <c r="E547" i="81"/>
  <c r="D138" i="75"/>
  <c r="J187" i="75" s="1"/>
  <c r="F138" i="79"/>
  <c r="E141" i="79"/>
  <c r="O195" i="79"/>
  <c r="N112" i="92" s="1"/>
  <c r="F138" i="82"/>
  <c r="D154" i="75"/>
  <c r="J188" i="75" s="1"/>
  <c r="H150" i="79"/>
  <c r="D202" i="79" s="1"/>
  <c r="AD104" i="92" s="1"/>
  <c r="M141" i="79"/>
  <c r="L144" i="75" s="1"/>
  <c r="L528" i="78"/>
  <c r="L532" i="78" s="1"/>
  <c r="L524" i="78"/>
  <c r="H179" i="75"/>
  <c r="K141" i="82"/>
  <c r="J160" i="75" s="1"/>
  <c r="J164" i="75" s="1"/>
  <c r="J142" i="82"/>
  <c r="I161" i="75" s="1"/>
  <c r="I165" i="75" s="1"/>
  <c r="K620" i="81"/>
  <c r="H341" i="82"/>
  <c r="IG21" i="99" s="1"/>
  <c r="H148" i="82"/>
  <c r="G192" i="82"/>
  <c r="E61" i="97" s="1"/>
  <c r="H339" i="82"/>
  <c r="HQ21" i="99" s="1"/>
  <c r="F620" i="81"/>
  <c r="J215" i="82"/>
  <c r="G192" i="79"/>
  <c r="E41" i="97" s="1"/>
  <c r="M143" i="82"/>
  <c r="L162" i="75" s="1"/>
  <c r="L165" i="75" s="1"/>
  <c r="F215" i="79"/>
  <c r="F226" i="79" s="1"/>
  <c r="M638" i="81"/>
  <c r="O554" i="78"/>
  <c r="F286" i="79" s="1"/>
  <c r="EZ20" i="99" s="1"/>
  <c r="J142" i="79"/>
  <c r="I145" i="75" s="1"/>
  <c r="I149" i="75" s="1"/>
  <c r="M520" i="78"/>
  <c r="M449" i="78"/>
  <c r="K633" i="44"/>
  <c r="L141" i="82"/>
  <c r="K160" i="75" s="1"/>
  <c r="K164" i="75" s="1"/>
  <c r="O195" i="82"/>
  <c r="N112" i="93" s="1"/>
  <c r="G494" i="81"/>
  <c r="G547" i="81"/>
  <c r="J547" i="81"/>
  <c r="J494" i="81"/>
  <c r="M198" i="79"/>
  <c r="M226" i="79" s="1"/>
  <c r="G215" i="79"/>
  <c r="J329" i="52"/>
  <c r="HA19" i="99" s="1"/>
  <c r="G166" i="75"/>
  <c r="H700" i="81"/>
  <c r="F227" i="75"/>
  <c r="N255" i="82"/>
  <c r="CB111" i="93" s="1"/>
  <c r="D160" i="75"/>
  <c r="D164" i="75" s="1"/>
  <c r="H547" i="81"/>
  <c r="H494" i="81"/>
  <c r="O196" i="82"/>
  <c r="W112" i="93" s="1"/>
  <c r="E142" i="82"/>
  <c r="E520" i="81"/>
  <c r="E449" i="81"/>
  <c r="O411" i="81"/>
  <c r="K329" i="82"/>
  <c r="HB21" i="99" s="1"/>
  <c r="K692" i="81"/>
  <c r="G547" i="78"/>
  <c r="G494" i="78"/>
  <c r="G604" i="81"/>
  <c r="G638" i="81" s="1"/>
  <c r="E343" i="82" s="1"/>
  <c r="IL21" i="99" s="1"/>
  <c r="E339" i="82"/>
  <c r="HN21" i="99" s="1"/>
  <c r="F604" i="81"/>
  <c r="H638" i="81"/>
  <c r="O212" i="79"/>
  <c r="AW112" i="92" s="1"/>
  <c r="H142" i="79"/>
  <c r="G145" i="75" s="1"/>
  <c r="G149" i="75" s="1"/>
  <c r="K255" i="79"/>
  <c r="K215" i="82"/>
  <c r="M547" i="44"/>
  <c r="N449" i="44"/>
  <c r="I179" i="75"/>
  <c r="G179" i="75"/>
  <c r="M179" i="75"/>
  <c r="N155" i="75"/>
  <c r="H58" i="75"/>
  <c r="J65" i="75"/>
  <c r="J67" i="75" s="1"/>
  <c r="F535" i="81"/>
  <c r="O435" i="81"/>
  <c r="I449" i="81"/>
  <c r="I520" i="81"/>
  <c r="E215" i="82"/>
  <c r="F329" i="75"/>
  <c r="M328" i="75" s="1"/>
  <c r="E314" i="82"/>
  <c r="N215" i="82"/>
  <c r="O194" i="82"/>
  <c r="H112" i="93" s="1"/>
  <c r="E140" i="82"/>
  <c r="J327" i="79"/>
  <c r="GK20" i="99" s="1"/>
  <c r="F688" i="78"/>
  <c r="E528" i="78"/>
  <c r="E532" i="78" s="1"/>
  <c r="E524" i="78"/>
  <c r="M547" i="78"/>
  <c r="M494" i="78"/>
  <c r="E351" i="75"/>
  <c r="G198" i="79"/>
  <c r="G139" i="79"/>
  <c r="F142" i="75" s="1"/>
  <c r="F175" i="75" s="1"/>
  <c r="H141" i="79"/>
  <c r="G144" i="75" s="1"/>
  <c r="G148" i="75" s="1"/>
  <c r="I494" i="78"/>
  <c r="I547" i="78"/>
  <c r="E198" i="79"/>
  <c r="F163" i="79"/>
  <c r="L125" i="79"/>
  <c r="CX20" i="99" s="1"/>
  <c r="N276" i="79"/>
  <c r="F162" i="79"/>
  <c r="F167" i="79"/>
  <c r="F161" i="79"/>
  <c r="F166" i="79"/>
  <c r="F160" i="79"/>
  <c r="L112" i="79"/>
  <c r="O63" i="79"/>
  <c r="BP20" i="99" s="1"/>
  <c r="J28" i="79"/>
  <c r="O314" i="79"/>
  <c r="F165" i="79"/>
  <c r="F159" i="79"/>
  <c r="M53" i="79"/>
  <c r="L56" i="75" s="1"/>
  <c r="O295" i="79"/>
  <c r="N295" i="79"/>
  <c r="N314" i="79"/>
  <c r="O276" i="79"/>
  <c r="E38" i="79"/>
  <c r="AN15" i="92" s="1"/>
  <c r="E36" i="79"/>
  <c r="AO24" i="92" s="1"/>
  <c r="E34" i="79"/>
  <c r="K547" i="81"/>
  <c r="K494" i="81"/>
  <c r="M700" i="44"/>
  <c r="K700" i="44" s="1"/>
  <c r="L494" i="44"/>
  <c r="K684" i="44"/>
  <c r="F85" i="75"/>
  <c r="D85" i="75"/>
  <c r="D82" i="75"/>
  <c r="D58" i="75"/>
  <c r="M141" i="82"/>
  <c r="L160" i="75" s="1"/>
  <c r="L164" i="75" s="1"/>
  <c r="I139" i="82"/>
  <c r="H158" i="75" s="1"/>
  <c r="I198" i="82"/>
  <c r="H226" i="82"/>
  <c r="E295" i="82"/>
  <c r="F309" i="75"/>
  <c r="M307" i="75" s="1"/>
  <c r="M291" i="82"/>
  <c r="N291" i="82" s="1"/>
  <c r="AY131" i="93" s="1"/>
  <c r="L140" i="79"/>
  <c r="K143" i="75" s="1"/>
  <c r="L198" i="79"/>
  <c r="L226" i="79" s="1"/>
  <c r="K257" i="79"/>
  <c r="G700" i="78"/>
  <c r="E331" i="79" s="1"/>
  <c r="HD20" i="99" s="1"/>
  <c r="J29" i="79"/>
  <c r="F449" i="81"/>
  <c r="F520" i="81"/>
  <c r="E22" i="75"/>
  <c r="H20" i="77" s="1"/>
  <c r="I67" i="75"/>
  <c r="E179" i="75"/>
  <c r="E139" i="82"/>
  <c r="O193" i="82"/>
  <c r="E112" i="93" s="1"/>
  <c r="E198" i="82"/>
  <c r="E276" i="82"/>
  <c r="F286" i="75"/>
  <c r="O213" i="79"/>
  <c r="BB112" i="92" s="1"/>
  <c r="E215" i="79"/>
  <c r="O210" i="79"/>
  <c r="AK112" i="92" s="1"/>
  <c r="K449" i="81"/>
  <c r="K520" i="81"/>
  <c r="K339" i="79"/>
  <c r="HT20" i="99" s="1"/>
  <c r="F633" i="78"/>
  <c r="O148" i="79"/>
  <c r="H215" i="79"/>
  <c r="O527" i="78"/>
  <c r="E286" i="79" s="1"/>
  <c r="ET20" i="99" s="1"/>
  <c r="F678" i="78"/>
  <c r="G327" i="79"/>
  <c r="GH20" i="99" s="1"/>
  <c r="F140" i="82"/>
  <c r="E159" i="75" s="1"/>
  <c r="E163" i="75" s="1"/>
  <c r="N198" i="82"/>
  <c r="H257" i="82"/>
  <c r="K142" i="82"/>
  <c r="J161" i="75" s="1"/>
  <c r="J165" i="75" s="1"/>
  <c r="G209" i="82"/>
  <c r="E71" i="97" s="1"/>
  <c r="H520" i="81"/>
  <c r="H449" i="81"/>
  <c r="D143" i="75"/>
  <c r="N276" i="82"/>
  <c r="F165" i="82"/>
  <c r="F159" i="82"/>
  <c r="E46" i="82"/>
  <c r="BN15" i="93" s="1"/>
  <c r="E44" i="82"/>
  <c r="BO24" i="93" s="1"/>
  <c r="E42" i="82"/>
  <c r="F163" i="82"/>
  <c r="L125" i="82"/>
  <c r="CX21" i="99" s="1"/>
  <c r="M55" i="82"/>
  <c r="L80" i="75" s="1"/>
  <c r="F162" i="82"/>
  <c r="O314" i="82"/>
  <c r="N295" i="82"/>
  <c r="F161" i="82"/>
  <c r="O295" i="82"/>
  <c r="L112" i="82"/>
  <c r="F167" i="82"/>
  <c r="N314" i="82"/>
  <c r="O63" i="82"/>
  <c r="BP21" i="99" s="1"/>
  <c r="J29" i="82"/>
  <c r="F166" i="82"/>
  <c r="O276" i="82"/>
  <c r="F160" i="82"/>
  <c r="O196" i="79"/>
  <c r="W112" i="92" s="1"/>
  <c r="E142" i="79"/>
  <c r="K139" i="82"/>
  <c r="J158" i="75" s="1"/>
  <c r="K198" i="82"/>
  <c r="O197" i="79"/>
  <c r="AB112" i="92" s="1"/>
  <c r="E143" i="79"/>
  <c r="L520" i="81"/>
  <c r="L449" i="81"/>
  <c r="K257" i="82"/>
  <c r="I215" i="82"/>
  <c r="E555" i="78"/>
  <c r="E551" i="78"/>
  <c r="F494" i="78"/>
  <c r="E139" i="79"/>
  <c r="K198" i="79"/>
  <c r="K226" i="79" s="1"/>
  <c r="K139" i="79"/>
  <c r="J142" i="75" s="1"/>
  <c r="CK2" i="92"/>
  <c r="L139" i="82"/>
  <c r="K158" i="75" s="1"/>
  <c r="K175" i="75" s="1"/>
  <c r="L198" i="82"/>
  <c r="K339" i="82"/>
  <c r="HT21" i="99" s="1"/>
  <c r="F633" i="81"/>
  <c r="I142" i="82"/>
  <c r="H161" i="75" s="1"/>
  <c r="H165" i="75" s="1"/>
  <c r="I327" i="52"/>
  <c r="GJ19" i="99" s="1"/>
  <c r="J139" i="82"/>
  <c r="I158" i="75" s="1"/>
  <c r="J198" i="82"/>
  <c r="I339" i="82"/>
  <c r="HR21" i="99" s="1"/>
  <c r="F624" i="81"/>
  <c r="D162" i="75"/>
  <c r="K255" i="82"/>
  <c r="O646" i="81"/>
  <c r="I17" i="81" s="1"/>
  <c r="H56" i="99" s="1"/>
  <c r="F494" i="81"/>
  <c r="F547" i="81"/>
  <c r="N141" i="82"/>
  <c r="M160" i="75" s="1"/>
  <c r="M164" i="75" s="1"/>
  <c r="I24" i="82"/>
  <c r="I23" i="82"/>
  <c r="N547" i="78"/>
  <c r="N494" i="78"/>
  <c r="J449" i="81"/>
  <c r="J520" i="81"/>
  <c r="F61" i="75"/>
  <c r="H150" i="75"/>
  <c r="F166" i="75"/>
  <c r="AZ96" i="93"/>
  <c r="I141" i="82"/>
  <c r="H160" i="75" s="1"/>
  <c r="H164" i="75" s="1"/>
  <c r="L215" i="82"/>
  <c r="J215" i="79"/>
  <c r="K341" i="79"/>
  <c r="IJ20" i="99" s="1"/>
  <c r="K633" i="78"/>
  <c r="E535" i="78"/>
  <c r="O435" i="78"/>
  <c r="F341" i="79"/>
  <c r="IE20" i="99" s="1"/>
  <c r="K612" i="78"/>
  <c r="I225" i="75"/>
  <c r="H85" i="75"/>
  <c r="H150" i="82"/>
  <c r="D202" i="82" s="1"/>
  <c r="AD104" i="93" s="1"/>
  <c r="L547" i="81"/>
  <c r="L494" i="81"/>
  <c r="J547" i="78"/>
  <c r="J494" i="78"/>
  <c r="L547" i="78"/>
  <c r="L494" i="78"/>
  <c r="K681" i="44"/>
  <c r="H329" i="52"/>
  <c r="GY19" i="99" s="1"/>
  <c r="E339" i="52"/>
  <c r="HN19" i="99" s="1"/>
  <c r="K327" i="82"/>
  <c r="GL21" i="99" s="1"/>
  <c r="F692" i="81"/>
  <c r="L142" i="82"/>
  <c r="K161" i="75" s="1"/>
  <c r="K165" i="75" s="1"/>
  <c r="O150" i="82"/>
  <c r="D219" i="82" s="1"/>
  <c r="BK104" i="93" s="1"/>
  <c r="K341" i="82"/>
  <c r="IJ21" i="99" s="1"/>
  <c r="K633" i="81"/>
  <c r="M449" i="81"/>
  <c r="K208" i="75"/>
  <c r="M700" i="81"/>
  <c r="E562" i="78"/>
  <c r="O480" i="78"/>
  <c r="J198" i="79"/>
  <c r="J139" i="79"/>
  <c r="I142" i="75" s="1"/>
  <c r="H198" i="79"/>
  <c r="H139" i="79"/>
  <c r="G142" i="75" s="1"/>
  <c r="F141" i="79"/>
  <c r="E144" i="75" s="1"/>
  <c r="E494" i="78"/>
  <c r="H638" i="78"/>
  <c r="N520" i="81"/>
  <c r="N449" i="81"/>
  <c r="BA96" i="92"/>
  <c r="J449" i="78"/>
  <c r="J520" i="78"/>
  <c r="O411" i="78"/>
  <c r="G209" i="79"/>
  <c r="E51" i="97" s="1"/>
  <c r="K555" i="78"/>
  <c r="K559" i="78" s="1"/>
  <c r="K551" i="78"/>
  <c r="M198" i="82"/>
  <c r="G142" i="79"/>
  <c r="F145" i="75" s="1"/>
  <c r="F149" i="75" s="1"/>
  <c r="N156" i="75"/>
  <c r="N140" i="75"/>
  <c r="I46" i="75"/>
  <c r="K133" i="75"/>
  <c r="D225" i="75"/>
  <c r="L215" i="52"/>
  <c r="H46" i="75"/>
  <c r="F40" i="75"/>
  <c r="F46" i="75"/>
  <c r="I40" i="75"/>
  <c r="G46" i="75"/>
  <c r="D40" i="75"/>
  <c r="D50" i="75" s="1"/>
  <c r="I22" i="52"/>
  <c r="E40" i="75"/>
  <c r="H141" i="52"/>
  <c r="G128" i="75" s="1"/>
  <c r="G132" i="75" s="1"/>
  <c r="CF47" i="91"/>
  <c r="K52" i="75"/>
  <c r="I23" i="52"/>
  <c r="G40" i="75"/>
  <c r="H40" i="75"/>
  <c r="H198" i="52"/>
  <c r="F159" i="52"/>
  <c r="BG85" i="91" s="1"/>
  <c r="M133" i="75"/>
  <c r="N295" i="52"/>
  <c r="BA131" i="91" s="1"/>
  <c r="E49" i="75"/>
  <c r="J38" i="75"/>
  <c r="J40" i="75" s="1"/>
  <c r="L133" i="75"/>
  <c r="J41" i="75"/>
  <c r="J43" i="75" s="1"/>
  <c r="J131" i="75"/>
  <c r="H49" i="75"/>
  <c r="E46" i="75"/>
  <c r="E19" i="75"/>
  <c r="H17" i="77" s="1"/>
  <c r="J47" i="75"/>
  <c r="J49" i="75" s="1"/>
  <c r="CH49" i="91"/>
  <c r="AX50" i="91"/>
  <c r="AX45" i="91"/>
  <c r="F49" i="75"/>
  <c r="O276" i="52"/>
  <c r="K296" i="75" s="1"/>
  <c r="F165" i="52"/>
  <c r="J165" i="52" s="1"/>
  <c r="BA46" i="91"/>
  <c r="J140" i="52"/>
  <c r="I127" i="75" s="1"/>
  <c r="I176" i="75" s="1"/>
  <c r="J142" i="52"/>
  <c r="I129" i="75" s="1"/>
  <c r="I133" i="75" s="1"/>
  <c r="K215" i="52"/>
  <c r="BA48" i="91"/>
  <c r="E198" i="52"/>
  <c r="E226" i="52" s="1"/>
  <c r="G192" i="52"/>
  <c r="E21" i="97" s="1"/>
  <c r="K257" i="52"/>
  <c r="H229" i="75" s="1"/>
  <c r="H150" i="52"/>
  <c r="D202" i="52" s="1"/>
  <c r="L141" i="52"/>
  <c r="K128" i="75" s="1"/>
  <c r="O148" i="52"/>
  <c r="CH47" i="91"/>
  <c r="AN58" i="91"/>
  <c r="CH45" i="91"/>
  <c r="BA45" i="91"/>
  <c r="J205" i="75"/>
  <c r="G209" i="52"/>
  <c r="E31" i="97" s="1"/>
  <c r="Y40" i="91"/>
  <c r="I49" i="75"/>
  <c r="G49" i="75"/>
  <c r="N314" i="52"/>
  <c r="CH131" i="91" s="1"/>
  <c r="K142" i="52"/>
  <c r="J129" i="75" s="1"/>
  <c r="J44" i="75"/>
  <c r="J46" i="75" s="1"/>
  <c r="F166" i="52"/>
  <c r="M255" i="52" s="1"/>
  <c r="BZ111" i="91" s="1"/>
  <c r="AN15" i="91"/>
  <c r="H142" i="52"/>
  <c r="G129" i="75" s="1"/>
  <c r="G133" i="75" s="1"/>
  <c r="AO24" i="91"/>
  <c r="M141" i="52"/>
  <c r="L128" i="75" s="1"/>
  <c r="CA47" i="91"/>
  <c r="CA49" i="91"/>
  <c r="E314" i="52"/>
  <c r="J208" i="75"/>
  <c r="AX49" i="91"/>
  <c r="CA45" i="91"/>
  <c r="CF45" i="91"/>
  <c r="CH58" i="91"/>
  <c r="AX46" i="91"/>
  <c r="E317" i="52"/>
  <c r="I198" i="52"/>
  <c r="E279" i="52"/>
  <c r="O295" i="52"/>
  <c r="F163" i="52"/>
  <c r="J163" i="52" s="1"/>
  <c r="O193" i="52"/>
  <c r="E112" i="91" s="1"/>
  <c r="E298" i="52"/>
  <c r="D49" i="75"/>
  <c r="O314" i="52"/>
  <c r="I142" i="52"/>
  <c r="H129" i="75" s="1"/>
  <c r="H255" i="52"/>
  <c r="N255" i="52" s="1"/>
  <c r="CB111" i="91" s="1"/>
  <c r="AX48" i="91"/>
  <c r="BA49" i="91"/>
  <c r="G141" i="52"/>
  <c r="F128" i="75" s="1"/>
  <c r="F134" i="75" s="1"/>
  <c r="E140" i="52"/>
  <c r="D127" i="75" s="1"/>
  <c r="BK104" i="91"/>
  <c r="H148" i="52"/>
  <c r="BA50" i="91"/>
  <c r="K253" i="52"/>
  <c r="H225" i="75" s="1"/>
  <c r="I25" i="52"/>
  <c r="I21" i="52"/>
  <c r="I24" i="52"/>
  <c r="M638" i="44"/>
  <c r="K638" i="44" s="1"/>
  <c r="E341" i="52"/>
  <c r="ID19" i="99" s="1"/>
  <c r="L604" i="44"/>
  <c r="L638" i="44" s="1"/>
  <c r="E344" i="52" s="1"/>
  <c r="IM19" i="99" s="1"/>
  <c r="J29" i="52"/>
  <c r="J30" i="52" s="1"/>
  <c r="N291" i="52"/>
  <c r="M310" i="52"/>
  <c r="N310" i="52" s="1"/>
  <c r="G494" i="44"/>
  <c r="O480" i="44"/>
  <c r="L198" i="52"/>
  <c r="F133" i="75"/>
  <c r="M449" i="44"/>
  <c r="G700" i="44"/>
  <c r="E331" i="52" s="1"/>
  <c r="HD19" i="99" s="1"/>
  <c r="O67" i="44"/>
  <c r="I9" i="44" s="1"/>
  <c r="B48" i="99" s="1"/>
  <c r="D122" i="75"/>
  <c r="F167" i="52"/>
  <c r="M257" i="52" s="1"/>
  <c r="BZ113" i="91" s="1"/>
  <c r="F161" i="52"/>
  <c r="J161" i="52" s="1"/>
  <c r="N276" i="52"/>
  <c r="G215" i="52"/>
  <c r="G226" i="52" s="1"/>
  <c r="L700" i="44"/>
  <c r="E332" i="52" s="1"/>
  <c r="HE19" i="99" s="1"/>
  <c r="F162" i="52"/>
  <c r="J162" i="52" s="1"/>
  <c r="G638" i="44"/>
  <c r="E343" i="52" s="1"/>
  <c r="IL19" i="99" s="1"/>
  <c r="M55" i="52"/>
  <c r="L44" i="75" s="1"/>
  <c r="E42" i="52"/>
  <c r="E44" i="52"/>
  <c r="F160" i="52"/>
  <c r="F692" i="44"/>
  <c r="K327" i="52"/>
  <c r="GL19" i="99" s="1"/>
  <c r="K198" i="52"/>
  <c r="F494" i="44"/>
  <c r="E46" i="52"/>
  <c r="F681" i="44"/>
  <c r="H327" i="52"/>
  <c r="GI19" i="99" s="1"/>
  <c r="K629" i="44"/>
  <c r="J341" i="52"/>
  <c r="II19" i="99" s="1"/>
  <c r="F339" i="52"/>
  <c r="HO19" i="99" s="1"/>
  <c r="F612" i="44"/>
  <c r="M215" i="52"/>
  <c r="M226" i="52" s="1"/>
  <c r="M140" i="52"/>
  <c r="L127" i="75" s="1"/>
  <c r="M532" i="44"/>
  <c r="K624" i="44"/>
  <c r="I341" i="52"/>
  <c r="IH19" i="99" s="1"/>
  <c r="E125" i="75"/>
  <c r="D174" i="75"/>
  <c r="F620" i="44"/>
  <c r="H339" i="52"/>
  <c r="HQ19" i="99" s="1"/>
  <c r="K520" i="44"/>
  <c r="K449" i="44"/>
  <c r="O435" i="44"/>
  <c r="J449" i="44"/>
  <c r="J215" i="52"/>
  <c r="E539" i="44"/>
  <c r="O539" i="44" s="1"/>
  <c r="E310" i="52" s="1"/>
  <c r="FN19" i="99" s="1"/>
  <c r="O535" i="44"/>
  <c r="E306" i="52" s="1"/>
  <c r="FJ19" i="99" s="1"/>
  <c r="J528" i="44"/>
  <c r="J532" i="44" s="1"/>
  <c r="J524" i="44"/>
  <c r="F528" i="44"/>
  <c r="F532" i="44" s="1"/>
  <c r="F524" i="44"/>
  <c r="G43" i="75"/>
  <c r="F43" i="75"/>
  <c r="E43" i="75"/>
  <c r="D43" i="75"/>
  <c r="I43" i="75"/>
  <c r="H43" i="75"/>
  <c r="O86" i="52"/>
  <c r="CJ19" i="99" s="1"/>
  <c r="O71" i="52"/>
  <c r="BZ19" i="99" s="1"/>
  <c r="H700" i="44"/>
  <c r="I547" i="44"/>
  <c r="I494" i="44"/>
  <c r="J547" i="44"/>
  <c r="J494" i="44"/>
  <c r="O211" i="52"/>
  <c r="AQ112" i="91" s="1"/>
  <c r="D172" i="75"/>
  <c r="M186" i="75" s="1"/>
  <c r="E123" i="75"/>
  <c r="J141" i="52"/>
  <c r="I128" i="75" s="1"/>
  <c r="O212" i="52"/>
  <c r="AW112" i="91" s="1"/>
  <c r="O527" i="44"/>
  <c r="E286" i="52" s="1"/>
  <c r="ET19" i="99" s="1"/>
  <c r="O213" i="52"/>
  <c r="BB112" i="91" s="1"/>
  <c r="F616" i="44"/>
  <c r="G339" i="52"/>
  <c r="HP19" i="99" s="1"/>
  <c r="O411" i="44"/>
  <c r="D329" i="75"/>
  <c r="D286" i="75"/>
  <c r="E276" i="52"/>
  <c r="D309" i="75"/>
  <c r="E295" i="52"/>
  <c r="I339" i="52"/>
  <c r="HR19" i="99" s="1"/>
  <c r="F624" i="44"/>
  <c r="F633" i="44"/>
  <c r="K339" i="52"/>
  <c r="HT19" i="99" s="1"/>
  <c r="O195" i="52"/>
  <c r="N112" i="91" s="1"/>
  <c r="E141" i="52"/>
  <c r="E524" i="44"/>
  <c r="E528" i="44"/>
  <c r="E532" i="44" s="1"/>
  <c r="E133" i="75"/>
  <c r="K141" i="52"/>
  <c r="J128" i="75" s="1"/>
  <c r="N528" i="44"/>
  <c r="N532" i="44" s="1"/>
  <c r="N524" i="44"/>
  <c r="K612" i="44"/>
  <c r="F341" i="52"/>
  <c r="IE19" i="99" s="1"/>
  <c r="H638" i="44"/>
  <c r="J204" i="75"/>
  <c r="O197" i="52"/>
  <c r="AB112" i="91" s="1"/>
  <c r="E143" i="52"/>
  <c r="N555" i="44"/>
  <c r="N559" i="44" s="1"/>
  <c r="N551" i="44"/>
  <c r="O196" i="52"/>
  <c r="W112" i="91" s="1"/>
  <c r="H215" i="52"/>
  <c r="K620" i="44"/>
  <c r="H341" i="52"/>
  <c r="IG19" i="99" s="1"/>
  <c r="E124" i="75"/>
  <c r="D173" i="75"/>
  <c r="F131" i="75"/>
  <c r="D27" i="75"/>
  <c r="E122" i="75"/>
  <c r="G138" i="52"/>
  <c r="I215" i="52"/>
  <c r="I139" i="52"/>
  <c r="H126" i="75" s="1"/>
  <c r="K674" i="44"/>
  <c r="F329" i="52"/>
  <c r="GW19" i="99" s="1"/>
  <c r="L551" i="44"/>
  <c r="L555" i="44"/>
  <c r="L559" i="44" s="1"/>
  <c r="D350" i="75"/>
  <c r="G284" i="75"/>
  <c r="K555" i="44"/>
  <c r="K559" i="44" s="1"/>
  <c r="K551" i="44"/>
  <c r="L449" i="44"/>
  <c r="L520" i="44"/>
  <c r="F555" i="44"/>
  <c r="F559" i="44" s="1"/>
  <c r="F551" i="44"/>
  <c r="E191" i="52"/>
  <c r="D19" i="97" s="1"/>
  <c r="F410" i="44"/>
  <c r="G410" i="44" s="1"/>
  <c r="H410" i="44" s="1"/>
  <c r="I410" i="44" s="1"/>
  <c r="J410" i="44" s="1"/>
  <c r="K410" i="44" s="1"/>
  <c r="L410" i="44" s="1"/>
  <c r="M410" i="44" s="1"/>
  <c r="N410" i="44" s="1"/>
  <c r="E208" i="52"/>
  <c r="D29" i="97" s="1"/>
  <c r="E137" i="52"/>
  <c r="M272" i="52"/>
  <c r="N272" i="52" s="1"/>
  <c r="E551" i="44"/>
  <c r="E555" i="44"/>
  <c r="D229" i="75"/>
  <c r="M555" i="44"/>
  <c r="M559" i="44" s="1"/>
  <c r="M551" i="44"/>
  <c r="O210" i="52"/>
  <c r="AK112" i="91" s="1"/>
  <c r="H562" i="44"/>
  <c r="H494" i="44"/>
  <c r="O194" i="52"/>
  <c r="H112" i="91" s="1"/>
  <c r="L140" i="52"/>
  <c r="K127" i="75" s="1"/>
  <c r="J198" i="52"/>
  <c r="O554" i="44"/>
  <c r="F286" i="52" s="1"/>
  <c r="EZ19" i="99" s="1"/>
  <c r="D351" i="75"/>
  <c r="G285" i="75"/>
  <c r="N53" i="82" l="1"/>
  <c r="M74" i="75" s="1"/>
  <c r="F226" i="82"/>
  <c r="J30" i="82"/>
  <c r="AB12" i="93" s="1"/>
  <c r="I551" i="81"/>
  <c r="K528" i="78"/>
  <c r="K532" i="78" s="1"/>
  <c r="N524" i="78"/>
  <c r="E227" i="75"/>
  <c r="E68" i="75"/>
  <c r="L329" i="52"/>
  <c r="HC19" i="99" s="1"/>
  <c r="L175" i="75"/>
  <c r="AD143" i="93"/>
  <c r="HE21" i="99"/>
  <c r="AD143" i="92"/>
  <c r="HE20" i="99"/>
  <c r="BX143" i="93"/>
  <c r="IM21" i="99"/>
  <c r="E296" i="82"/>
  <c r="ET21" i="99"/>
  <c r="E134" i="75"/>
  <c r="CH58" i="93"/>
  <c r="CQ21" i="99"/>
  <c r="BX143" i="92"/>
  <c r="IM20" i="99"/>
  <c r="CH58" i="92"/>
  <c r="CQ20" i="99"/>
  <c r="G191" i="79"/>
  <c r="D41" i="97" s="1"/>
  <c r="F208" i="79"/>
  <c r="D50" i="97" s="1"/>
  <c r="D49" i="97"/>
  <c r="N257" i="79"/>
  <c r="CB113" i="92" s="1"/>
  <c r="M253" i="75"/>
  <c r="D86" i="75"/>
  <c r="F253" i="75"/>
  <c r="E297" i="82"/>
  <c r="F208" i="82"/>
  <c r="D70" i="97" s="1"/>
  <c r="F68" i="75"/>
  <c r="D69" i="75"/>
  <c r="H227" i="75"/>
  <c r="O67" i="81"/>
  <c r="I9" i="81" s="1"/>
  <c r="H48" i="99" s="1"/>
  <c r="O24" i="81"/>
  <c r="I8" i="81" s="1"/>
  <c r="H47" i="99" s="1"/>
  <c r="O24" i="78"/>
  <c r="I8" i="78" s="1"/>
  <c r="E47" i="99" s="1"/>
  <c r="O24" i="44"/>
  <c r="I8" i="44" s="1"/>
  <c r="B47" i="99" s="1"/>
  <c r="BG143" i="93"/>
  <c r="N344" i="82"/>
  <c r="G253" i="75" s="1"/>
  <c r="E262" i="75" s="1"/>
  <c r="BY23" i="77" s="1"/>
  <c r="K149" i="75"/>
  <c r="K182" i="75" s="1"/>
  <c r="F226" i="52"/>
  <c r="F225" i="75"/>
  <c r="G191" i="82"/>
  <c r="D61" i="97" s="1"/>
  <c r="G87" i="75"/>
  <c r="M290" i="82"/>
  <c r="N290" i="82" s="1"/>
  <c r="AY130" i="93" s="1"/>
  <c r="N226" i="82"/>
  <c r="K226" i="82"/>
  <c r="L226" i="52"/>
  <c r="K226" i="52"/>
  <c r="M131" i="75"/>
  <c r="D87" i="75"/>
  <c r="E182" i="75"/>
  <c r="M134" i="75"/>
  <c r="H86" i="75"/>
  <c r="E87" i="75"/>
  <c r="I87" i="75"/>
  <c r="F305" i="75"/>
  <c r="G86" i="75"/>
  <c r="O253" i="82"/>
  <c r="CG108" i="93" s="1"/>
  <c r="I86" i="75"/>
  <c r="M226" i="82"/>
  <c r="O143" i="82"/>
  <c r="N162" i="75" s="1"/>
  <c r="J226" i="82"/>
  <c r="M181" i="75"/>
  <c r="D68" i="75"/>
  <c r="G68" i="75"/>
  <c r="H68" i="75"/>
  <c r="J68" i="75"/>
  <c r="F97" i="75" s="1"/>
  <c r="G109" i="75" s="1"/>
  <c r="D171" i="75"/>
  <c r="F86" i="75"/>
  <c r="E86" i="75"/>
  <c r="F87" i="75"/>
  <c r="I175" i="75"/>
  <c r="K225" i="75"/>
  <c r="N225" i="75" s="1"/>
  <c r="BC40" i="77" s="1"/>
  <c r="M182" i="75"/>
  <c r="K177" i="75"/>
  <c r="J86" i="75"/>
  <c r="K178" i="75"/>
  <c r="L182" i="75"/>
  <c r="H87" i="75"/>
  <c r="H181" i="75"/>
  <c r="L179" i="75"/>
  <c r="M244" i="82"/>
  <c r="I226" i="82"/>
  <c r="AQ112" i="93"/>
  <c r="BB112" i="93"/>
  <c r="AW112" i="93"/>
  <c r="E131" i="75"/>
  <c r="E180" i="75" s="1"/>
  <c r="BG87" i="91"/>
  <c r="J159" i="52"/>
  <c r="M150" i="75"/>
  <c r="G350" i="75"/>
  <c r="I69" i="77" s="1"/>
  <c r="G69" i="75"/>
  <c r="E50" i="75"/>
  <c r="J87" i="75"/>
  <c r="G175" i="75"/>
  <c r="O520" i="44"/>
  <c r="E268" i="52" s="1"/>
  <c r="EF19" i="99" s="1"/>
  <c r="F69" i="75"/>
  <c r="H69" i="75"/>
  <c r="I69" i="75"/>
  <c r="L253" i="75"/>
  <c r="N143" i="93"/>
  <c r="N332" i="82"/>
  <c r="N253" i="75" s="1"/>
  <c r="G262" i="75" s="1"/>
  <c r="BY44" i="77" s="1"/>
  <c r="E253" i="75"/>
  <c r="H178" i="75"/>
  <c r="J178" i="75"/>
  <c r="J175" i="75"/>
  <c r="L327" i="79"/>
  <c r="GM20" i="99" s="1"/>
  <c r="L329" i="79"/>
  <c r="HC20" i="99" s="1"/>
  <c r="N332" i="79"/>
  <c r="N251" i="75" s="1"/>
  <c r="G261" i="75" s="1"/>
  <c r="BV44" i="77" s="1"/>
  <c r="M251" i="75"/>
  <c r="N344" i="79"/>
  <c r="G251" i="75" s="1"/>
  <c r="E261" i="75" s="1"/>
  <c r="BV23" i="77" s="1"/>
  <c r="F251" i="75"/>
  <c r="E69" i="75"/>
  <c r="K638" i="78"/>
  <c r="E352" i="75"/>
  <c r="K362" i="75" s="1"/>
  <c r="M76" i="77" s="1"/>
  <c r="G182" i="75"/>
  <c r="M205" i="75"/>
  <c r="I68" i="75"/>
  <c r="M204" i="75"/>
  <c r="J30" i="79"/>
  <c r="H20" i="75" s="1"/>
  <c r="G181" i="75"/>
  <c r="J226" i="79"/>
  <c r="H226" i="79"/>
  <c r="K179" i="75"/>
  <c r="F182" i="75"/>
  <c r="I182" i="75"/>
  <c r="L177" i="75"/>
  <c r="M208" i="75"/>
  <c r="O449" i="78"/>
  <c r="J69" i="75"/>
  <c r="E132" i="75"/>
  <c r="O257" i="52"/>
  <c r="CG113" i="91" s="1"/>
  <c r="O449" i="44"/>
  <c r="I50" i="75"/>
  <c r="L555" i="78"/>
  <c r="L559" i="78" s="1"/>
  <c r="L551" i="78"/>
  <c r="H524" i="81"/>
  <c r="H528" i="81"/>
  <c r="H532" i="81" s="1"/>
  <c r="M257" i="79"/>
  <c r="J167" i="79"/>
  <c r="G226" i="79"/>
  <c r="D144" i="75"/>
  <c r="D148" i="75" s="1"/>
  <c r="O141" i="79"/>
  <c r="D227" i="75"/>
  <c r="J524" i="78"/>
  <c r="J528" i="78"/>
  <c r="J532" i="78" s="1"/>
  <c r="BG91" i="93"/>
  <c r="BG93" i="93"/>
  <c r="BG89" i="93"/>
  <c r="J160" i="82"/>
  <c r="AN58" i="93"/>
  <c r="H209" i="82"/>
  <c r="E72" i="97" s="1"/>
  <c r="O139" i="82"/>
  <c r="D158" i="75"/>
  <c r="Y130" i="92"/>
  <c r="Y123" i="92"/>
  <c r="L296" i="75"/>
  <c r="K352" i="75" s="1"/>
  <c r="H177" i="75"/>
  <c r="I147" i="75"/>
  <c r="I150" i="75"/>
  <c r="F555" i="81"/>
  <c r="F559" i="81" s="1"/>
  <c r="F551" i="81"/>
  <c r="Y123" i="93"/>
  <c r="Y130" i="93"/>
  <c r="M296" i="75"/>
  <c r="K354" i="75" s="1"/>
  <c r="J163" i="82"/>
  <c r="L178" i="82"/>
  <c r="K147" i="75"/>
  <c r="K150" i="75"/>
  <c r="CH131" i="92"/>
  <c r="L338" i="75"/>
  <c r="M351" i="75" s="1"/>
  <c r="L177" i="79"/>
  <c r="AY89" i="92" s="1"/>
  <c r="J162" i="79"/>
  <c r="L339" i="82"/>
  <c r="HU21" i="99" s="1"/>
  <c r="F638" i="81"/>
  <c r="H555" i="81"/>
  <c r="H559" i="81" s="1"/>
  <c r="H551" i="81"/>
  <c r="E138" i="75"/>
  <c r="G138" i="79"/>
  <c r="N253" i="79"/>
  <c r="CB108" i="92" s="1"/>
  <c r="E225" i="75"/>
  <c r="M244" i="79"/>
  <c r="DS20" i="99" s="1"/>
  <c r="M166" i="75"/>
  <c r="M163" i="75"/>
  <c r="O257" i="82"/>
  <c r="CG113" i="93" s="1"/>
  <c r="J229" i="75"/>
  <c r="M255" i="82"/>
  <c r="J166" i="82"/>
  <c r="BA131" i="92"/>
  <c r="L317" i="75"/>
  <c r="L351" i="75" s="1"/>
  <c r="Y131" i="92"/>
  <c r="L295" i="75"/>
  <c r="K351" i="75" s="1"/>
  <c r="E176" i="75"/>
  <c r="O141" i="82"/>
  <c r="M528" i="78"/>
  <c r="M532" i="78" s="1"/>
  <c r="M524" i="78"/>
  <c r="E539" i="78"/>
  <c r="O539" i="78" s="1"/>
  <c r="E310" i="79" s="1"/>
  <c r="FN20" i="99" s="1"/>
  <c r="O535" i="78"/>
  <c r="E306" i="79" s="1"/>
  <c r="FJ20" i="99" s="1"/>
  <c r="L226" i="82"/>
  <c r="K524" i="81"/>
  <c r="K528" i="81"/>
  <c r="K532" i="81" s="1"/>
  <c r="BA123" i="92"/>
  <c r="BA130" i="92"/>
  <c r="L318" i="75"/>
  <c r="L352" i="75" s="1"/>
  <c r="M555" i="78"/>
  <c r="M559" i="78" s="1"/>
  <c r="M551" i="78"/>
  <c r="J555" i="78"/>
  <c r="J559" i="78" s="1"/>
  <c r="J551" i="78"/>
  <c r="K163" i="75"/>
  <c r="K166" i="75"/>
  <c r="N257" i="82"/>
  <c r="CB113" i="93" s="1"/>
  <c r="F229" i="75"/>
  <c r="G229" i="75" s="1"/>
  <c r="M229" i="75" s="1"/>
  <c r="AZ46" i="77" s="1"/>
  <c r="J551" i="81"/>
  <c r="J555" i="81"/>
  <c r="J559" i="81" s="1"/>
  <c r="H192" i="82"/>
  <c r="E62" i="97" s="1"/>
  <c r="L148" i="75"/>
  <c r="L150" i="75"/>
  <c r="N551" i="81"/>
  <c r="N555" i="81"/>
  <c r="N559" i="81" s="1"/>
  <c r="L528" i="81"/>
  <c r="L532" i="81" s="1"/>
  <c r="L524" i="81"/>
  <c r="Y40" i="93"/>
  <c r="O71" i="82"/>
  <c r="BZ21" i="99" s="1"/>
  <c r="O86" i="82"/>
  <c r="CJ21" i="99" s="1"/>
  <c r="BG85" i="93"/>
  <c r="BG87" i="93"/>
  <c r="J159" i="82"/>
  <c r="H159" i="82"/>
  <c r="BG85" i="92"/>
  <c r="BG87" i="92"/>
  <c r="J159" i="79"/>
  <c r="H159" i="79"/>
  <c r="O215" i="82"/>
  <c r="G555" i="81"/>
  <c r="G559" i="81" s="1"/>
  <c r="G551" i="81"/>
  <c r="E297" i="79"/>
  <c r="L329" i="82"/>
  <c r="HC21" i="99" s="1"/>
  <c r="K700" i="81"/>
  <c r="L551" i="81"/>
  <c r="L555" i="81"/>
  <c r="L559" i="81" s="1"/>
  <c r="J524" i="81"/>
  <c r="J528" i="81"/>
  <c r="J532" i="81" s="1"/>
  <c r="J227" i="75"/>
  <c r="O255" i="82"/>
  <c r="CG111" i="93" s="1"/>
  <c r="D146" i="75"/>
  <c r="O143" i="79"/>
  <c r="CH131" i="93"/>
  <c r="M338" i="75"/>
  <c r="M353" i="75" s="1"/>
  <c r="J165" i="82"/>
  <c r="M253" i="82"/>
  <c r="O215" i="79"/>
  <c r="P212" i="79" s="1"/>
  <c r="AW114" i="92" s="1"/>
  <c r="M253" i="79"/>
  <c r="J165" i="79"/>
  <c r="AN58" i="92"/>
  <c r="O520" i="78"/>
  <c r="E268" i="79" s="1"/>
  <c r="EF20" i="99" s="1"/>
  <c r="G555" i="78"/>
  <c r="G559" i="78" s="1"/>
  <c r="G551" i="78"/>
  <c r="L327" i="82"/>
  <c r="GM21" i="99" s="1"/>
  <c r="F700" i="81"/>
  <c r="E559" i="78"/>
  <c r="E551" i="81"/>
  <c r="O547" i="81"/>
  <c r="F268" i="82" s="1"/>
  <c r="EK21" i="99" s="1"/>
  <c r="E555" i="81"/>
  <c r="J167" i="82"/>
  <c r="M257" i="82"/>
  <c r="CJ123" i="92"/>
  <c r="CH130" i="92"/>
  <c r="L339" i="75"/>
  <c r="M352" i="75" s="1"/>
  <c r="L178" i="79"/>
  <c r="J163" i="79"/>
  <c r="I524" i="81"/>
  <c r="I528" i="81"/>
  <c r="I532" i="81" s="1"/>
  <c r="L341" i="82"/>
  <c r="IK21" i="99" s="1"/>
  <c r="K638" i="81"/>
  <c r="E166" i="75"/>
  <c r="N528" i="81"/>
  <c r="N532" i="81" s="1"/>
  <c r="N524" i="81"/>
  <c r="F178" i="75"/>
  <c r="J150" i="75"/>
  <c r="J147" i="75"/>
  <c r="Y131" i="93"/>
  <c r="M295" i="75"/>
  <c r="K353" i="75" s="1"/>
  <c r="F524" i="81"/>
  <c r="F528" i="81"/>
  <c r="F532" i="81" s="1"/>
  <c r="O494" i="81"/>
  <c r="E566" i="81"/>
  <c r="O566" i="81" s="1"/>
  <c r="F310" i="82" s="1"/>
  <c r="FS21" i="99" s="1"/>
  <c r="O562" i="81"/>
  <c r="F306" i="82" s="1"/>
  <c r="FO21" i="99" s="1"/>
  <c r="M290" i="52"/>
  <c r="N290" i="52" s="1"/>
  <c r="N555" i="78"/>
  <c r="N559" i="78" s="1"/>
  <c r="N551" i="78"/>
  <c r="BA123" i="93"/>
  <c r="BA130" i="93"/>
  <c r="M318" i="75"/>
  <c r="L354" i="75" s="1"/>
  <c r="Y40" i="92"/>
  <c r="O71" i="79"/>
  <c r="BZ20" i="99" s="1"/>
  <c r="O86" i="79"/>
  <c r="CJ20" i="99" s="1"/>
  <c r="O198" i="79"/>
  <c r="P196" i="79" s="1"/>
  <c r="W114" i="92" s="1"/>
  <c r="E226" i="79"/>
  <c r="M177" i="75"/>
  <c r="O562" i="78"/>
  <c r="F306" i="79" s="1"/>
  <c r="FO20" i="99" s="1"/>
  <c r="E566" i="78"/>
  <c r="O566" i="78" s="1"/>
  <c r="F310" i="79" s="1"/>
  <c r="FS20" i="99" s="1"/>
  <c r="H163" i="75"/>
  <c r="H166" i="75"/>
  <c r="I551" i="78"/>
  <c r="I555" i="78"/>
  <c r="I559" i="78" s="1"/>
  <c r="O449" i="81"/>
  <c r="M176" i="75"/>
  <c r="F638" i="78"/>
  <c r="L339" i="79"/>
  <c r="HU20" i="99" s="1"/>
  <c r="D142" i="75"/>
  <c r="O139" i="79"/>
  <c r="J166" i="75"/>
  <c r="J163" i="75"/>
  <c r="L176" i="82"/>
  <c r="J161" i="82"/>
  <c r="H161" i="82"/>
  <c r="F352" i="75"/>
  <c r="M285" i="75"/>
  <c r="N143" i="92"/>
  <c r="L251" i="75"/>
  <c r="K555" i="81"/>
  <c r="K559" i="81" s="1"/>
  <c r="K551" i="81"/>
  <c r="BG89" i="92"/>
  <c r="BG91" i="92"/>
  <c r="BG93" i="92"/>
  <c r="J160" i="79"/>
  <c r="F539" i="81"/>
  <c r="O539" i="81" s="1"/>
  <c r="E310" i="82" s="1"/>
  <c r="FN21" i="99" s="1"/>
  <c r="O535" i="81"/>
  <c r="E306" i="82" s="1"/>
  <c r="FJ21" i="99" s="1"/>
  <c r="O255" i="79"/>
  <c r="CG111" i="92" s="1"/>
  <c r="I227" i="75"/>
  <c r="E528" i="81"/>
  <c r="O520" i="81"/>
  <c r="E268" i="82" s="1"/>
  <c r="EF21" i="99" s="1"/>
  <c r="E524" i="81"/>
  <c r="G138" i="82"/>
  <c r="E154" i="75"/>
  <c r="BA131" i="93"/>
  <c r="M317" i="75"/>
  <c r="L353" i="75" s="1"/>
  <c r="O140" i="79"/>
  <c r="E305" i="75"/>
  <c r="E296" i="79"/>
  <c r="M290" i="79"/>
  <c r="N290" i="79" s="1"/>
  <c r="AY130" i="92" s="1"/>
  <c r="O257" i="79"/>
  <c r="CG113" i="92" s="1"/>
  <c r="I229" i="75"/>
  <c r="N53" i="79"/>
  <c r="M56" i="75" s="1"/>
  <c r="M255" i="79"/>
  <c r="J166" i="79"/>
  <c r="D159" i="75"/>
  <c r="D176" i="75" s="1"/>
  <c r="O140" i="82"/>
  <c r="D161" i="75"/>
  <c r="D165" i="75" s="1"/>
  <c r="O142" i="82"/>
  <c r="L166" i="75"/>
  <c r="L163" i="75"/>
  <c r="F250" i="75"/>
  <c r="O494" i="78"/>
  <c r="I163" i="75"/>
  <c r="I166" i="75"/>
  <c r="K317" i="75"/>
  <c r="L349" i="75" s="1"/>
  <c r="H209" i="79"/>
  <c r="E52" i="97" s="1"/>
  <c r="E148" i="75"/>
  <c r="E150" i="75"/>
  <c r="E177" i="75"/>
  <c r="O547" i="78"/>
  <c r="F268" i="79" s="1"/>
  <c r="EK20" i="99" s="1"/>
  <c r="D145" i="75"/>
  <c r="O142" i="79"/>
  <c r="CJ123" i="93"/>
  <c r="CH130" i="93"/>
  <c r="M339" i="75"/>
  <c r="M354" i="75" s="1"/>
  <c r="G524" i="81"/>
  <c r="G528" i="81"/>
  <c r="G532" i="81" s="1"/>
  <c r="G150" i="75"/>
  <c r="G147" i="75"/>
  <c r="G180" i="75" s="1"/>
  <c r="L177" i="82"/>
  <c r="AY89" i="93" s="1"/>
  <c r="J162" i="82"/>
  <c r="O198" i="82"/>
  <c r="P213" i="82" s="1"/>
  <c r="BB114" i="93" s="1"/>
  <c r="E226" i="82"/>
  <c r="BG143" i="92"/>
  <c r="E251" i="75"/>
  <c r="H161" i="79"/>
  <c r="L176" i="79"/>
  <c r="J161" i="79"/>
  <c r="F147" i="75"/>
  <c r="F180" i="75" s="1"/>
  <c r="F150" i="75"/>
  <c r="F183" i="75" s="1"/>
  <c r="H192" i="79"/>
  <c r="E42" i="97" s="1"/>
  <c r="J186" i="75"/>
  <c r="J191" i="75" s="1"/>
  <c r="G208" i="79"/>
  <c r="D51" i="97" s="1"/>
  <c r="H191" i="79"/>
  <c r="D42" i="97" s="1"/>
  <c r="J50" i="75"/>
  <c r="I51" i="75"/>
  <c r="F51" i="75"/>
  <c r="F50" i="75"/>
  <c r="G178" i="75"/>
  <c r="G50" i="75"/>
  <c r="H50" i="75"/>
  <c r="G51" i="75"/>
  <c r="L132" i="75"/>
  <c r="H226" i="52"/>
  <c r="O142" i="52"/>
  <c r="E179" i="52" s="1"/>
  <c r="AU91" i="91" s="1"/>
  <c r="G177" i="75"/>
  <c r="J166" i="52"/>
  <c r="K338" i="75"/>
  <c r="M349" i="75" s="1"/>
  <c r="M253" i="52"/>
  <c r="K318" i="75"/>
  <c r="E51" i="75"/>
  <c r="I178" i="75"/>
  <c r="J133" i="75"/>
  <c r="J182" i="75" s="1"/>
  <c r="H133" i="75"/>
  <c r="H182" i="75" s="1"/>
  <c r="L134" i="75"/>
  <c r="D51" i="75"/>
  <c r="K132" i="75"/>
  <c r="K181" i="75" s="1"/>
  <c r="G134" i="75"/>
  <c r="I134" i="75"/>
  <c r="H51" i="75"/>
  <c r="I131" i="75"/>
  <c r="J51" i="75"/>
  <c r="BE40" i="91"/>
  <c r="AB12" i="91"/>
  <c r="CJ123" i="91"/>
  <c r="CH130" i="91"/>
  <c r="H209" i="52"/>
  <c r="E32" i="97" s="1"/>
  <c r="CI40" i="91"/>
  <c r="BG143" i="91"/>
  <c r="K295" i="75"/>
  <c r="Y131" i="91"/>
  <c r="D131" i="75"/>
  <c r="Y130" i="91"/>
  <c r="Y123" i="91"/>
  <c r="F191" i="52"/>
  <c r="D20" i="97" s="1"/>
  <c r="BG89" i="91"/>
  <c r="BG91" i="91"/>
  <c r="BG93" i="91"/>
  <c r="M246" i="75"/>
  <c r="BO24" i="91"/>
  <c r="CD131" i="91"/>
  <c r="BA130" i="91"/>
  <c r="BA123" i="91"/>
  <c r="AD104" i="91"/>
  <c r="H192" i="52"/>
  <c r="E22" i="97" s="1"/>
  <c r="E297" i="52"/>
  <c r="V131" i="91"/>
  <c r="F247" i="75"/>
  <c r="BX143" i="91"/>
  <c r="F208" i="52"/>
  <c r="D30" i="97" s="1"/>
  <c r="I226" i="52"/>
  <c r="K339" i="75"/>
  <c r="M350" i="75" s="1"/>
  <c r="J226" i="52"/>
  <c r="BN15" i="91"/>
  <c r="AD143" i="91"/>
  <c r="N143" i="91"/>
  <c r="AY131" i="91"/>
  <c r="F177" i="75"/>
  <c r="F132" i="75"/>
  <c r="F181" i="75" s="1"/>
  <c r="O253" i="52"/>
  <c r="CG108" i="91" s="1"/>
  <c r="M244" i="52"/>
  <c r="DS19" i="99" s="1"/>
  <c r="N332" i="52"/>
  <c r="N247" i="75" s="1"/>
  <c r="G260" i="75" s="1"/>
  <c r="BQ44" i="77" s="1"/>
  <c r="M247" i="75"/>
  <c r="N344" i="52"/>
  <c r="G247" i="75" s="1"/>
  <c r="E260" i="75" s="1"/>
  <c r="BQ23" i="77" s="1"/>
  <c r="L341" i="52"/>
  <c r="IK19" i="99" s="1"/>
  <c r="L177" i="52"/>
  <c r="J160" i="52"/>
  <c r="H159" i="52"/>
  <c r="N53" i="52"/>
  <c r="M38" i="75" s="1"/>
  <c r="H17" i="75"/>
  <c r="O494" i="44"/>
  <c r="O547" i="44"/>
  <c r="F268" i="52" s="1"/>
  <c r="EK19" i="99" s="1"/>
  <c r="L178" i="52"/>
  <c r="E247" i="75"/>
  <c r="O140" i="52"/>
  <c r="N127" i="75" s="1"/>
  <c r="L247" i="75"/>
  <c r="L176" i="52"/>
  <c r="J167" i="52"/>
  <c r="H161" i="52"/>
  <c r="L176" i="75"/>
  <c r="L131" i="75"/>
  <c r="G351" i="75"/>
  <c r="H566" i="44"/>
  <c r="O566" i="44" s="1"/>
  <c r="F310" i="52" s="1"/>
  <c r="FS19" i="99" s="1"/>
  <c r="O562" i="44"/>
  <c r="F306" i="52" s="1"/>
  <c r="FO19" i="99" s="1"/>
  <c r="M326" i="75"/>
  <c r="G329" i="75"/>
  <c r="F700" i="44"/>
  <c r="L327" i="52"/>
  <c r="GM19" i="99" s="1"/>
  <c r="J177" i="75"/>
  <c r="J132" i="75"/>
  <c r="J181" i="75" s="1"/>
  <c r="J134" i="75"/>
  <c r="F314" i="52"/>
  <c r="M305" i="75"/>
  <c r="G309" i="75"/>
  <c r="J555" i="44"/>
  <c r="J559" i="44" s="1"/>
  <c r="J551" i="44"/>
  <c r="E559" i="44"/>
  <c r="D235" i="75"/>
  <c r="H134" i="75"/>
  <c r="H131" i="75"/>
  <c r="H175" i="75"/>
  <c r="O139" i="52"/>
  <c r="I177" i="75"/>
  <c r="I132" i="75"/>
  <c r="I181" i="75" s="1"/>
  <c r="O215" i="52"/>
  <c r="K528" i="44"/>
  <c r="K532" i="44" s="1"/>
  <c r="K524" i="44"/>
  <c r="E315" i="52"/>
  <c r="F638" i="44"/>
  <c r="L339" i="52"/>
  <c r="HU19" i="99" s="1"/>
  <c r="K350" i="75"/>
  <c r="M188" i="75"/>
  <c r="D128" i="75"/>
  <c r="O141" i="52"/>
  <c r="K176" i="75"/>
  <c r="K131" i="75"/>
  <c r="K134" i="75"/>
  <c r="O198" i="52"/>
  <c r="D104" i="91" s="1"/>
  <c r="D121" i="75"/>
  <c r="F137" i="52"/>
  <c r="G137" i="52" s="1"/>
  <c r="H137" i="52" s="1"/>
  <c r="I137" i="52" s="1"/>
  <c r="J137" i="52" s="1"/>
  <c r="K137" i="52" s="1"/>
  <c r="L137" i="52" s="1"/>
  <c r="M137" i="52" s="1"/>
  <c r="N137" i="52" s="1"/>
  <c r="F122" i="75"/>
  <c r="H138" i="52"/>
  <c r="M187" i="75"/>
  <c r="D130" i="75"/>
  <c r="O143" i="52"/>
  <c r="E172" i="75"/>
  <c r="F123" i="75"/>
  <c r="D236" i="75"/>
  <c r="E174" i="75"/>
  <c r="F125" i="75"/>
  <c r="D305" i="75"/>
  <c r="E296" i="52"/>
  <c r="L524" i="44"/>
  <c r="L528" i="44"/>
  <c r="L532" i="44" s="1"/>
  <c r="F124" i="75"/>
  <c r="E173" i="75"/>
  <c r="D352" i="75"/>
  <c r="M283" i="75"/>
  <c r="G286" i="75"/>
  <c r="I551" i="44"/>
  <c r="I555" i="44"/>
  <c r="I559" i="44" s="1"/>
  <c r="H23" i="75" l="1"/>
  <c r="G227" i="75"/>
  <c r="M227" i="75" s="1"/>
  <c r="AZ43" i="77" s="1"/>
  <c r="L247" i="82"/>
  <c r="N240" i="82" s="1"/>
  <c r="DS21" i="99"/>
  <c r="A25" i="99"/>
  <c r="L250" i="75"/>
  <c r="I97" i="75"/>
  <c r="D109" i="75" s="1"/>
  <c r="E97" i="75"/>
  <c r="H109" i="75" s="1"/>
  <c r="G208" i="82"/>
  <c r="D71" i="97" s="1"/>
  <c r="G100" i="75"/>
  <c r="F112" i="75" s="1"/>
  <c r="H191" i="82"/>
  <c r="D62" i="97" s="1"/>
  <c r="D97" i="75"/>
  <c r="I109" i="75" s="1"/>
  <c r="G225" i="75"/>
  <c r="M225" i="75" s="1"/>
  <c r="AZ40" i="77" s="1"/>
  <c r="O551" i="81"/>
  <c r="F272" i="82" s="1"/>
  <c r="EO21" i="99" s="1"/>
  <c r="M180" i="75"/>
  <c r="G101" i="75"/>
  <c r="F113" i="75" s="1"/>
  <c r="H97" i="75"/>
  <c r="E109" i="75" s="1"/>
  <c r="K227" i="75"/>
  <c r="N227" i="75" s="1"/>
  <c r="BC43" i="77" s="1"/>
  <c r="L212" i="75"/>
  <c r="F100" i="75"/>
  <c r="G112" i="75" s="1"/>
  <c r="I100" i="75"/>
  <c r="D112" i="75" s="1"/>
  <c r="G97" i="75"/>
  <c r="F109" i="75" s="1"/>
  <c r="H180" i="75"/>
  <c r="D100" i="75"/>
  <c r="I112" i="75" s="1"/>
  <c r="E180" i="82"/>
  <c r="G180" i="82" s="1"/>
  <c r="BI93" i="93" s="1"/>
  <c r="H100" i="75"/>
  <c r="E112" i="75" s="1"/>
  <c r="E100" i="75"/>
  <c r="H112" i="75" s="1"/>
  <c r="I101" i="75"/>
  <c r="D113" i="75" s="1"/>
  <c r="H101" i="75"/>
  <c r="E113" i="75" s="1"/>
  <c r="I98" i="75"/>
  <c r="D110" i="75" s="1"/>
  <c r="M183" i="75"/>
  <c r="F101" i="75"/>
  <c r="G113" i="75" s="1"/>
  <c r="K229" i="75"/>
  <c r="N229" i="75" s="1"/>
  <c r="BC46" i="77" s="1"/>
  <c r="E181" i="75"/>
  <c r="I94" i="75"/>
  <c r="D106" i="75" s="1"/>
  <c r="P212" i="82"/>
  <c r="AW114" i="93" s="1"/>
  <c r="P211" i="82"/>
  <c r="AQ114" i="93" s="1"/>
  <c r="P193" i="82"/>
  <c r="E114" i="93" s="1"/>
  <c r="P210" i="82"/>
  <c r="AK114" i="93" s="1"/>
  <c r="P214" i="82"/>
  <c r="BI114" i="93" s="1"/>
  <c r="N331" i="79"/>
  <c r="N250" i="75" s="1"/>
  <c r="F261" i="75" s="1"/>
  <c r="K270" i="75" s="1"/>
  <c r="BV39" i="77" s="1"/>
  <c r="H94" i="75"/>
  <c r="E106" i="75" s="1"/>
  <c r="E101" i="75"/>
  <c r="H113" i="75" s="1"/>
  <c r="J88" i="75"/>
  <c r="D101" i="75"/>
  <c r="I113" i="75" s="1"/>
  <c r="E277" i="52"/>
  <c r="D283" i="75"/>
  <c r="J70" i="75"/>
  <c r="H98" i="75"/>
  <c r="E110" i="75" s="1"/>
  <c r="F98" i="75"/>
  <c r="G110" i="75" s="1"/>
  <c r="E98" i="75"/>
  <c r="H110" i="75" s="1"/>
  <c r="H183" i="75"/>
  <c r="E183" i="75"/>
  <c r="P196" i="82"/>
  <c r="W114" i="93" s="1"/>
  <c r="M250" i="75"/>
  <c r="AB12" i="92"/>
  <c r="I183" i="75"/>
  <c r="O524" i="78"/>
  <c r="E272" i="79" s="1"/>
  <c r="I180" i="75"/>
  <c r="O551" i="78"/>
  <c r="F272" i="79" s="1"/>
  <c r="EO20" i="99" s="1"/>
  <c r="O559" i="78"/>
  <c r="F291" i="79" s="1"/>
  <c r="FE20" i="99" s="1"/>
  <c r="P213" i="79"/>
  <c r="BB114" i="92" s="1"/>
  <c r="K183" i="75"/>
  <c r="L181" i="75"/>
  <c r="G305" i="75"/>
  <c r="J305" i="75" s="1"/>
  <c r="O532" i="78"/>
  <c r="E291" i="79" s="1"/>
  <c r="J180" i="75"/>
  <c r="O528" i="78"/>
  <c r="E287" i="79" s="1"/>
  <c r="EU20" i="99" s="1"/>
  <c r="E171" i="75"/>
  <c r="G98" i="75"/>
  <c r="F110" i="75" s="1"/>
  <c r="D98" i="75"/>
  <c r="I110" i="75" s="1"/>
  <c r="N295" i="75"/>
  <c r="AL76" i="77" s="1"/>
  <c r="I17" i="75"/>
  <c r="Q11" i="77" s="1"/>
  <c r="N296" i="75"/>
  <c r="AL75" i="77" s="1"/>
  <c r="N317" i="75"/>
  <c r="BE76" i="77" s="1"/>
  <c r="N318" i="75"/>
  <c r="BE75" i="77" s="1"/>
  <c r="N338" i="75"/>
  <c r="CB76" i="77" s="1"/>
  <c r="BG96" i="92"/>
  <c r="F187" i="75"/>
  <c r="D149" i="75"/>
  <c r="D178" i="75"/>
  <c r="E177" i="82"/>
  <c r="N159" i="75"/>
  <c r="O524" i="81"/>
  <c r="E272" i="82" s="1"/>
  <c r="EJ21" i="99" s="1"/>
  <c r="P197" i="79"/>
  <c r="AB114" i="92" s="1"/>
  <c r="BZ108" i="92"/>
  <c r="E234" i="75"/>
  <c r="E252" i="75"/>
  <c r="N343" i="82"/>
  <c r="G252" i="75" s="1"/>
  <c r="D262" i="75" s="1"/>
  <c r="P195" i="79"/>
  <c r="N114" i="92" s="1"/>
  <c r="E278" i="79"/>
  <c r="F283" i="75"/>
  <c r="E277" i="82"/>
  <c r="M271" i="82"/>
  <c r="N271" i="82" s="1"/>
  <c r="V130" i="93" s="1"/>
  <c r="L362" i="75"/>
  <c r="N76" i="77" s="1"/>
  <c r="E316" i="82"/>
  <c r="AJ104" i="92"/>
  <c r="P211" i="79"/>
  <c r="AQ114" i="92" s="1"/>
  <c r="P214" i="79"/>
  <c r="BI114" i="92" s="1"/>
  <c r="CI40" i="93"/>
  <c r="O528" i="81"/>
  <c r="E287" i="82" s="1"/>
  <c r="EU21" i="99" s="1"/>
  <c r="E532" i="81"/>
  <c r="O532" i="81" s="1"/>
  <c r="E291" i="82" s="1"/>
  <c r="EY21" i="99" s="1"/>
  <c r="F317" i="79"/>
  <c r="F317" i="82"/>
  <c r="BZ108" i="93"/>
  <c r="F234" i="75"/>
  <c r="BE40" i="93"/>
  <c r="N352" i="75"/>
  <c r="I192" i="79"/>
  <c r="E43" i="97" s="1"/>
  <c r="BZ111" i="92"/>
  <c r="E235" i="75"/>
  <c r="AY96" i="93"/>
  <c r="AD82" i="93"/>
  <c r="F191" i="75"/>
  <c r="D248" i="82"/>
  <c r="E316" i="79"/>
  <c r="BZ111" i="93"/>
  <c r="F235" i="75"/>
  <c r="N144" i="75"/>
  <c r="N148" i="75" s="1"/>
  <c r="E178" i="79"/>
  <c r="K180" i="75"/>
  <c r="D234" i="75"/>
  <c r="BZ108" i="91"/>
  <c r="P195" i="82"/>
  <c r="N114" i="93" s="1"/>
  <c r="O555" i="81"/>
  <c r="F287" i="82" s="1"/>
  <c r="FA21" i="99" s="1"/>
  <c r="E559" i="81"/>
  <c r="O559" i="81" s="1"/>
  <c r="F291" i="82" s="1"/>
  <c r="FE21" i="99" s="1"/>
  <c r="E326" i="75"/>
  <c r="E315" i="79"/>
  <c r="M309" i="79"/>
  <c r="N309" i="79" s="1"/>
  <c r="CD130" i="92" s="1"/>
  <c r="E315" i="82"/>
  <c r="F326" i="75"/>
  <c r="M309" i="82"/>
  <c r="N309" i="82" s="1"/>
  <c r="CD130" i="93" s="1"/>
  <c r="AY85" i="93"/>
  <c r="AY87" i="93"/>
  <c r="F252" i="75"/>
  <c r="E278" i="82"/>
  <c r="E330" i="75"/>
  <c r="M332" i="75" s="1"/>
  <c r="F314" i="79"/>
  <c r="D166" i="75"/>
  <c r="D163" i="75"/>
  <c r="N146" i="75"/>
  <c r="E180" i="79"/>
  <c r="AJ104" i="93"/>
  <c r="N158" i="75"/>
  <c r="E176" i="82"/>
  <c r="AY91" i="93"/>
  <c r="AY93" i="93"/>
  <c r="N236" i="82"/>
  <c r="N237" i="82"/>
  <c r="N243" i="82"/>
  <c r="AY85" i="92"/>
  <c r="AY87" i="92"/>
  <c r="N142" i="75"/>
  <c r="E176" i="79"/>
  <c r="BE40" i="92"/>
  <c r="K159" i="79"/>
  <c r="K212" i="75"/>
  <c r="L247" i="79"/>
  <c r="N244" i="79" s="1"/>
  <c r="I209" i="82"/>
  <c r="E73" i="97" s="1"/>
  <c r="AD82" i="92"/>
  <c r="AY96" i="92"/>
  <c r="F190" i="75"/>
  <c r="D248" i="79"/>
  <c r="D147" i="75"/>
  <c r="D150" i="75"/>
  <c r="D175" i="75"/>
  <c r="L252" i="75"/>
  <c r="N331" i="82"/>
  <c r="N252" i="75" s="1"/>
  <c r="F262" i="75" s="1"/>
  <c r="N354" i="75"/>
  <c r="BZ113" i="92"/>
  <c r="E236" i="75"/>
  <c r="M93" i="75"/>
  <c r="Q30" i="77" s="1"/>
  <c r="P194" i="82"/>
  <c r="H114" i="93" s="1"/>
  <c r="E250" i="75"/>
  <c r="N343" i="79"/>
  <c r="G250" i="75" s="1"/>
  <c r="D261" i="75" s="1"/>
  <c r="AY93" i="92"/>
  <c r="AY91" i="92"/>
  <c r="F330" i="75"/>
  <c r="M333" i="75" s="1"/>
  <c r="F314" i="82"/>
  <c r="G183" i="75"/>
  <c r="N143" i="75"/>
  <c r="E177" i="79"/>
  <c r="N353" i="75"/>
  <c r="P210" i="79"/>
  <c r="AK114" i="92" s="1"/>
  <c r="F138" i="75"/>
  <c r="H138" i="79"/>
  <c r="E283" i="75"/>
  <c r="E277" i="79"/>
  <c r="M271" i="79"/>
  <c r="N271" i="79" s="1"/>
  <c r="V130" i="92" s="1"/>
  <c r="I192" i="82"/>
  <c r="E63" i="97" s="1"/>
  <c r="N160" i="75"/>
  <c r="N164" i="75" s="1"/>
  <c r="E178" i="82"/>
  <c r="I209" i="79"/>
  <c r="E53" i="97" s="1"/>
  <c r="N129" i="75"/>
  <c r="L180" i="75"/>
  <c r="BG96" i="93"/>
  <c r="F188" i="75"/>
  <c r="CI40" i="92"/>
  <c r="L183" i="75"/>
  <c r="D104" i="93"/>
  <c r="O226" i="82"/>
  <c r="P197" i="82"/>
  <c r="AB114" i="93" s="1"/>
  <c r="N161" i="75"/>
  <c r="N165" i="75" s="1"/>
  <c r="E179" i="82"/>
  <c r="BZ113" i="93"/>
  <c r="F236" i="75"/>
  <c r="K159" i="82"/>
  <c r="N351" i="75"/>
  <c r="O555" i="78"/>
  <c r="F287" i="79" s="1"/>
  <c r="FA20" i="99" s="1"/>
  <c r="D104" i="92"/>
  <c r="O226" i="79"/>
  <c r="P193" i="79"/>
  <c r="E114" i="92" s="1"/>
  <c r="P194" i="79"/>
  <c r="H114" i="92" s="1"/>
  <c r="J183" i="75"/>
  <c r="F94" i="75"/>
  <c r="G106" i="75" s="1"/>
  <c r="N145" i="75"/>
  <c r="E179" i="79"/>
  <c r="H138" i="82"/>
  <c r="F154" i="75"/>
  <c r="M252" i="75"/>
  <c r="M191" i="75"/>
  <c r="AN37" i="77"/>
  <c r="AN18" i="77"/>
  <c r="I191" i="79"/>
  <c r="D43" i="97" s="1"/>
  <c r="H208" i="79"/>
  <c r="D52" i="97" s="1"/>
  <c r="L350" i="75"/>
  <c r="N350" i="75" s="1"/>
  <c r="J52" i="75"/>
  <c r="D94" i="75"/>
  <c r="I106" i="75" s="1"/>
  <c r="G94" i="75"/>
  <c r="F106" i="75" s="1"/>
  <c r="E94" i="75"/>
  <c r="H106" i="75" s="1"/>
  <c r="P197" i="52"/>
  <c r="AB114" i="91" s="1"/>
  <c r="K159" i="52"/>
  <c r="D95" i="75"/>
  <c r="I107" i="75" s="1"/>
  <c r="K349" i="75"/>
  <c r="N349" i="75" s="1"/>
  <c r="G95" i="75"/>
  <c r="F107" i="75" s="1"/>
  <c r="I95" i="75"/>
  <c r="D107" i="75" s="1"/>
  <c r="N339" i="75"/>
  <c r="F95" i="75"/>
  <c r="G107" i="75" s="1"/>
  <c r="H95" i="75"/>
  <c r="E107" i="75" s="1"/>
  <c r="E95" i="75"/>
  <c r="H107" i="75" s="1"/>
  <c r="G208" i="52"/>
  <c r="D31" i="97" s="1"/>
  <c r="I209" i="52"/>
  <c r="E33" i="97" s="1"/>
  <c r="P196" i="52"/>
  <c r="W114" i="91" s="1"/>
  <c r="P195" i="52"/>
  <c r="N114" i="91" s="1"/>
  <c r="F317" i="52"/>
  <c r="AY130" i="91"/>
  <c r="F246" i="75"/>
  <c r="I192" i="52"/>
  <c r="E23" i="97" s="1"/>
  <c r="G191" i="52"/>
  <c r="D21" i="97" s="1"/>
  <c r="AY85" i="91"/>
  <c r="AY87" i="91"/>
  <c r="AY89" i="91"/>
  <c r="F189" i="75"/>
  <c r="AY96" i="91"/>
  <c r="AD82" i="91"/>
  <c r="AY93" i="91"/>
  <c r="AY91" i="91"/>
  <c r="E316" i="52"/>
  <c r="F186" i="75"/>
  <c r="BG96" i="91"/>
  <c r="L247" i="52"/>
  <c r="N236" i="52" s="1"/>
  <c r="P210" i="52"/>
  <c r="AK114" i="91" s="1"/>
  <c r="AJ104" i="91"/>
  <c r="E278" i="52"/>
  <c r="J212" i="75"/>
  <c r="M271" i="52"/>
  <c r="N271" i="52" s="1"/>
  <c r="O551" i="44"/>
  <c r="F272" i="52" s="1"/>
  <c r="EO19" i="99" s="1"/>
  <c r="D326" i="75"/>
  <c r="M309" i="52"/>
  <c r="N309" i="52" s="1"/>
  <c r="O524" i="44"/>
  <c r="E272" i="52" s="1"/>
  <c r="EJ19" i="99" s="1"/>
  <c r="E177" i="52"/>
  <c r="G177" i="52" s="1"/>
  <c r="D248" i="52"/>
  <c r="O532" i="44"/>
  <c r="E291" i="52" s="1"/>
  <c r="EY19" i="99" s="1"/>
  <c r="G122" i="75"/>
  <c r="I138" i="52"/>
  <c r="P211" i="52"/>
  <c r="AQ114" i="91" s="1"/>
  <c r="G123" i="75"/>
  <c r="F172" i="75"/>
  <c r="D330" i="75"/>
  <c r="O559" i="44"/>
  <c r="F291" i="52" s="1"/>
  <c r="FE19" i="99" s="1"/>
  <c r="J362" i="75"/>
  <c r="L76" i="77" s="1"/>
  <c r="N130" i="75"/>
  <c r="E180" i="52"/>
  <c r="AU93" i="91" s="1"/>
  <c r="G179" i="52"/>
  <c r="G124" i="75"/>
  <c r="F173" i="75"/>
  <c r="D153" i="75"/>
  <c r="D137" i="75"/>
  <c r="E121" i="75"/>
  <c r="D170" i="75"/>
  <c r="D177" i="75"/>
  <c r="D132" i="75"/>
  <c r="D181" i="75" s="1"/>
  <c r="D134" i="75"/>
  <c r="E246" i="75"/>
  <c r="N343" i="52"/>
  <c r="G246" i="75" s="1"/>
  <c r="D260" i="75" s="1"/>
  <c r="N126" i="75"/>
  <c r="E176" i="52"/>
  <c r="AU85" i="91" s="1"/>
  <c r="J327" i="75"/>
  <c r="F338" i="75"/>
  <c r="G338" i="75" s="1"/>
  <c r="BZ76" i="77" s="1"/>
  <c r="P214" i="52"/>
  <c r="BI114" i="91" s="1"/>
  <c r="D179" i="75"/>
  <c r="D133" i="75"/>
  <c r="N128" i="75"/>
  <c r="E178" i="52"/>
  <c r="AU89" i="91" s="1"/>
  <c r="P212" i="52"/>
  <c r="AW114" i="91" s="1"/>
  <c r="G352" i="75"/>
  <c r="I66" i="77" s="1"/>
  <c r="J284" i="75"/>
  <c r="J306" i="75"/>
  <c r="F317" i="75"/>
  <c r="G317" i="75" s="1"/>
  <c r="BD76" i="77" s="1"/>
  <c r="F295" i="75"/>
  <c r="G295" i="75" s="1"/>
  <c r="AK76" i="77" s="1"/>
  <c r="O528" i="44"/>
  <c r="E287" i="52" s="1"/>
  <c r="EU19" i="99" s="1"/>
  <c r="O555" i="44"/>
  <c r="F287" i="52" s="1"/>
  <c r="FA19" i="99" s="1"/>
  <c r="P213" i="52"/>
  <c r="BB114" i="91" s="1"/>
  <c r="F174" i="75"/>
  <c r="G125" i="75"/>
  <c r="O226" i="52"/>
  <c r="P193" i="52"/>
  <c r="E114" i="91" s="1"/>
  <c r="P194" i="52"/>
  <c r="H114" i="91" s="1"/>
  <c r="L246" i="75"/>
  <c r="N331" i="52"/>
  <c r="N246" i="75" s="1"/>
  <c r="F260" i="75" s="1"/>
  <c r="N244" i="82" l="1"/>
  <c r="H208" i="82"/>
  <c r="D72" i="97" s="1"/>
  <c r="F295" i="79"/>
  <c r="EY20" i="99"/>
  <c r="F276" i="79"/>
  <c r="EJ20" i="99"/>
  <c r="I191" i="82"/>
  <c r="D63" i="97" s="1"/>
  <c r="J109" i="75"/>
  <c r="F279" i="82"/>
  <c r="J97" i="75"/>
  <c r="AU93" i="93"/>
  <c r="J112" i="75"/>
  <c r="J113" i="75"/>
  <c r="J100" i="75"/>
  <c r="K268" i="75"/>
  <c r="BV37" i="77" s="1"/>
  <c r="K267" i="75"/>
  <c r="BV36" i="77" s="1"/>
  <c r="K271" i="75"/>
  <c r="BV41" i="77" s="1"/>
  <c r="K269" i="75"/>
  <c r="BV38" i="77" s="1"/>
  <c r="J101" i="75"/>
  <c r="BE57" i="77"/>
  <c r="N176" i="75"/>
  <c r="D180" i="75"/>
  <c r="O244" i="82"/>
  <c r="F171" i="75"/>
  <c r="G236" i="75"/>
  <c r="AY46" i="77" s="1"/>
  <c r="G235" i="75"/>
  <c r="AY43" i="77" s="1"/>
  <c r="E287" i="75"/>
  <c r="M289" i="75" s="1"/>
  <c r="F279" i="79"/>
  <c r="D182" i="75"/>
  <c r="M212" i="75"/>
  <c r="L215" i="75" s="1"/>
  <c r="N204" i="75" s="1"/>
  <c r="J110" i="75"/>
  <c r="F316" i="75"/>
  <c r="G316" i="75" s="1"/>
  <c r="BD75" i="77" s="1"/>
  <c r="F298" i="79"/>
  <c r="E306" i="75"/>
  <c r="N149" i="75"/>
  <c r="N179" i="75"/>
  <c r="E349" i="75"/>
  <c r="K361" i="75" s="1"/>
  <c r="M75" i="77" s="1"/>
  <c r="E310" i="75"/>
  <c r="M311" i="75" s="1"/>
  <c r="G283" i="75"/>
  <c r="J283" i="75" s="1"/>
  <c r="J98" i="75"/>
  <c r="G189" i="75"/>
  <c r="AQ12" i="77" s="1"/>
  <c r="AM57" i="77"/>
  <c r="N361" i="75"/>
  <c r="S57" i="77" s="1"/>
  <c r="G186" i="75"/>
  <c r="N163" i="75"/>
  <c r="N166" i="75"/>
  <c r="N362" i="75"/>
  <c r="S76" i="77" s="1"/>
  <c r="P198" i="82"/>
  <c r="J104" i="93" s="1"/>
  <c r="AU104" i="93"/>
  <c r="J192" i="82"/>
  <c r="E64" i="97" s="1"/>
  <c r="AU93" i="92"/>
  <c r="G180" i="79"/>
  <c r="BI93" i="92" s="1"/>
  <c r="BS85" i="92"/>
  <c r="K219" i="75"/>
  <c r="AU85" i="92"/>
  <c r="E181" i="79"/>
  <c r="G176" i="79"/>
  <c r="BI85" i="92" s="1"/>
  <c r="E271" i="75"/>
  <c r="BV21" i="77" s="1"/>
  <c r="E270" i="75"/>
  <c r="BV20" i="77" s="1"/>
  <c r="E269" i="75"/>
  <c r="BV19" i="77" s="1"/>
  <c r="E268" i="75"/>
  <c r="BV18" i="77" s="1"/>
  <c r="E267" i="75"/>
  <c r="BV17" i="77" s="1"/>
  <c r="N147" i="75"/>
  <c r="N150" i="75"/>
  <c r="BS85" i="93"/>
  <c r="L219" i="75"/>
  <c r="AU89" i="93"/>
  <c r="G178" i="82"/>
  <c r="BI89" i="93" s="1"/>
  <c r="F287" i="75"/>
  <c r="F276" i="82"/>
  <c r="G326" i="75"/>
  <c r="J326" i="75" s="1"/>
  <c r="P215" i="79"/>
  <c r="AU104" i="92" s="1"/>
  <c r="P198" i="79"/>
  <c r="J104" i="92" s="1"/>
  <c r="J209" i="82"/>
  <c r="E74" i="97" s="1"/>
  <c r="F298" i="82"/>
  <c r="G138" i="75"/>
  <c r="I138" i="79"/>
  <c r="AU87" i="93"/>
  <c r="G177" i="82"/>
  <c r="BI87" i="93" s="1"/>
  <c r="I138" i="82"/>
  <c r="G154" i="75"/>
  <c r="N178" i="75"/>
  <c r="N243" i="79"/>
  <c r="N240" i="79"/>
  <c r="N237" i="79"/>
  <c r="N236" i="79"/>
  <c r="F268" i="75"/>
  <c r="BY18" i="77" s="1"/>
  <c r="F271" i="75"/>
  <c r="BY21" i="77" s="1"/>
  <c r="F269" i="75"/>
  <c r="BY19" i="77" s="1"/>
  <c r="F270" i="75"/>
  <c r="BY20" i="77" s="1"/>
  <c r="F267" i="75"/>
  <c r="BY17" i="77" s="1"/>
  <c r="D183" i="75"/>
  <c r="G234" i="75"/>
  <c r="AY40" i="77" s="1"/>
  <c r="F349" i="75"/>
  <c r="L361" i="75" s="1"/>
  <c r="N75" i="77" s="1"/>
  <c r="J209" i="79"/>
  <c r="E54" i="97" s="1"/>
  <c r="AU87" i="92"/>
  <c r="G177" i="79"/>
  <c r="BI87" i="92" s="1"/>
  <c r="J192" i="79"/>
  <c r="E44" i="97" s="1"/>
  <c r="F310" i="75"/>
  <c r="M312" i="75" s="1"/>
  <c r="F295" i="82"/>
  <c r="L271" i="75"/>
  <c r="BY41" i="77" s="1"/>
  <c r="L270" i="75"/>
  <c r="BY39" i="77" s="1"/>
  <c r="L269" i="75"/>
  <c r="BY38" i="77" s="1"/>
  <c r="L268" i="75"/>
  <c r="BY37" i="77" s="1"/>
  <c r="L267" i="75"/>
  <c r="BY36" i="77" s="1"/>
  <c r="F306" i="75"/>
  <c r="AU91" i="92"/>
  <c r="G179" i="79"/>
  <c r="BI91" i="92" s="1"/>
  <c r="J94" i="75"/>
  <c r="AU91" i="93"/>
  <c r="G179" i="82"/>
  <c r="BI91" i="93" s="1"/>
  <c r="AU85" i="93"/>
  <c r="E181" i="82"/>
  <c r="G176" i="82"/>
  <c r="BI85" i="93" s="1"/>
  <c r="AU89" i="92"/>
  <c r="G178" i="79"/>
  <c r="BI89" i="92" s="1"/>
  <c r="CB57" i="77"/>
  <c r="CB75" i="77"/>
  <c r="I208" i="82"/>
  <c r="D73" i="97" s="1"/>
  <c r="I208" i="79"/>
  <c r="D53" i="97" s="1"/>
  <c r="J191" i="79"/>
  <c r="D44" i="97" s="1"/>
  <c r="J106" i="75"/>
  <c r="N243" i="52"/>
  <c r="J95" i="75"/>
  <c r="J107" i="75"/>
  <c r="F276" i="52"/>
  <c r="H191" i="52"/>
  <c r="D22" i="97" s="1"/>
  <c r="CD130" i="91"/>
  <c r="V130" i="91"/>
  <c r="N237" i="52"/>
  <c r="J209" i="52"/>
  <c r="E34" i="97" s="1"/>
  <c r="F279" i="52"/>
  <c r="F298" i="52"/>
  <c r="BS85" i="91"/>
  <c r="F295" i="52"/>
  <c r="BI87" i="91"/>
  <c r="BI91" i="91"/>
  <c r="AU87" i="91"/>
  <c r="N244" i="52"/>
  <c r="N240" i="52"/>
  <c r="J192" i="52"/>
  <c r="E24" i="97" s="1"/>
  <c r="H208" i="52"/>
  <c r="D32" i="97" s="1"/>
  <c r="J219" i="75"/>
  <c r="D287" i="75"/>
  <c r="M288" i="75" s="1"/>
  <c r="D349" i="75"/>
  <c r="J361" i="75" s="1"/>
  <c r="L75" i="77" s="1"/>
  <c r="J268" i="75"/>
  <c r="BQ37" i="77" s="1"/>
  <c r="J269" i="75"/>
  <c r="BQ38" i="77" s="1"/>
  <c r="J267" i="75"/>
  <c r="BQ36" i="77" s="1"/>
  <c r="J270" i="75"/>
  <c r="BQ39" i="77" s="1"/>
  <c r="J271" i="75"/>
  <c r="BQ41" i="77" s="1"/>
  <c r="D270" i="75"/>
  <c r="BQ20" i="77" s="1"/>
  <c r="D271" i="75"/>
  <c r="BQ21" i="77" s="1"/>
  <c r="D267" i="75"/>
  <c r="BQ17" i="77" s="1"/>
  <c r="D268" i="75"/>
  <c r="BQ18" i="77" s="1"/>
  <c r="D269" i="75"/>
  <c r="BQ19" i="77" s="1"/>
  <c r="G174" i="75"/>
  <c r="H125" i="75"/>
  <c r="G180" i="52"/>
  <c r="H123" i="75"/>
  <c r="G172" i="75"/>
  <c r="D310" i="75"/>
  <c r="E181" i="52"/>
  <c r="AU96" i="91" s="1"/>
  <c r="G176" i="52"/>
  <c r="D306" i="75"/>
  <c r="G178" i="52"/>
  <c r="N134" i="75"/>
  <c r="N175" i="75"/>
  <c r="N131" i="75"/>
  <c r="H124" i="75"/>
  <c r="G173" i="75"/>
  <c r="H122" i="75"/>
  <c r="J138" i="52"/>
  <c r="N177" i="75"/>
  <c r="N132" i="75"/>
  <c r="N181" i="75" s="1"/>
  <c r="E153" i="75"/>
  <c r="E137" i="75"/>
  <c r="F121" i="75"/>
  <c r="E170" i="75"/>
  <c r="M362" i="75"/>
  <c r="Q76" i="77" s="1"/>
  <c r="P215" i="52"/>
  <c r="P198" i="52"/>
  <c r="N133" i="75"/>
  <c r="M331" i="75"/>
  <c r="G330" i="75"/>
  <c r="K327" i="75" s="1"/>
  <c r="J191" i="82" l="1"/>
  <c r="D64" i="97" s="1"/>
  <c r="N208" i="75"/>
  <c r="N212" i="75"/>
  <c r="G171" i="75"/>
  <c r="AQ30" i="77"/>
  <c r="N211" i="75"/>
  <c r="N205" i="75"/>
  <c r="N182" i="75"/>
  <c r="G306" i="75"/>
  <c r="N183" i="75"/>
  <c r="E353" i="75"/>
  <c r="N180" i="75"/>
  <c r="F294" i="75"/>
  <c r="G294" i="75" s="1"/>
  <c r="AK75" i="77" s="1"/>
  <c r="O244" i="79"/>
  <c r="M219" i="75"/>
  <c r="BE12" i="77" s="1"/>
  <c r="S75" i="77"/>
  <c r="AU96" i="92"/>
  <c r="G181" i="79"/>
  <c r="BI96" i="92" s="1"/>
  <c r="M290" i="75"/>
  <c r="F353" i="75"/>
  <c r="J138" i="82"/>
  <c r="H154" i="75"/>
  <c r="G349" i="75"/>
  <c r="D59" i="77" s="1"/>
  <c r="K209" i="79"/>
  <c r="E55" i="97" s="1"/>
  <c r="F337" i="75"/>
  <c r="G337" i="75" s="1"/>
  <c r="BZ75" i="77" s="1"/>
  <c r="H138" i="75"/>
  <c r="J138" i="79"/>
  <c r="K192" i="82"/>
  <c r="E65" i="97" s="1"/>
  <c r="AU96" i="93"/>
  <c r="G181" i="82"/>
  <c r="BI96" i="93" s="1"/>
  <c r="K192" i="79"/>
  <c r="E45" i="97" s="1"/>
  <c r="K209" i="82"/>
  <c r="E75" i="97" s="1"/>
  <c r="K191" i="79"/>
  <c r="D45" i="97" s="1"/>
  <c r="J208" i="79"/>
  <c r="D54" i="97" s="1"/>
  <c r="K191" i="82"/>
  <c r="D65" i="97" s="1"/>
  <c r="J208" i="82"/>
  <c r="D74" i="97" s="1"/>
  <c r="J104" i="91"/>
  <c r="I191" i="52"/>
  <c r="D23" i="97" s="1"/>
  <c r="AU104" i="91"/>
  <c r="BI89" i="91"/>
  <c r="I208" i="52"/>
  <c r="D33" i="97" s="1"/>
  <c r="K209" i="52"/>
  <c r="E35" i="97" s="1"/>
  <c r="BI93" i="91"/>
  <c r="O244" i="52"/>
  <c r="BI85" i="91"/>
  <c r="K192" i="52"/>
  <c r="E25" i="97" s="1"/>
  <c r="G287" i="75"/>
  <c r="K284" i="75" s="1"/>
  <c r="I122" i="75"/>
  <c r="K138" i="52"/>
  <c r="G310" i="75"/>
  <c r="K306" i="75" s="1"/>
  <c r="M310" i="75"/>
  <c r="F137" i="75"/>
  <c r="G121" i="75"/>
  <c r="F170" i="75"/>
  <c r="F153" i="75"/>
  <c r="H173" i="75"/>
  <c r="I124" i="75"/>
  <c r="D353" i="75"/>
  <c r="I123" i="75"/>
  <c r="H172" i="75"/>
  <c r="G181" i="52"/>
  <c r="I125" i="75"/>
  <c r="H174" i="75"/>
  <c r="H171" i="75" l="1"/>
  <c r="O212" i="75"/>
  <c r="M361" i="75"/>
  <c r="Q75" i="77" s="1"/>
  <c r="I138" i="75"/>
  <c r="K138" i="79"/>
  <c r="L192" i="82"/>
  <c r="E66" i="97" s="1"/>
  <c r="L209" i="79"/>
  <c r="E56" i="97" s="1"/>
  <c r="L209" i="82"/>
  <c r="E76" i="97" s="1"/>
  <c r="I154" i="75"/>
  <c r="K138" i="82"/>
  <c r="L192" i="79"/>
  <c r="E46" i="97" s="1"/>
  <c r="L191" i="82"/>
  <c r="D66" i="97" s="1"/>
  <c r="L191" i="79"/>
  <c r="D46" i="97" s="1"/>
  <c r="K208" i="82"/>
  <c r="D75" i="97" s="1"/>
  <c r="K208" i="79"/>
  <c r="D55" i="97" s="1"/>
  <c r="L192" i="52"/>
  <c r="E26" i="97" s="1"/>
  <c r="L209" i="52"/>
  <c r="E36" i="97" s="1"/>
  <c r="J191" i="52"/>
  <c r="D24" i="97" s="1"/>
  <c r="BI96" i="91"/>
  <c r="J208" i="52"/>
  <c r="D34" i="97" s="1"/>
  <c r="G353" i="75"/>
  <c r="I63" i="77" s="1"/>
  <c r="J123" i="75"/>
  <c r="I172" i="75"/>
  <c r="G137" i="75"/>
  <c r="H121" i="75"/>
  <c r="G170" i="75"/>
  <c r="G153" i="75"/>
  <c r="J125" i="75"/>
  <c r="I174" i="75"/>
  <c r="I173" i="75"/>
  <c r="J124" i="75"/>
  <c r="J122" i="75"/>
  <c r="L138" i="52"/>
  <c r="I171" i="75" l="1"/>
  <c r="M192" i="79"/>
  <c r="E47" i="97" s="1"/>
  <c r="J154" i="75"/>
  <c r="L138" i="82"/>
  <c r="M209" i="79"/>
  <c r="E57" i="97" s="1"/>
  <c r="M209" i="82"/>
  <c r="E77" i="97" s="1"/>
  <c r="M192" i="82"/>
  <c r="E67" i="97" s="1"/>
  <c r="J138" i="75"/>
  <c r="L138" i="79"/>
  <c r="L208" i="82"/>
  <c r="D76" i="97" s="1"/>
  <c r="M191" i="82"/>
  <c r="D67" i="97" s="1"/>
  <c r="L208" i="79"/>
  <c r="D56" i="97" s="1"/>
  <c r="M191" i="79"/>
  <c r="D47" i="97" s="1"/>
  <c r="M209" i="52"/>
  <c r="E37" i="97" s="1"/>
  <c r="K208" i="52"/>
  <c r="D35" i="97" s="1"/>
  <c r="K191" i="52"/>
  <c r="D25" i="97" s="1"/>
  <c r="M192" i="52"/>
  <c r="E27" i="97" s="1"/>
  <c r="K125" i="75"/>
  <c r="J174" i="75"/>
  <c r="K123" i="75"/>
  <c r="J172" i="75"/>
  <c r="K122" i="75"/>
  <c r="M138" i="52"/>
  <c r="H170" i="75"/>
  <c r="H137" i="75"/>
  <c r="I121" i="75"/>
  <c r="H153" i="75"/>
  <c r="J173" i="75"/>
  <c r="K124" i="75"/>
  <c r="J171" i="75" l="1"/>
  <c r="N192" i="82"/>
  <c r="E68" i="97" s="1"/>
  <c r="N209" i="82"/>
  <c r="E78" i="97" s="1"/>
  <c r="K138" i="75"/>
  <c r="M138" i="79"/>
  <c r="N209" i="79"/>
  <c r="E58" i="97" s="1"/>
  <c r="K154" i="75"/>
  <c r="M138" i="82"/>
  <c r="N192" i="79"/>
  <c r="E48" i="97" s="1"/>
  <c r="M208" i="79"/>
  <c r="D57" i="97" s="1"/>
  <c r="M208" i="82"/>
  <c r="D77" i="97" s="1"/>
  <c r="N191" i="79"/>
  <c r="D48" i="97" s="1"/>
  <c r="N191" i="82"/>
  <c r="D68" i="97" s="1"/>
  <c r="N192" i="52"/>
  <c r="E28" i="97" s="1"/>
  <c r="L208" i="52"/>
  <c r="D36" i="97" s="1"/>
  <c r="L191" i="52"/>
  <c r="D26" i="97" s="1"/>
  <c r="N209" i="52"/>
  <c r="E38" i="97" s="1"/>
  <c r="L122" i="75"/>
  <c r="N138" i="52"/>
  <c r="L124" i="75"/>
  <c r="K173" i="75"/>
  <c r="K172" i="75"/>
  <c r="L123" i="75"/>
  <c r="I170" i="75"/>
  <c r="I153" i="75"/>
  <c r="I137" i="75"/>
  <c r="J121" i="75"/>
  <c r="L125" i="75"/>
  <c r="K174" i="75"/>
  <c r="O192" i="82" l="1"/>
  <c r="K171" i="75"/>
  <c r="O192" i="79"/>
  <c r="L154" i="75"/>
  <c r="N138" i="82"/>
  <c r="O209" i="79"/>
  <c r="L138" i="75"/>
  <c r="N138" i="79"/>
  <c r="O209" i="82"/>
  <c r="N208" i="82"/>
  <c r="D78" i="97" s="1"/>
  <c r="N208" i="79"/>
  <c r="D58" i="97" s="1"/>
  <c r="M208" i="52"/>
  <c r="D37" i="97" s="1"/>
  <c r="O209" i="52"/>
  <c r="M191" i="52"/>
  <c r="D27" i="97" s="1"/>
  <c r="O192" i="52"/>
  <c r="L172" i="75"/>
  <c r="M123" i="75"/>
  <c r="M124" i="75"/>
  <c r="L173" i="75"/>
  <c r="J170" i="75"/>
  <c r="J153" i="75"/>
  <c r="J137" i="75"/>
  <c r="K121" i="75"/>
  <c r="M125" i="75"/>
  <c r="L174" i="75"/>
  <c r="M122" i="75"/>
  <c r="O138" i="52"/>
  <c r="N122" i="75" s="1"/>
  <c r="L171" i="75" l="1"/>
  <c r="M138" i="75"/>
  <c r="O138" i="79"/>
  <c r="N138" i="75" s="1"/>
  <c r="M154" i="75"/>
  <c r="O138" i="82"/>
  <c r="N154" i="75" s="1"/>
  <c r="N191" i="52"/>
  <c r="D28" i="97" s="1"/>
  <c r="N208" i="52"/>
  <c r="D38" i="97" s="1"/>
  <c r="M174" i="75"/>
  <c r="N174" i="75" s="1"/>
  <c r="N125" i="75"/>
  <c r="K170" i="75"/>
  <c r="K153" i="75"/>
  <c r="K137" i="75"/>
  <c r="L121" i="75"/>
  <c r="M173" i="75"/>
  <c r="N173" i="75" s="1"/>
  <c r="N124" i="75"/>
  <c r="M172" i="75"/>
  <c r="N172" i="75" s="1"/>
  <c r="N123" i="75"/>
  <c r="M171" i="75" l="1"/>
  <c r="N171" i="75" s="1"/>
  <c r="L153" i="75"/>
  <c r="L137" i="75"/>
  <c r="M121" i="75"/>
  <c r="L170" i="75"/>
  <c r="M153" i="75" l="1"/>
  <c r="M137" i="75"/>
  <c r="M170" i="75"/>
  <c r="C2" i="91" l="1"/>
  <c r="C2" i="77" l="1"/>
  <c r="C4" i="91" l="1"/>
  <c r="C4" i="7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D13" authorId="0" shapeId="0" xr:uid="{00000000-0006-0000-0000-000001000000}">
      <text>
        <r>
          <rPr>
            <sz val="9"/>
            <color indexed="81"/>
            <rFont val="Tahoma"/>
            <family val="2"/>
          </rPr>
          <t>Choix 1 (3 formulaires) :
     Formulaire Eau potable
     Formulaire Eaux usées
     Formulaire Eaux pluviales
Choix 2 (2 formulaires) :
     Formulaire Eau potable
     Formulaire Eaux usées+Eaux pluviales</t>
        </r>
      </text>
    </comment>
    <comment ref="A17" authorId="0" shapeId="0" xr:uid="{00000000-0006-0000-0000-000002000000}">
      <text>
        <r>
          <rPr>
            <sz val="9"/>
            <color indexed="81"/>
            <rFont val="Tahoma"/>
            <family val="2"/>
          </rPr>
          <t>Cellule utilisée pour trouver le code géo cible dans le code VBA de la macro d'importaion. Défini ici comme une plage nommée (C_target_code_geo)</t>
        </r>
      </text>
    </comment>
    <comment ref="A18" authorId="0" shapeId="0" xr:uid="{00000000-0006-0000-0000-000003000000}">
      <text>
        <r>
          <rPr>
            <sz val="9"/>
            <color indexed="81"/>
            <rFont val="Tahoma"/>
            <family val="2"/>
          </rPr>
          <t>Formule différente pour la ligne 3 "Eeau pluviale" car, si le c'est le "Choix 2" la ligne sera vide car elle sera incluse dans l'eau usée.</t>
        </r>
      </text>
    </comment>
    <comment ref="D18" authorId="0" shapeId="0" xr:uid="{00000000-0006-0000-0000-000004000000}">
      <text>
        <r>
          <rPr>
            <sz val="9"/>
            <color indexed="81"/>
            <rFont val="Tahoma"/>
            <family val="2"/>
          </rPr>
          <t>Formule différente pour la ligne 3 "Eeau pluviale" car, si le c'est le "Choix 2" la ligne sera vide car elle sera incluse dans l'eau usée.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A18" authorId="0" shapeId="0" xr:uid="{00000000-0006-0000-0100-000001000000}">
      <text>
        <r>
          <rPr>
            <sz val="9"/>
            <color indexed="81"/>
            <rFont val="Tahoma"/>
            <family val="2"/>
          </rPr>
          <t>Formule différente pour chaque catégorie d'infrastructure :
- Eau potable
- Eaux usées
- Eaux pluviales</t>
        </r>
      </text>
    </comment>
  </commentList>
</comments>
</file>

<file path=xl/sharedStrings.xml><?xml version="1.0" encoding="utf-8"?>
<sst xmlns="http://schemas.openxmlformats.org/spreadsheetml/2006/main" count="9983" uniqueCount="4054">
  <si>
    <t>PARTIE 1 IDENTIFICATION</t>
  </si>
  <si>
    <t>PARTIE 2 PORTRAIT</t>
  </si>
  <si>
    <t>PARTIE 3 NIVEAUX DE SERVICE</t>
  </si>
  <si>
    <t>PARTIE 4 RISQUES ET DEMANDE</t>
  </si>
  <si>
    <t>PARTIE 5 PLANIFICATION SUR LES CYCLE DE VIE</t>
  </si>
  <si>
    <t>PARTIE 6 RÉSUMÉ FINANCIER</t>
  </si>
  <si>
    <t>PARTIE 7 AMÉLIORATION ET SUIVI</t>
  </si>
  <si>
    <t>EN TÊTE</t>
  </si>
  <si>
    <t>PORTRAIT Visuel 1</t>
  </si>
  <si>
    <t>PORTRAIT Visuels 2 à 5</t>
  </si>
  <si>
    <t>NIVEAU DE SERVICE Visuel 1</t>
  </si>
  <si>
    <t>NIVEAU DE SERVICE Visuel 2</t>
  </si>
  <si>
    <t>NIVEAU DE SERVICE Visuel 3</t>
  </si>
  <si>
    <t>DEMANDE Visuel 1</t>
  </si>
  <si>
    <t>RISQUES Visuel 1</t>
  </si>
  <si>
    <t>PLANIFICATION CYCLE DE VIE  Visuel 1</t>
  </si>
  <si>
    <t>PLANIFICATION CYCLE DE VIE  Visuel 4</t>
  </si>
  <si>
    <t>RÉSUMÉ FINANCIER  Visuel 1</t>
  </si>
  <si>
    <t>RÉSUMÉ FINANCIER  Visuel 2</t>
  </si>
  <si>
    <t>RÉSUMÉ FINANCIER  Visuel 3</t>
  </si>
  <si>
    <t xml:space="preserve">Visuel 1 NIVEAU DE PROGRESSION </t>
  </si>
  <si>
    <t>Visuel 2 NIVEAU DE CONFIANCE</t>
  </si>
  <si>
    <t>Valeur de remplacement ($)</t>
  </si>
  <si>
    <t>Inventaire</t>
  </si>
  <si>
    <t>Confiance valeur et inventaire</t>
  </si>
  <si>
    <t>ATTENTION: RÉPONSE DE LA MUNICIPALITÉ À LA 1ERE QUESTION / SOUS-SERVICE</t>
  </si>
  <si>
    <t>Indicateur de performance</t>
  </si>
  <si>
    <t>Catégories de changements</t>
  </si>
  <si>
    <t>Catégories de risques</t>
  </si>
  <si>
    <t>Niveau de confiance associé</t>
  </si>
  <si>
    <t>Répartition des besoins totaux 10 ans par catégories de coûts</t>
  </si>
  <si>
    <t>Fonctionnement</t>
  </si>
  <si>
    <t>Immobilisations</t>
  </si>
  <si>
    <t>Confiance</t>
  </si>
  <si>
    <t>LINÉAIRE</t>
  </si>
  <si>
    <t>PONCTUEL</t>
  </si>
  <si>
    <t>EXIGENCES ET MISES AUX NORMES À SURVEILLER</t>
  </si>
  <si>
    <t>Démographiques</t>
  </si>
  <si>
    <t>Climatiques</t>
  </si>
  <si>
    <t>Cadre légal et règlementaire</t>
  </si>
  <si>
    <t>Économiques</t>
  </si>
  <si>
    <t>Technologiques</t>
  </si>
  <si>
    <t xml:space="preserve">Autre </t>
  </si>
  <si>
    <t>Manque d'informations</t>
  </si>
  <si>
    <t>Changements climatiques</t>
  </si>
  <si>
    <t>Sous-financement</t>
  </si>
  <si>
    <t>Dotation de personnel</t>
  </si>
  <si>
    <t>Actifs critiques</t>
  </si>
  <si>
    <t>Coûts permettant de rattrapper le retard</t>
  </si>
  <si>
    <t>Coûts additionnels</t>
  </si>
  <si>
    <t>Financement estimé pour le fonctionnement</t>
  </si>
  <si>
    <t>Coûts prévus pour l'exploitation et pour l'entretien</t>
  </si>
  <si>
    <t>Financement estimé pour le renouvellement</t>
  </si>
  <si>
    <t>Coûts prévus pour le renouvellement</t>
  </si>
  <si>
    <t>Financement estimé pour les acquisitions/dispositions</t>
  </si>
  <si>
    <t>Coûts prévus pour l'acquisition et la disposition</t>
  </si>
  <si>
    <t>Nb d'objectifs court terme</t>
  </si>
  <si>
    <t>Cote /5</t>
  </si>
  <si>
    <t>Linéaire</t>
  </si>
  <si>
    <t>Ponctuel</t>
  </si>
  <si>
    <t>Autres actifs</t>
  </si>
  <si>
    <t>Très bon 
(A)</t>
  </si>
  <si>
    <t>Bon 
(B)</t>
  </si>
  <si>
    <t>Satisfaisant 
(C)</t>
  </si>
  <si>
    <t>Mauvais 
(D)</t>
  </si>
  <si>
    <t>Très mauvais 
(E)</t>
  </si>
  <si>
    <t>Inconnu</t>
  </si>
  <si>
    <t>CCV - Fonct - Budget</t>
  </si>
  <si>
    <t>CCV - Immo - Budget</t>
  </si>
  <si>
    <t>CCV - Fonct - Prévisions Exploitation&amp;Entretien</t>
  </si>
  <si>
    <t>CCV - Immo - Prévisions Renouvellement</t>
  </si>
  <si>
    <t>CCV - Immo - Prévisions Acquisition/dispositions</t>
  </si>
  <si>
    <t>Gestion des niveaux de service</t>
  </si>
  <si>
    <t>Gestion des risques</t>
  </si>
  <si>
    <t>Gestion de la demande à venir</t>
  </si>
  <si>
    <t>Immobilisation</t>
  </si>
  <si>
    <t>Déficit de maintien d'actifs (renouvellement)</t>
  </si>
  <si>
    <t>Fonctionnement supplémentaire résultant des acquisitions</t>
  </si>
  <si>
    <t>Gestion niveaux de service, risques et demande à venir</t>
  </si>
  <si>
    <t>Coûts prévisionnels totaux (besoins totaux)</t>
  </si>
  <si>
    <t>Revenus du gouvernement provincial</t>
  </si>
  <si>
    <t>Revenus générés par la municipalité</t>
  </si>
  <si>
    <t>Budget total planifié par la municipalité</t>
  </si>
  <si>
    <t>Déficit de financement</t>
  </si>
  <si>
    <t>Excédent de fonctionnement</t>
  </si>
  <si>
    <t>Financement du gouvernement provincial</t>
  </si>
  <si>
    <t>Autres types de financement</t>
  </si>
  <si>
    <t>Portrait</t>
  </si>
  <si>
    <t>Niv.Service</t>
  </si>
  <si>
    <t>Risques</t>
  </si>
  <si>
    <t>Demande</t>
  </si>
  <si>
    <t>CCV Immo.</t>
  </si>
  <si>
    <t>CCV Fonct.</t>
  </si>
  <si>
    <t>Financement</t>
  </si>
  <si>
    <t>Global</t>
  </si>
  <si>
    <t>Cumulatif</t>
  </si>
  <si>
    <t>Eau potable</t>
  </si>
  <si>
    <t>Eaux usées</t>
  </si>
  <si>
    <t>Eaux pluviales</t>
  </si>
  <si>
    <t>PLANIFICATION CYCLE DE VIE  Visuel 3</t>
  </si>
  <si>
    <t>Budget actuel</t>
  </si>
  <si>
    <t>Exploitation</t>
  </si>
  <si>
    <t>Entretien</t>
  </si>
  <si>
    <t>Renouvellement</t>
  </si>
  <si>
    <t>Acquisition</t>
  </si>
  <si>
    <t>Disposition</t>
  </si>
  <si>
    <t>Distribution</t>
  </si>
  <si>
    <t>Collecte</t>
  </si>
  <si>
    <t>Traitement</t>
  </si>
  <si>
    <t>CHIFFRIER EXCEL POUR L'ÉLABORATION D'UN PLAN DE GESTION DES ACTIFS EN EAU</t>
  </si>
  <si>
    <t>MISE EN CONTEXTE</t>
  </si>
  <si>
    <r>
      <t xml:space="preserve">
Le chiffrier Excel est un outil réalisé dans le cadre du projet "Outils pour la réalisation d'un plan de gestion des actifs en eau".  
Il a été conçu par l’équipe du CERIU, en collaboration avec plusieurs comités de professionnels municipaux pilotés par le MAMH.
Dans un objectif d'accompagnement, le présent chiffrier permet de saisir les données pertinentes afin d'élaborer le Plan de gestion des actifs en eau (PGA-Eau).</t>
    </r>
    <r>
      <rPr>
        <sz val="11"/>
        <color theme="1"/>
        <rFont val="Calibri"/>
        <family val="2"/>
        <scheme val="minor"/>
      </rPr>
      <t xml:space="preserve">
Une fois le chiffrier rempli, vous pouvez élaborer votre PGA-Eau en complétant le plan type (voir ci-dessous).                                                                     </t>
    </r>
  </si>
  <si>
    <t xml:space="preserve">PRÉSENTATION DES AUTRES OUTILS DU PGA </t>
  </si>
  <si>
    <t>Type d'outil</t>
  </si>
  <si>
    <t>Description</t>
  </si>
  <si>
    <t>Action à réaliser</t>
  </si>
  <si>
    <t>Type d'actifs</t>
  </si>
  <si>
    <t>Plan type Plan de gestion des actifs municipaux en eau</t>
  </si>
  <si>
    <t>C’est un document servant de gabarit pour réaliser un plan de gestion des actifs en eau. L’utilisateur remplit le gabarit en y intégrant les visuels issus du chiffrier Excel et en ajoutant ses commentaires et constats. Ce document vous orientera dans la prise de décisions éclairées car il rassemble les éléments clés de la gestion d’actifs, facilitant ainsi la communication de ceux-ci entre les intervenants.</t>
  </si>
  <si>
    <t>À remplir</t>
  </si>
  <si>
    <t>Actifs en eau</t>
  </si>
  <si>
    <t>Guide d’élaboration d’un plan de gestion d’actifs municipaux</t>
  </si>
  <si>
    <t>Le guide est un document à consulter par l’utilisateur afin de comprendre les principes fondamentaux pour la réalisation d’un plan de gestion d’actifs municipaux (en eau, bâtiments, chaussées, etc.).</t>
  </si>
  <si>
    <t>À consulter</t>
  </si>
  <si>
    <t>Actifs en général</t>
  </si>
  <si>
    <t>Fiches techniques adaptées aux infrastructures en eau</t>
  </si>
  <si>
    <t xml:space="preserve">Au nombre de 22, les fiches expliquent à partir d’exemples les étapes à suivre pour réaliser chaque partie du plan de gestion des actifs en eau. Chaque fiche est représentée par un code et couvre les différents services d'eau (eau potable, eaux usées, eaux pluviales). </t>
  </si>
  <si>
    <t xml:space="preserve">Actifs en eau </t>
  </si>
  <si>
    <t>Document type Démarche de gestion des actifs municipaux</t>
  </si>
  <si>
    <t>Actifs en général 
ou en eau</t>
  </si>
  <si>
    <t>MODE D'EMPLOI</t>
  </si>
  <si>
    <t xml:space="preserve">
https://fr.surveymonkey.com/r/PGA-Eau </t>
  </si>
  <si>
    <t>Prendre note que le chiffrier est protégé par un mot de passe afin de garantir un fonctionnement optimal et éviter toute problématique liée à son utilisation.</t>
  </si>
  <si>
    <r>
      <rPr>
        <b/>
        <sz val="12"/>
        <color theme="1"/>
        <rFont val="Calibri"/>
        <family val="2"/>
        <scheme val="minor"/>
      </rPr>
      <t>Afin d'alléger l'utilisation du chiffrier</t>
    </r>
    <r>
      <rPr>
        <sz val="11"/>
        <color theme="1"/>
        <rFont val="Calibri"/>
        <family val="2"/>
        <scheme val="minor"/>
      </rPr>
      <t xml:space="preserve">, il est recommandé de </t>
    </r>
    <r>
      <rPr>
        <u/>
        <sz val="11"/>
        <color theme="1"/>
        <rFont val="Calibri"/>
        <family val="2"/>
        <scheme val="minor"/>
      </rPr>
      <t xml:space="preserve">modifier vos options de calculs </t>
    </r>
    <r>
      <rPr>
        <sz val="11"/>
        <color theme="1"/>
        <rFont val="Calibri"/>
        <family val="2"/>
        <scheme val="minor"/>
      </rPr>
      <t xml:space="preserve">afin que le chiffrier ne se recalcule pas automatiquement à chaque saisie de donnée. </t>
    </r>
  </si>
  <si>
    <r>
      <t>Pour ce faire, procédez de la manière suivante:  Allez dans "</t>
    </r>
    <r>
      <rPr>
        <i/>
        <sz val="11"/>
        <color theme="1"/>
        <rFont val="Calibri"/>
        <family val="2"/>
        <scheme val="minor"/>
      </rPr>
      <t>Formules</t>
    </r>
    <r>
      <rPr>
        <sz val="11"/>
        <color theme="1"/>
        <rFont val="Calibri"/>
        <family val="2"/>
        <scheme val="minor"/>
      </rPr>
      <t>", puis "</t>
    </r>
    <r>
      <rPr>
        <i/>
        <sz val="11"/>
        <color theme="1"/>
        <rFont val="Calibri"/>
        <family val="2"/>
        <scheme val="minor"/>
      </rPr>
      <t>Options de calcul</t>
    </r>
    <r>
      <rPr>
        <sz val="11"/>
        <color theme="1"/>
        <rFont val="Calibri"/>
        <family val="2"/>
        <scheme val="minor"/>
      </rPr>
      <t>", et choisissez l'option "</t>
    </r>
    <r>
      <rPr>
        <i/>
        <sz val="11"/>
        <color theme="1"/>
        <rFont val="Calibri"/>
        <family val="2"/>
        <scheme val="minor"/>
      </rPr>
      <t>Manuel</t>
    </r>
    <r>
      <rPr>
        <sz val="11"/>
        <color theme="1"/>
        <rFont val="Calibri"/>
        <family val="2"/>
        <scheme val="minor"/>
      </rPr>
      <t>".</t>
    </r>
  </si>
  <si>
    <r>
      <rPr>
        <b/>
        <i/>
        <sz val="11"/>
        <color theme="1"/>
        <rFont val="Calibri"/>
        <family val="2"/>
        <scheme val="minor"/>
      </rPr>
      <t>N'oubliez pas toutefois d'utiliser l'option "Calculer maintenant" afin que les résultats et visuels apparaissent</t>
    </r>
    <r>
      <rPr>
        <sz val="11"/>
        <color theme="1"/>
        <rFont val="Calibri"/>
        <family val="2"/>
        <scheme val="minor"/>
      </rPr>
      <t>, ce qui peut prendre quelques secondes.</t>
    </r>
  </si>
  <si>
    <r>
      <t xml:space="preserve">Vous pouvez également </t>
    </r>
    <r>
      <rPr>
        <u/>
        <sz val="11"/>
        <color theme="1"/>
        <rFont val="Calibri"/>
        <family val="2"/>
        <scheme val="minor"/>
      </rPr>
      <t>modifier vos options d'enregistrements automatique</t>
    </r>
    <r>
      <rPr>
        <sz val="11"/>
        <color theme="1"/>
        <rFont val="Calibri"/>
        <family val="2"/>
        <scheme val="minor"/>
      </rPr>
      <t xml:space="preserve">, puisque l'ensemble du chiffrier se recalcule à chaque enregistrement. </t>
    </r>
  </si>
  <si>
    <r>
      <t>Pour ce faire, procédez de la manière suivante:  Allez dans "</t>
    </r>
    <r>
      <rPr>
        <i/>
        <sz val="11"/>
        <color theme="1"/>
        <rFont val="Calibri"/>
        <family val="2"/>
        <scheme val="minor"/>
      </rPr>
      <t>Fichier</t>
    </r>
    <r>
      <rPr>
        <sz val="11"/>
        <color theme="1"/>
        <rFont val="Calibri"/>
        <family val="2"/>
        <scheme val="minor"/>
      </rPr>
      <t>", puis "</t>
    </r>
    <r>
      <rPr>
        <i/>
        <sz val="11"/>
        <color theme="1"/>
        <rFont val="Calibri"/>
        <family val="2"/>
        <scheme val="minor"/>
      </rPr>
      <t>Options</t>
    </r>
    <r>
      <rPr>
        <sz val="11"/>
        <color theme="1"/>
        <rFont val="Calibri"/>
        <family val="2"/>
        <scheme val="minor"/>
      </rPr>
      <t>", puis "</t>
    </r>
    <r>
      <rPr>
        <i/>
        <sz val="11"/>
        <color theme="1"/>
        <rFont val="Calibri"/>
        <family val="2"/>
        <scheme val="minor"/>
      </rPr>
      <t>Enregistrement</t>
    </r>
    <r>
      <rPr>
        <sz val="11"/>
        <color theme="1"/>
        <rFont val="Calibri"/>
        <family val="2"/>
        <scheme val="minor"/>
      </rPr>
      <t>", et indiquer le nombre de minutes désiré à "</t>
    </r>
    <r>
      <rPr>
        <i/>
        <sz val="11"/>
        <color theme="1"/>
        <rFont val="Calibri"/>
        <family val="2"/>
        <scheme val="minor"/>
      </rPr>
      <t>Enregistrer les informations de récupération automatique toutes les...</t>
    </r>
    <r>
      <rPr>
        <sz val="11"/>
        <color theme="1"/>
        <rFont val="Calibri"/>
        <family val="2"/>
        <scheme val="minor"/>
      </rPr>
      <t>".</t>
    </r>
  </si>
  <si>
    <t xml:space="preserve">Si vous rencontrez des difficultés techniques ou avez des questions et/ou suggestions d’amélioration sur le chiffrier, veuillez communiquer avec l’équipe du CERIU.  </t>
  </si>
  <si>
    <t xml:space="preserve">Ligne de soutien directe au (514) 360-6599 ou au gamunicipal@ceriu.qc.ca. </t>
  </si>
  <si>
    <t>Comprendre le chiffrier</t>
  </si>
  <si>
    <t xml:space="preserve">STRUCTURE ET FONCTIONNEMENT GÉNÉRAL </t>
  </si>
  <si>
    <r>
      <t xml:space="preserve">Le présent chiffrier permet de saisir les informations clés pour chaque service de l'eau (eau potable, eaux usées et eaux pluviales) 
de façon indépendante, afin d'obtenir un </t>
    </r>
    <r>
      <rPr>
        <u/>
        <sz val="12"/>
        <color theme="1"/>
        <rFont val="Calibri"/>
        <family val="2"/>
        <scheme val="minor"/>
      </rPr>
      <t>sommaire PGA par service</t>
    </r>
    <r>
      <rPr>
        <sz val="12"/>
        <color theme="1"/>
        <rFont val="Calibri"/>
        <family val="2"/>
        <scheme val="minor"/>
      </rPr>
      <t xml:space="preserve">,  ainsi qu'un </t>
    </r>
    <r>
      <rPr>
        <u/>
        <sz val="12"/>
        <color theme="1"/>
        <rFont val="Calibri"/>
        <family val="2"/>
        <scheme val="minor"/>
      </rPr>
      <t>sommaire général</t>
    </r>
    <r>
      <rPr>
        <sz val="12"/>
        <color theme="1"/>
        <rFont val="Calibri"/>
        <family val="2"/>
        <scheme val="minor"/>
      </rPr>
      <t xml:space="preserve"> pour les 3 services de l'eau.</t>
    </r>
  </si>
  <si>
    <t>&gt;&gt;  Vous pouvez utiliser le chiffrier selon 2 choix possibles :</t>
  </si>
  <si>
    <r>
      <rPr>
        <b/>
        <u/>
        <sz val="12"/>
        <color theme="1"/>
        <rFont val="Calibri"/>
        <family val="2"/>
        <scheme val="minor"/>
      </rPr>
      <t>CHOIX 1</t>
    </r>
    <r>
      <rPr>
        <sz val="11"/>
        <color theme="1"/>
        <rFont val="Calibri"/>
        <family val="2"/>
        <scheme val="minor"/>
      </rPr>
      <t xml:space="preserve">  Vous pouvez remplir les 3 formulaires qui sont chacun associé à l'un des 3 services de l'eau (Eau potable, Eaux usées, Eaux pluviales)</t>
    </r>
  </si>
  <si>
    <r>
      <rPr>
        <b/>
        <u/>
        <sz val="12"/>
        <color theme="1"/>
        <rFont val="Calibri"/>
        <family val="2"/>
        <scheme val="minor"/>
      </rPr>
      <t>CHOIX 2</t>
    </r>
    <r>
      <rPr>
        <sz val="11"/>
        <color theme="1"/>
        <rFont val="Calibri"/>
        <family val="2"/>
        <scheme val="minor"/>
      </rPr>
      <t xml:space="preserve">  Si vous n'êtes pas en mesure ou ne désirez pas départager le réseau d'eaux usées du réseau d'eaux pluviales à ce stade-ci,  vous pouvez remplir seulement le formulaire pour les eaux usées</t>
    </r>
  </si>
  <si>
    <t xml:space="preserve">                         en y intégrant les informations pour les eaux pluviales. Vous devez toutefois remplir également le formulaire pour l'eau potable indépendamment.</t>
  </si>
  <si>
    <t>Le présent schéma résume le fonctionnement du chiffrier:</t>
  </si>
  <si>
    <t>ONGLETS À CONSULTER</t>
  </si>
  <si>
    <t>ONGLETS À REMPLIR</t>
  </si>
  <si>
    <t xml:space="preserve">ONGLETS DE RÉSULTATS VISUELS AUTOMATIQUES </t>
  </si>
  <si>
    <t>ONGLETS D'AIDE</t>
  </si>
  <si>
    <t xml:space="preserve"> INTRODUCTION</t>
  </si>
  <si>
    <t xml:space="preserve"> FORMULAIRE PGA Eau potable</t>
  </si>
  <si>
    <t xml:space="preserve"> SOMMAIRE PGA Eau potable</t>
  </si>
  <si>
    <t>AIDE</t>
  </si>
  <si>
    <t>IDENTIFICATION</t>
  </si>
  <si>
    <t xml:space="preserve"> SOMMAIRE
 PGA EAU</t>
  </si>
  <si>
    <t xml:space="preserve"> FORMULAIRE PGA Eaux usées</t>
  </si>
  <si>
    <t xml:space="preserve"> SOMMAIRE PGA Eaux usées</t>
  </si>
  <si>
    <t>Liste municipalités</t>
  </si>
  <si>
    <t xml:space="preserve"> FORMULAIRE PGA Eaux pluviales</t>
  </si>
  <si>
    <t xml:space="preserve"> SOMMAIRE PGA Eaux pluviales</t>
  </si>
  <si>
    <r>
      <rPr>
        <sz val="11"/>
        <color theme="1"/>
        <rFont val="Calibri"/>
        <family val="2"/>
      </rPr>
      <t>▪</t>
    </r>
    <r>
      <rPr>
        <sz val="11"/>
        <color theme="1"/>
        <rFont val="Calibri"/>
        <family val="2"/>
        <scheme val="minor"/>
      </rPr>
      <t xml:space="preserve">  Il est conseillé de lire attentivement les onglets </t>
    </r>
    <r>
      <rPr>
        <b/>
        <u/>
        <sz val="12"/>
        <color theme="1"/>
        <rFont val="Calibri"/>
        <family val="2"/>
        <scheme val="minor"/>
      </rPr>
      <t>INTRODUCTION</t>
    </r>
    <r>
      <rPr>
        <sz val="12"/>
        <color theme="1"/>
        <rFont val="Calibri"/>
        <family val="2"/>
        <scheme val="minor"/>
      </rPr>
      <t xml:space="preserve"> et </t>
    </r>
    <r>
      <rPr>
        <b/>
        <u/>
        <sz val="12"/>
        <color theme="1"/>
        <rFont val="Calibri"/>
        <family val="2"/>
        <scheme val="minor"/>
      </rPr>
      <t>MODE D'EMPLOI</t>
    </r>
    <r>
      <rPr>
        <sz val="11"/>
        <color theme="1"/>
        <rFont val="Calibri"/>
        <family val="2"/>
        <scheme val="minor"/>
      </rPr>
      <t>, qui résument l'ensemble des informations permettant de comprendre rapidement le contexte, 
       les objectifs et le fonctionnement du chiffrier.</t>
    </r>
  </si>
  <si>
    <r>
      <t xml:space="preserve">▪  L'onglet </t>
    </r>
    <r>
      <rPr>
        <b/>
        <u/>
        <sz val="12"/>
        <color theme="1"/>
        <rFont val="Calibri"/>
        <family val="2"/>
        <scheme val="minor"/>
      </rPr>
      <t>SOMMAIRE PGA EAU</t>
    </r>
    <r>
      <rPr>
        <sz val="11"/>
        <color theme="1"/>
        <rFont val="Calibri"/>
        <family val="2"/>
        <scheme val="minor"/>
      </rPr>
      <t xml:space="preserve"> est un résumé synthèse des PGA par service présenté sous forme de tableau de bord. Il est généré automatiquement à partir des informations
      fournies dans les formulaires par service et ne peut être modifié.</t>
    </r>
  </si>
  <si>
    <r>
      <t xml:space="preserve">▪  L'onglet </t>
    </r>
    <r>
      <rPr>
        <b/>
        <u/>
        <sz val="12"/>
        <color theme="1"/>
        <rFont val="Calibri"/>
        <family val="2"/>
        <scheme val="minor"/>
      </rPr>
      <t>AIDE</t>
    </r>
    <r>
      <rPr>
        <sz val="11"/>
        <color theme="1"/>
        <rFont val="Calibri"/>
        <family val="2"/>
        <scheme val="minor"/>
      </rPr>
      <t xml:space="preserve"> contient une marche à suivre "pas-à-pas" pour utiliser le chiffrier, et peut donc être utilisé au besoin. Des hyperliens se retrouvent à différents endroits
      dans les formulaires pour une utilisation optimale.</t>
    </r>
  </si>
  <si>
    <t>Remplir le chiffrier</t>
  </si>
  <si>
    <t>STRUCTURE ET FONCTIONNEMENT DES ONGLETS À REMPLIR</t>
  </si>
  <si>
    <r>
      <t xml:space="preserve">&gt;&gt;  Dans l'onglet </t>
    </r>
    <r>
      <rPr>
        <b/>
        <u/>
        <sz val="12"/>
        <color theme="1"/>
        <rFont val="Calibri"/>
        <family val="2"/>
        <scheme val="minor"/>
      </rPr>
      <t>IDENTIFICATION</t>
    </r>
    <r>
      <rPr>
        <sz val="11"/>
        <color theme="1"/>
        <rFont val="Calibri"/>
        <family val="2"/>
        <scheme val="minor"/>
      </rPr>
      <t xml:space="preserve">, remplissez toutes les informations demandées concernant: </t>
    </r>
  </si>
  <si>
    <t>Partie A:  Compréhension des objectifs et des limites</t>
  </si>
  <si>
    <t>Partie B:  Copyright et conditions d'utilisation</t>
  </si>
  <si>
    <t xml:space="preserve">*** Une table des matières est disponible au début de l'onglet pour faire un suivi de ce qui est à remplir et de l'avancement quant à la saisie des informations demandées. </t>
  </si>
  <si>
    <t>Partie D:  Informations concernant le PGA-Eau</t>
  </si>
  <si>
    <t>Partie E:  Identification des répondants</t>
  </si>
  <si>
    <t>Partie F:  Grille de suivi PGA-Eau</t>
  </si>
  <si>
    <r>
      <t xml:space="preserve">&gt;&gt;  Dans chacun des onglets </t>
    </r>
    <r>
      <rPr>
        <b/>
        <u/>
        <sz val="12"/>
        <color theme="1"/>
        <rFont val="Calibri"/>
        <family val="2"/>
        <scheme val="minor"/>
      </rPr>
      <t>FORMULAIRES</t>
    </r>
    <r>
      <rPr>
        <sz val="11"/>
        <color theme="1"/>
        <rFont val="Calibri"/>
        <family val="2"/>
        <scheme val="minor"/>
      </rPr>
      <t xml:space="preserve">, remplissez toutes les informations demandées au meilleur de votre connaissance, 
      pour le </t>
    </r>
    <r>
      <rPr>
        <u/>
        <sz val="11"/>
        <color theme="1"/>
        <rFont val="Calibri"/>
        <family val="2"/>
        <scheme val="minor"/>
      </rPr>
      <t>service correspondant au formulaire uniquement</t>
    </r>
    <r>
      <rPr>
        <sz val="11"/>
        <color theme="1"/>
        <rFont val="Calibri"/>
        <family val="2"/>
        <scheme val="minor"/>
      </rPr>
      <t>, pour chacune des parties suivantes d'un PGA:</t>
    </r>
  </si>
  <si>
    <t>Partie 1:  Identification</t>
  </si>
  <si>
    <t>Partie 2:  Portrait des actifs</t>
  </si>
  <si>
    <t>Partie 3:  Niveaux de service</t>
  </si>
  <si>
    <t>Partie 4:  Risques et demande</t>
  </si>
  <si>
    <t>Partie 5:  Planification des coûts sur le cycle de vie</t>
  </si>
  <si>
    <t>Partie 6:  Résumé financier</t>
  </si>
  <si>
    <t>Partie 7:  Amélioration et suivi</t>
  </si>
  <si>
    <t>Partie 8:  Sommaire</t>
  </si>
  <si>
    <r>
      <t xml:space="preserve">   Notez que plusieurs des informations demandées pour chacune de ces parties le sont par sous-service. 
       </t>
    </r>
    <r>
      <rPr>
        <sz val="11"/>
        <color theme="1"/>
        <rFont val="Calibri"/>
        <family val="2"/>
      </rPr>
      <t xml:space="preserve">▪  </t>
    </r>
    <r>
      <rPr>
        <sz val="11"/>
        <color theme="1"/>
        <rFont val="Calibri"/>
        <family val="2"/>
        <scheme val="minor"/>
      </rPr>
      <t>Pour l'eau potable, on parle de "Approvisionnement et traitement" et de "Distribution". 
       ▪  Pour les eaux usées et pluviales, on parle de "Collecte" et "Traitement".
       (Pour plus de détails, voir les fiches PGA-Eau du CERIU).</t>
    </r>
  </si>
  <si>
    <t xml:space="preserve">&gt;&gt;  Peu importe la façon dont vous remplirez chaque formulaire (estimations sommaires ou précises, niveau de détails plus ou moins important, cases prioritaires seulement ou toutes les cases remplies, etc.), 
      il est nécessaire que vous évaluiez votre niveau de confiance dans les données saisies et votre niveau de progression dans la démarche pour chacune des parties du PGA (voir à la Partie 7), 
      selon les échelles proposées ci-dessous:
</t>
  </si>
  <si>
    <t>DESCRIPTION DES COTES</t>
  </si>
  <si>
    <t>1- Très faible</t>
  </si>
  <si>
    <t>Données considérées fiables sur 1-19% des actifs / Données basées exclusivement sur des éléments non documentés / Difficile d'évaluer la véracité et la représentativité des données</t>
  </si>
  <si>
    <t>NIVEAU DE CONFIANCE</t>
  </si>
  <si>
    <t>2- Faible</t>
  </si>
  <si>
    <t>Données considérées fiables sur 20-39% des actifs / Données basées essentiellement sur des éléments non documentés ou documentés mais datés / Données ne reflètent pas vraiment la réalité</t>
  </si>
  <si>
    <t>3- Moyen</t>
  </si>
  <si>
    <t>Données considérées fiables sur 40-59% des actifs / Données issues d'éléments documentés majoritairement à jour et d'éléments non documentés  / Données traduisent une partie de la réalité</t>
  </si>
  <si>
    <t>4- Bon</t>
  </si>
  <si>
    <t>Données considérées fiables sur 60-79% des actifs / Données issues d'éléments majoritairement documentés et à jour / Données considérées comme proche de la réalité</t>
  </si>
  <si>
    <t>5- Excellent</t>
  </si>
  <si>
    <t>Données considérées fiables sur 80-99% des actifs / Données basées exclusivement sur des éléments documentés et à jour / Données considérées comme représentatives de la réalité</t>
  </si>
  <si>
    <t>1- Débutant</t>
  </si>
  <si>
    <t>La municipalité débute la démarche.​ Elle prend connaissance de nouvelles notions avec lesquelles elle doit se familiariser.</t>
  </si>
  <si>
    <t>NIVEAU DE PROGRESSION</t>
  </si>
  <si>
    <t>2- Élémentaire</t>
  </si>
  <si>
    <t>La municipalité a entrepris la démarche en mettant quelques éléments en pratique.​  Elle comprend la majorité des notions présentes.​</t>
  </si>
  <si>
    <t>3- Intermédiaire</t>
  </si>
  <si>
    <t>La municipalité a bien avancé dans la démarche, il reste encore des éléments à compléter. ​ Elle connait l’ensemble des notions présentes.​</t>
  </si>
  <si>
    <t>4- Avancé</t>
  </si>
  <si>
    <t>La municipalité maîtrise l'ensemble de la démarche.  Elle est familière et sait travailler avec l’ensemble des notions présentes.​</t>
  </si>
  <si>
    <t>5- Expert</t>
  </si>
  <si>
    <t>La municipalité s'assure que la démarche est pérenne, cohérente, et que les informations restent à jour.​  Elle travaille habilement avec l’ensemble des notions présentes.</t>
  </si>
  <si>
    <t>LÉGENDE</t>
  </si>
  <si>
    <r>
      <t xml:space="preserve">&gt;&gt;  </t>
    </r>
    <r>
      <rPr>
        <u/>
        <sz val="11"/>
        <color theme="1"/>
        <rFont val="Calibri"/>
        <family val="2"/>
        <scheme val="minor"/>
      </rPr>
      <t>Afin d'obtenir des visuels pertinents et utiles dans les onglets sommaires</t>
    </r>
    <r>
      <rPr>
        <sz val="11"/>
        <color theme="1"/>
        <rFont val="Calibri"/>
        <family val="2"/>
        <scheme val="minor"/>
      </rPr>
      <t>, certaines cases sont prioritaires, d'autres sont souhaitables, et finalement certaines sont optionnelles.</t>
    </r>
  </si>
  <si>
    <t xml:space="preserve">Cases prioritaires </t>
  </si>
  <si>
    <t xml:space="preserve">Ces cases doivent absolument être remplies pour obtenir un portrait des actifs et une planification sommaire sur 10 ans. </t>
  </si>
  <si>
    <t xml:space="preserve">Cases souhaitables </t>
  </si>
  <si>
    <t xml:space="preserve">Cases complémentaires </t>
  </si>
  <si>
    <t xml:space="preserve">Ces cases permettent d'indiquer plusieurs informations complémentaires et utiles ou d'expliquer davantage les choix, les hypothèses et les estimations. </t>
  </si>
  <si>
    <t>Cases complétées</t>
  </si>
  <si>
    <t>Lorsque les cases prioritaires et certaines cases souhaitables sont remplies, leur couleur change afin de faciliter l'utilisation du formulaire.</t>
  </si>
  <si>
    <t>&gt;&gt;  Voici les différents statuts que vous retrouverez à chaque partie du formulaire à remplir:</t>
  </si>
  <si>
    <t>STATUT</t>
  </si>
  <si>
    <t>À compléter</t>
  </si>
  <si>
    <t>Indique que les cases prioritaires demandées ne sont pas toutes complétées dans l'encadré correspondant.</t>
  </si>
  <si>
    <r>
      <t>Complété</t>
    </r>
    <r>
      <rPr>
        <sz val="9"/>
        <color rgb="FF006100"/>
        <rFont val="Wingdings 3"/>
        <family val="1"/>
        <charset val="2"/>
      </rPr>
      <t xml:space="preserve">   </t>
    </r>
  </si>
  <si>
    <t>Indique que les cases prioritaires demandées dans l'encadré correspondant sont toutes complétées.</t>
  </si>
  <si>
    <t>&gt;&gt;  Voici les différents symboles que vous retrouverez dans les formulaires:</t>
  </si>
  <si>
    <t>u</t>
  </si>
  <si>
    <r>
      <t xml:space="preserve">Lignes avec cases prioritaires à remplir </t>
    </r>
    <r>
      <rPr>
        <i/>
        <sz val="10"/>
        <rFont val="Calibri"/>
        <family val="2"/>
        <scheme val="minor"/>
      </rPr>
      <t>(Ces symboles s'effaceront au fur et à mesure que vous remplissez le chiffrier)</t>
    </r>
  </si>
  <si>
    <t>w</t>
  </si>
  <si>
    <r>
      <t xml:space="preserve">Lignes avec cases souhaitables à remplir </t>
    </r>
    <r>
      <rPr>
        <i/>
        <sz val="10"/>
        <rFont val="Calibri"/>
        <family val="2"/>
        <scheme val="minor"/>
      </rPr>
      <t>(Ces symboles s'effaceront au fur et à mesure que vous remplissez le chiffrier)</t>
    </r>
  </si>
  <si>
    <t>&gt;&gt;</t>
  </si>
  <si>
    <t>Instructions / Explication des cases à remplir</t>
  </si>
  <si>
    <t>***</t>
  </si>
  <si>
    <t>Précisions / Notes importantes</t>
  </si>
  <si>
    <t>v</t>
  </si>
  <si>
    <t>Références pour obtenir plus d'aide</t>
  </si>
  <si>
    <t>Hyperlien proposé vers l'onglet AIDE pour la partie correspondante</t>
  </si>
  <si>
    <t>Menu déroulant disponible</t>
  </si>
  <si>
    <t>?</t>
  </si>
  <si>
    <t>Définitions / Explication de termes</t>
  </si>
  <si>
    <t>Lien</t>
  </si>
  <si>
    <t>Hyperlien proposé pour naviguer plus rapidement dans le formulaire</t>
  </si>
  <si>
    <t>&gt;&gt;  Dans les sommaires, vous retrouverez un symbole illustrant le niveau de confiance associé à chacun des visuels proposés, en fonction de ce qui aura été saisi. Voici ce que signifie chacun des symboles:</t>
  </si>
  <si>
    <t>Indique un niveau de confiance très faible (1 ou moins)</t>
  </si>
  <si>
    <t>Indique un niveau de confiance faible (2)</t>
  </si>
  <si>
    <t>Indique un niveau de confiance moyen (3)</t>
  </si>
  <si>
    <t>Indique un niveau de confiance bon (4)</t>
  </si>
  <si>
    <t>Indique un niveau de confiance excellent (5)</t>
  </si>
  <si>
    <t>Réaliser le plan de gestion des actifs en eau</t>
  </si>
  <si>
    <t>FONCTIONNEMENT DU PLAN TYPE</t>
  </si>
  <si>
    <t xml:space="preserve">Une fois le chiffrier Excel rempli, vous pouvez utiliser le plan type pour élaborer votre PGA-Eau. </t>
  </si>
  <si>
    <t>&gt;&gt; Remplissez le gabarit en y intégrant les visuels issus du chiffrier Excel et en ajoutant vos constats pour chaque partie du PGA et pour chacun des services (eau potable, eaux usées, eaux pluviales).</t>
  </si>
  <si>
    <t>TABLE DES MATIÈRES ET GRILLE DE SUIVI POUR CET ONGLET</t>
  </si>
  <si>
    <t xml:space="preserve">
Statut</t>
  </si>
  <si>
    <t>Partie A</t>
  </si>
  <si>
    <t>Compréhension des objectifs et des limites</t>
  </si>
  <si>
    <t>Partie B</t>
  </si>
  <si>
    <t>Copyright et conditions d'utilisation</t>
  </si>
  <si>
    <t>Partie C</t>
  </si>
  <si>
    <t>Partie D</t>
  </si>
  <si>
    <t>Informations concernant le PGA-Eau</t>
  </si>
  <si>
    <t>Partie E</t>
  </si>
  <si>
    <t>Identification des répondants</t>
  </si>
  <si>
    <t>Partie F</t>
  </si>
  <si>
    <t>Grille de suivi PGA-Eau</t>
  </si>
  <si>
    <t xml:space="preserve"> Partie A</t>
  </si>
  <si>
    <t>COMPRÉHENSION DES OBJECTIFS ET DES LIMITES</t>
  </si>
  <si>
    <t>NOTE IMPORTANTE</t>
  </si>
  <si>
    <r>
      <t xml:space="preserve">Ce formulaire permet de saisir vos données </t>
    </r>
    <r>
      <rPr>
        <u/>
        <sz val="11"/>
        <color theme="1"/>
        <rFont val="Calibri"/>
        <family val="2"/>
        <scheme val="minor"/>
      </rPr>
      <t>synthèses</t>
    </r>
    <r>
      <rPr>
        <sz val="11"/>
        <color theme="1"/>
        <rFont val="Calibri"/>
        <family val="2"/>
        <scheme val="minor"/>
      </rPr>
      <t xml:space="preserve"> en lien avec la gestion de vos actifs pour produire une </t>
    </r>
    <r>
      <rPr>
        <u/>
        <sz val="11"/>
        <color theme="1"/>
        <rFont val="Calibri"/>
        <family val="2"/>
        <scheme val="minor"/>
      </rPr>
      <t>planification à haut niveau</t>
    </r>
    <r>
      <rPr>
        <sz val="11"/>
        <color theme="1"/>
        <rFont val="Calibri"/>
        <family val="2"/>
        <scheme val="minor"/>
      </rPr>
      <t xml:space="preserve"> des investissements requis sur les 10 prochaines années. </t>
    </r>
  </si>
  <si>
    <t>Il est attendu que vous remplissiez les formulaires au meilleur de votre connaissance. Vous n'avez pas besoin de données "parfaites" pour remplir votre PGA. L'important est de débuter avec les données disponibles et en estimant 
au besoin les données manquantes.</t>
  </si>
  <si>
    <r>
      <t xml:space="preserve">Sachez qu'il vous sera demandé d'évaluer votre </t>
    </r>
    <r>
      <rPr>
        <u/>
        <sz val="11"/>
        <color theme="1"/>
        <rFont val="Calibri"/>
        <family val="2"/>
        <scheme val="minor"/>
      </rPr>
      <t>niveau de confiance</t>
    </r>
    <r>
      <rPr>
        <sz val="11"/>
        <color theme="1"/>
        <rFont val="Calibri"/>
        <family val="2"/>
        <scheme val="minor"/>
      </rPr>
      <t xml:space="preserve"> dans les données saisies et votre </t>
    </r>
    <r>
      <rPr>
        <u/>
        <sz val="11"/>
        <color theme="1"/>
        <rFont val="Calibri"/>
        <family val="2"/>
        <scheme val="minor"/>
      </rPr>
      <t>niveau de progression</t>
    </r>
    <r>
      <rPr>
        <sz val="11"/>
        <color theme="1"/>
        <rFont val="Calibri"/>
        <family val="2"/>
        <scheme val="minor"/>
      </rPr>
      <t xml:space="preserve"> dans la démarche à chacune des étapes, 
ce qui vous permettra de mettre en perspective les visuels obtenus dans l'onglet sommaire et de mettre en lumière les aspects sur lesquels il serait pertinent de s'améliorer dans les années à venir.</t>
    </r>
  </si>
  <si>
    <t xml:space="preserve">***  Il est préférable d'évaluer son niveau réel au meilleur de sa connaissance; il n'y a pas d'attentes quant au niveau minimal à atteindre au départ </t>
  </si>
  <si>
    <t>L'objectif est que vous puissiez constater vos points forts et vos points à améliorer, ainsi que de suivre votre amélioration dans le temps</t>
  </si>
  <si>
    <t>Oui, j'ai compris</t>
  </si>
  <si>
    <t xml:space="preserve"> Partie B</t>
  </si>
  <si>
    <t>COPYRIGHT ET CONDITIONS D'UTILISATION</t>
  </si>
  <si>
    <t xml:space="preserve">Le chiffrier a été conçu par l’équipe du CERIU, en collaboration avec plusieurs comités de professionnels municipaux pilotés par le MAMH, dans l’objectif de réaliser un Plan de gestion des actifs en eau. </t>
  </si>
  <si>
    <t>Pour que vous puissiez bénéficier au maximum de l'utilisation de ce chiffrier, il est recommandé de lire attentivement les différentes explications fournies à l'intérieur même du chiffrier et de vous référer à l'onglet "AIDE". 
Plusieurs ressources sont également disponibles pour vous aider à la compréhension des concepts de gestion d'actifs sur le site du CERIU. Si vous rencontrez des difficultés techniques ou avez des questions et/ou suggestions d’amélioration sur le chiffrier, veuillez communiquer avec l’équipe du CERIU au gamunicipal@ceriu.qc.ca .</t>
  </si>
  <si>
    <t>La reproduction de cet outil par quelque procédé que ce soit et sa traduction, même partielles, sont interdites sans l’autorisation du CERIU.</t>
  </si>
  <si>
    <t>Le CERIU n'assume aucune responsabilité quant à l'utilisation de ce chiffrier.</t>
  </si>
  <si>
    <t>J'atteste avoir lu et compris les conditions d'utilisation, et donc que j'utiliserai le chiffrier dans sa version originale afin
d'obtenir les sommaires PGA par service et le sommaire général PGA-Eau qui sont générés automatiquement.</t>
  </si>
  <si>
    <t xml:space="preserve"> Partie C</t>
  </si>
  <si>
    <t>IDENTIFICATION DU RÉPONDANT</t>
  </si>
  <si>
    <t>Type d'organisation</t>
  </si>
  <si>
    <t>Municipalité</t>
  </si>
  <si>
    <t>Région
administrative</t>
  </si>
  <si>
    <t>RÉGIE</t>
  </si>
  <si>
    <t>Code unique
de la régie</t>
  </si>
  <si>
    <t>Code géographique</t>
  </si>
  <si>
    <t>Nom de la municipalité</t>
  </si>
  <si>
    <t>Région administrative</t>
  </si>
  <si>
    <t>Municipalité 1</t>
  </si>
  <si>
    <t>Municipalité 2</t>
  </si>
  <si>
    <t>Municipalité 3</t>
  </si>
  <si>
    <t>Municipalité 4</t>
  </si>
  <si>
    <t>Municipalité 5</t>
  </si>
  <si>
    <t>Municipalité 6</t>
  </si>
  <si>
    <t>Municipalité 7</t>
  </si>
  <si>
    <t>Municipalité 8</t>
  </si>
  <si>
    <t>Municipalité 9</t>
  </si>
  <si>
    <t>Municipalité 10</t>
  </si>
  <si>
    <t xml:space="preserve"> Partie D</t>
  </si>
  <si>
    <t>INFORMATIONS CONCERNANT LE PGA-EAU</t>
  </si>
  <si>
    <t>&gt;&gt; Inscrivez l'année du PGA-Eau ou première année de planification:</t>
  </si>
  <si>
    <r>
      <t xml:space="preserve">Année </t>
    </r>
    <r>
      <rPr>
        <sz val="10.5"/>
        <rFont val="Calibri"/>
        <family val="2"/>
        <scheme val="minor"/>
      </rPr>
      <t>du PGA-Eau</t>
    </r>
  </si>
  <si>
    <r>
      <rPr>
        <sz val="10.5"/>
        <color theme="1"/>
        <rFont val="Webdings"/>
        <family val="1"/>
        <charset val="2"/>
      </rPr>
      <t xml:space="preserve">6  </t>
    </r>
    <r>
      <rPr>
        <i/>
        <sz val="10.5"/>
        <color theme="1"/>
        <rFont val="Calibri"/>
        <family val="2"/>
        <scheme val="minor"/>
      </rPr>
      <t>***Correspond à la première année de planification des coûts sur le cycle de vie dans le PGA.</t>
    </r>
  </si>
  <si>
    <r>
      <rPr>
        <sz val="10.5"/>
        <color theme="1"/>
        <rFont val="Calibri"/>
        <family val="2"/>
        <scheme val="minor"/>
      </rPr>
      <t xml:space="preserve"> Ce PGA-Eau correspond au</t>
    </r>
    <r>
      <rPr>
        <sz val="10"/>
        <color theme="1"/>
        <rFont val="Calibri"/>
        <family val="2"/>
        <scheme val="minor"/>
      </rPr>
      <t/>
    </r>
  </si>
  <si>
    <t>premier</t>
  </si>
  <si>
    <t xml:space="preserve"> Eau potable</t>
  </si>
  <si>
    <t xml:space="preserve"> Eaux usées</t>
  </si>
  <si>
    <t xml:space="preserve"> Eaux pluviales</t>
  </si>
  <si>
    <t>Commentaires généraux 
concernant le PGA-Eau</t>
  </si>
  <si>
    <t>&gt;&gt;  Choisissez ce qui vous convient pour votre PGA-Eau:</t>
  </si>
  <si>
    <r>
      <rPr>
        <b/>
        <sz val="11"/>
        <color theme="1"/>
        <rFont val="Calibri"/>
        <family val="2"/>
        <scheme val="minor"/>
      </rPr>
      <t xml:space="preserve">CHOIX 1: </t>
    </r>
    <r>
      <rPr>
        <sz val="11"/>
        <color theme="1"/>
        <rFont val="Calibri"/>
        <family val="2"/>
        <scheme val="minor"/>
      </rPr>
      <t xml:space="preserve">  Vous pouvez remplir les 3 formulaires indépendamment, qui sont chacun associés à l'un des 3 services de l'eau (Eau potable, Eaux usées, Eaux pluviales)</t>
    </r>
  </si>
  <si>
    <r>
      <rPr>
        <b/>
        <sz val="11"/>
        <color theme="1"/>
        <rFont val="Calibri"/>
        <family val="2"/>
        <scheme val="minor"/>
      </rPr>
      <t>CHOIX 2:</t>
    </r>
    <r>
      <rPr>
        <sz val="11"/>
        <color theme="1"/>
        <rFont val="Calibri"/>
        <family val="2"/>
        <scheme val="minor"/>
      </rPr>
      <t xml:space="preserve">   Si vous n'êtes pas en mesure ou ne désirez pas départager le réseau d'eaux usées du réseau d'eaux pluviales à ce stade-ci,  vous pouvez remplir seulement le formulaire pour les eaux usées</t>
    </r>
  </si>
  <si>
    <t xml:space="preserve">                     en y intégrant les informations pour les eaux pluviales. Vous devez toutefois remplir également le formulaire pour l'eau potable indépendemment.</t>
  </si>
  <si>
    <t xml:space="preserve"> (incluant eaux pluviales)</t>
  </si>
  <si>
    <t>CHOIX 1 :  Nous remplirons un formulaire pour le service des eaux pluviales indépendamment de celui pour le service des eaux usées.</t>
  </si>
  <si>
    <t>Commentaires</t>
  </si>
  <si>
    <t xml:space="preserve"> Partie E</t>
  </si>
  <si>
    <t>IDENTIFICATION DES RÉPONDANTS</t>
  </si>
  <si>
    <t>Prénom</t>
  </si>
  <si>
    <t>Nom</t>
  </si>
  <si>
    <t>Fonction</t>
  </si>
  <si>
    <t>Courriel</t>
  </si>
  <si>
    <t>Téléphone</t>
  </si>
  <si>
    <t>Poste</t>
  </si>
  <si>
    <r>
      <rPr>
        <sz val="10.5"/>
        <color theme="1"/>
        <rFont val="Calibri"/>
        <family val="2"/>
        <scheme val="minor"/>
      </rPr>
      <t>Responsabilité</t>
    </r>
    <r>
      <rPr>
        <sz val="11"/>
        <color theme="1"/>
        <rFont val="Calibri"/>
        <family val="2"/>
        <scheme val="minor"/>
      </rPr>
      <t xml:space="preserve"> </t>
    </r>
    <r>
      <rPr>
        <sz val="10"/>
        <color theme="1"/>
        <rFont val="Calibri"/>
        <family val="2"/>
        <scheme val="minor"/>
      </rPr>
      <t>(formulaires /service)</t>
    </r>
  </si>
  <si>
    <t>Répondant principal 
PGA-Eau</t>
  </si>
  <si>
    <t>Tous les services</t>
  </si>
  <si>
    <t>Répondant 2</t>
  </si>
  <si>
    <t>Répondant 3</t>
  </si>
  <si>
    <t>Répondant 4</t>
  </si>
  <si>
    <t>Répondant 5</t>
  </si>
  <si>
    <t xml:space="preserve"> Partie F</t>
  </si>
  <si>
    <t>GRILLE DE SUIVI PGA-EAU</t>
  </si>
  <si>
    <t>&gt;&gt; Inscrivez la date de complétion des différents formulaires, ainsi que les dates de révision et de remise au besoin.</t>
  </si>
  <si>
    <t>FORMULAIRE PGA Eau potable</t>
  </si>
  <si>
    <t>FORMULAIRE PGA Eaux usées</t>
  </si>
  <si>
    <t>FORMULAIRE PGA Eaux pluviales</t>
  </si>
  <si>
    <t>Explications / commentaires</t>
  </si>
  <si>
    <t>Date de complétion des formulaires (AAAA-MM-JJ)</t>
  </si>
  <si>
    <t>Date des révisions s'il y a lieu  (AAAA-MM-JJ)</t>
  </si>
  <si>
    <t>Date de complétion de l'ensemble du PGA-Eau  (AAAA-MM-JJ)</t>
  </si>
  <si>
    <t>MENUS DÉROULANTS DU PRÉSENT CHIFFRIER</t>
  </si>
  <si>
    <t>CHOIX 2 :  Nous utiliserons le même formulaire pour le service des eaux usées et celui des eaux pluviales.</t>
  </si>
  <si>
    <t>deuxième</t>
  </si>
  <si>
    <t>troisième</t>
  </si>
  <si>
    <t>quatrième</t>
  </si>
  <si>
    <t>cinquième</t>
  </si>
  <si>
    <t>Eaux usées &amp; pluviales</t>
  </si>
  <si>
    <t>Régie</t>
  </si>
  <si>
    <t>FORMULAIRES</t>
  </si>
  <si>
    <t>FORMULAIRE EAU POTABLE</t>
  </si>
  <si>
    <t>Autre (voir section commentaires pour plus d'explications)</t>
  </si>
  <si>
    <t>Oui</t>
  </si>
  <si>
    <t>Approvisionnement / Traitement</t>
  </si>
  <si>
    <t>Régie intermunicipale</t>
  </si>
  <si>
    <t>Non</t>
  </si>
  <si>
    <t>Accord intermunicipal</t>
  </si>
  <si>
    <t>Autre</t>
  </si>
  <si>
    <t>Agglomération</t>
  </si>
  <si>
    <t>Multiple</t>
  </si>
  <si>
    <t>FORMULAIRE EAUX USÉES</t>
  </si>
  <si>
    <t>FORMULAIRE EAUX PLUVIALES</t>
  </si>
  <si>
    <t>Aucune réflexion n'a été amorcée à ce sujet pour le moment.</t>
  </si>
  <si>
    <t>La réflexion est amorcée, mais nous ne pouvons répondre aux questions ci-dessous à ce stade-ci.</t>
  </si>
  <si>
    <t>La réflexion est amorcée et nous sommes en mesure de remplir la section au meilleur de notre connaissance.</t>
  </si>
  <si>
    <t>CRITÈRE N.S.</t>
  </si>
  <si>
    <t>CATÉGORIE N.S.</t>
  </si>
  <si>
    <t>TENDANCE ACTUELLE</t>
  </si>
  <si>
    <t>OBJECTIF DE PERFORMANCE</t>
  </si>
  <si>
    <t>SOUS-SERVICE</t>
  </si>
  <si>
    <t>Technique</t>
  </si>
  <si>
    <t>Amélioration</t>
  </si>
  <si>
    <t>Augmenter la performance</t>
  </si>
  <si>
    <t>Approvisionnement/Traitement</t>
  </si>
  <si>
    <t>Qualité</t>
  </si>
  <si>
    <t>Citoyen</t>
  </si>
  <si>
    <t>Stabilité</t>
  </si>
  <si>
    <t>Maintenir la performance</t>
  </si>
  <si>
    <t>État</t>
  </si>
  <si>
    <t>Détérioration</t>
  </si>
  <si>
    <t>Diminuer la performance</t>
  </si>
  <si>
    <t>Capacité</t>
  </si>
  <si>
    <t>Aucun objectif pour le moment</t>
  </si>
  <si>
    <t>PARTIE 4A RISQUES</t>
  </si>
  <si>
    <t>Aucun risque associé n'a été déterminé.</t>
  </si>
  <si>
    <t>Les risques associés sont de niveau modéré ou faible.</t>
  </si>
  <si>
    <t>Certains risques associés sont de niveau élevé.</t>
  </si>
  <si>
    <t>Certains risques associés sont de niveau très élevé.</t>
  </si>
  <si>
    <t>PARTIE 4B DEMANDE À VENIR</t>
  </si>
  <si>
    <t>Aucun changement n'est anticipé.</t>
  </si>
  <si>
    <t>Des changements sont anticipés à court terme (1-4 ans).</t>
  </si>
  <si>
    <t>Des changements sont anticipés à moyen terme (5-7 ans).</t>
  </si>
  <si>
    <t>Des changements sont à prévoir à long terme (8-10 ans).</t>
  </si>
  <si>
    <t>Des changements sont à prévoir continuellement sur 10 ans.</t>
  </si>
  <si>
    <t>PARTIE 5 PLANIFICATION DES COÛTS SUR LE CYCLE DE VIE</t>
  </si>
  <si>
    <t>Aucun coût n'a été estimé auparavant</t>
  </si>
  <si>
    <t>Oui, ces coûts sont inclus</t>
  </si>
  <si>
    <t>Non, ces coûts ne sont pas inclus</t>
  </si>
  <si>
    <t xml:space="preserve">Aucun objectif </t>
  </si>
  <si>
    <t>Court terme (1-4 ans)</t>
  </si>
  <si>
    <t>Moyen terme (5-7 ans)</t>
  </si>
  <si>
    <t>Long terme (8-10 ans)</t>
  </si>
  <si>
    <t>Ne s'applique pas</t>
  </si>
  <si>
    <r>
      <t xml:space="preserve">CALCULS PERMETTANT LE LIEN AUTOMATIQUE ENTRE LE FORMULAIRE ET LE SOMMAIRE -- </t>
    </r>
    <r>
      <rPr>
        <b/>
        <u/>
        <sz val="24"/>
        <color theme="3" tint="-0.249977111117893"/>
        <rFont val="Calibri"/>
        <family val="2"/>
        <scheme val="minor"/>
      </rPr>
      <t>EAU POTABLE</t>
    </r>
  </si>
  <si>
    <t>Réponses au formulaire</t>
  </si>
  <si>
    <t>%</t>
  </si>
  <si>
    <t>Approvisionnement&amp;Traitement / Linéaire</t>
  </si>
  <si>
    <t>Approvisionnement&amp;Traitement / Ponctuel</t>
  </si>
  <si>
    <t>Approvisionnement&amp;Traitement / Autres actifs</t>
  </si>
  <si>
    <t>Distribution / Linéaire</t>
  </si>
  <si>
    <t>Distribution / Ponctuel</t>
  </si>
  <si>
    <t>Distribution / Autres actifs</t>
  </si>
  <si>
    <t>Moyenne</t>
  </si>
  <si>
    <t>NOTE:</t>
  </si>
  <si>
    <t>Total Valeur</t>
  </si>
  <si>
    <t>Appro</t>
  </si>
  <si>
    <t xml:space="preserve">Les moyennes de confiance sont calculées à part égales entre les différents sous-services </t>
  </si>
  <si>
    <t>Distrib</t>
  </si>
  <si>
    <t>(et types d'actifs s'il y a lieu), mais prend en considération si la municipalité n'en possède pas.</t>
  </si>
  <si>
    <t>NOTE</t>
  </si>
  <si>
    <t>Nous ne demandons pas de confiance et d'état pour les autres actifs</t>
  </si>
  <si>
    <t>Ceci est valide pour l'ensemble des calculs de cotes de cet onglet.</t>
  </si>
  <si>
    <t>APPROV</t>
  </si>
  <si>
    <t>Si pas d'appro</t>
  </si>
  <si>
    <t>Si pas de ponctuel</t>
  </si>
  <si>
    <t>Si pas de linéaire</t>
  </si>
  <si>
    <t>DISTRIBUTION</t>
  </si>
  <si>
    <t>Si pas de distribution</t>
  </si>
  <si>
    <t>Somme</t>
  </si>
  <si>
    <t>Moyenne /sous-service</t>
  </si>
  <si>
    <t>Moyenne / service</t>
  </si>
  <si>
    <t>Critère</t>
  </si>
  <si>
    <t>Catégorie</t>
  </si>
  <si>
    <t>Tendance</t>
  </si>
  <si>
    <t>Objectif</t>
  </si>
  <si>
    <t>Choix pour tendance</t>
  </si>
  <si>
    <t>Choix pour objectif</t>
  </si>
  <si>
    <t>CHOIX</t>
  </si>
  <si>
    <t>CONFIANCE</t>
  </si>
  <si>
    <t>Coûts prévisionnels</t>
  </si>
  <si>
    <t>Somme sur 10 ans</t>
  </si>
  <si>
    <t>APPRO</t>
  </si>
  <si>
    <t>Cote</t>
  </si>
  <si>
    <t>Poids</t>
  </si>
  <si>
    <t>Les moyennes sont généralement calculées à part égales; toutefois dans ce cas-ci, moins</t>
  </si>
  <si>
    <t xml:space="preserve">   d'importance est accordée à la confiance dans les coûts liés à la gestion des niveaux </t>
  </si>
  <si>
    <t xml:space="preserve">   de service, de risques et de la demande à venir (le 1/3) par rapport aux coûts prévisionnels </t>
  </si>
  <si>
    <t xml:space="preserve">   d'exploitation et d'entretien, de renouvellement et d'acquisition/disposition (le 2/3) en </t>
  </si>
  <si>
    <t>Coûts additionnels liés à…</t>
  </si>
  <si>
    <t xml:space="preserve">   raison du fait que le détail de ces coûts additionnels est facultatif dans le formulaire</t>
  </si>
  <si>
    <t>2 SOUS-SERVICES</t>
  </si>
  <si>
    <t>Moyenne globale avec budget inclus</t>
  </si>
  <si>
    <t>Dans le cas de la moyenne globale prévisions + budget, 1/4 versus 3/4 est utilisé.</t>
  </si>
  <si>
    <t>NOTE 2:</t>
  </si>
  <si>
    <t xml:space="preserve">Ici, les moyennes intermédiaires ne sont pas arrondies, </t>
  </si>
  <si>
    <t>mais les moyennes finales sont arrondies à la valeur inférieure.</t>
  </si>
  <si>
    <t>PLANIFICATION CYCLE DE VIE  Visuel 2</t>
  </si>
  <si>
    <t>Besoins annuels moyens vs budget</t>
  </si>
  <si>
    <t>Besoins annuels 
moyens</t>
  </si>
  <si>
    <t>Écart</t>
  </si>
  <si>
    <t>Exploitation&amp;Entretien</t>
  </si>
  <si>
    <t xml:space="preserve">NOTE: </t>
  </si>
  <si>
    <r>
      <t xml:space="preserve">Les écarts </t>
    </r>
    <r>
      <rPr>
        <u/>
        <sz val="10"/>
        <color rgb="FFFF0000"/>
        <rFont val="Calibri"/>
        <family val="2"/>
        <scheme val="minor"/>
      </rPr>
      <t>négatifs</t>
    </r>
    <r>
      <rPr>
        <sz val="10"/>
        <color rgb="FFFF0000"/>
        <rFont val="Calibri"/>
        <family val="2"/>
        <scheme val="minor"/>
      </rPr>
      <t xml:space="preserve"> sont entre parenthèse et indiquent un manque à gagner</t>
    </r>
  </si>
  <si>
    <t>Acquisition&amp;Disposition</t>
  </si>
  <si>
    <t xml:space="preserve">   de service, de risques et de la demande à venir (le 1/4) par rapport aux coûts prévisionnels </t>
  </si>
  <si>
    <t>TOTAL</t>
  </si>
  <si>
    <t xml:space="preserve">   d'exploitation et d'entretien, de renouvellement et d'acquisition/disposition (le 3/4) en</t>
  </si>
  <si>
    <t>Répartition des besoins totaux 10 ans par sous-service et phases du cycle de vie</t>
  </si>
  <si>
    <t>Fonction-
nement</t>
  </si>
  <si>
    <t>Immobili-
sations</t>
  </si>
  <si>
    <t>2 sous-services</t>
  </si>
  <si>
    <t>Données saisies dans le formulaire</t>
  </si>
  <si>
    <t>Calcul des ratios financiers</t>
  </si>
  <si>
    <t>Ratio de financement du fonctionnement</t>
  </si>
  <si>
    <t>Ratio d'autofinancement du fonctionnement</t>
  </si>
  <si>
    <t>FONCTIONNEMENT</t>
  </si>
  <si>
    <t>Autofinancement</t>
  </si>
  <si>
    <t>Budget planifié</t>
  </si>
  <si>
    <t>Ratio de financement du renouvellement</t>
  </si>
  <si>
    <t>Ratio d'autofinancement du renouvellement</t>
  </si>
  <si>
    <t>RENOUVELLEMENT</t>
  </si>
  <si>
    <t>Ratio de financement des acquisitions/dispositions</t>
  </si>
  <si>
    <t>Ratio d'autofinancement des acquisitions/dispositions</t>
  </si>
  <si>
    <t>ACQUISITION/DISPOSITION</t>
  </si>
  <si>
    <t>Objectifs court terme et cotes par partie</t>
  </si>
  <si>
    <t>La partie Amélioration n'est pas représentée dans le visuel</t>
  </si>
  <si>
    <t>N/A</t>
  </si>
  <si>
    <t>Moyenne pour le service</t>
  </si>
  <si>
    <t>Cumulatif APPRO</t>
  </si>
  <si>
    <t>/100</t>
  </si>
  <si>
    <t>Cumulatif DISTRIBUTION</t>
  </si>
  <si>
    <t>Approvisionnement et traitement</t>
  </si>
  <si>
    <t>Actifs concernés</t>
  </si>
  <si>
    <t xml:space="preserve">FORMULAIRE PGA Eau potable </t>
  </si>
  <si>
    <t>Statut</t>
  </si>
  <si>
    <t>Niveau de confiance dans les données</t>
  </si>
  <si>
    <t>Niveau de progression PGA</t>
  </si>
  <si>
    <t>Partie 1</t>
  </si>
  <si>
    <t>Identification</t>
  </si>
  <si>
    <t>Partie 2</t>
  </si>
  <si>
    <t>Portrait des actifs</t>
  </si>
  <si>
    <t>Partie 3</t>
  </si>
  <si>
    <t>Niveaux de service</t>
  </si>
  <si>
    <t>Partie 4A</t>
  </si>
  <si>
    <t>Partie 4B</t>
  </si>
  <si>
    <t>Demande à venir</t>
  </si>
  <si>
    <t>Partie 5A</t>
  </si>
  <si>
    <t>Planification sur le cycle de vie - Budget actuel</t>
  </si>
  <si>
    <t>Partie 5B</t>
  </si>
  <si>
    <t>Planification sur le cycle de vie - Coûts prévisionnels</t>
  </si>
  <si>
    <t>Partie 6</t>
  </si>
  <si>
    <t>Résumé financier</t>
  </si>
  <si>
    <t>Partie 7A</t>
  </si>
  <si>
    <t>Amélioration et suivi - Niveau de confiance dans les données</t>
  </si>
  <si>
    <t>Partie 7B</t>
  </si>
  <si>
    <t>Amélioration et suivi - Niveau de progression PGA</t>
  </si>
  <si>
    <t>Partie 8</t>
  </si>
  <si>
    <t>Sommaire et commentaire général</t>
  </si>
  <si>
    <t xml:space="preserve"> Partie 1 - Identification</t>
  </si>
  <si>
    <t>NOTES ET COMMENTAIRES (si besoin)</t>
  </si>
  <si>
    <t xml:space="preserve">&gt;&gt; Les informations ci-dessous correspondent à ce qui a été saisi à l'onglet IDENTIFICATION. </t>
  </si>
  <si>
    <t>***  Si le statut de la section est "À compléter", vérifiez que vous avez bien rempli l'onglet IDENTIFICATION.</t>
  </si>
  <si>
    <t>Autres répondants</t>
  </si>
  <si>
    <r>
      <rPr>
        <sz val="10.5"/>
        <color theme="1"/>
        <rFont val="Webdings"/>
        <family val="1"/>
        <charset val="2"/>
      </rPr>
      <t xml:space="preserve">  </t>
    </r>
    <r>
      <rPr>
        <i/>
        <sz val="10.5"/>
        <color theme="1"/>
        <rFont val="Calibri"/>
        <family val="2"/>
        <scheme val="minor"/>
      </rPr>
      <t>***Correspond à la première année de planification des coûts sur le cycle de vie dans le PGA.</t>
    </r>
  </si>
  <si>
    <t>Date de complétion du formulaire</t>
  </si>
  <si>
    <t>Commentaires généraux concernant la partie Eau
potable du PGA-Eau</t>
  </si>
  <si>
    <t>Date des révisions s'il y a lieu</t>
  </si>
  <si>
    <t xml:space="preserve"> Partie 2 - Portrait des actifs</t>
  </si>
  <si>
    <t>INVENTAIRE ET ÉTAT</t>
  </si>
  <si>
    <r>
      <rPr>
        <sz val="11"/>
        <rFont val="Wingdings"/>
        <charset val="2"/>
      </rPr>
      <t>v</t>
    </r>
    <r>
      <rPr>
        <i/>
        <sz val="11"/>
        <rFont val="Calibri"/>
        <family val="2"/>
        <scheme val="minor"/>
      </rPr>
      <t xml:space="preserve">  </t>
    </r>
    <r>
      <rPr>
        <sz val="10"/>
        <rFont val="Bahnschrift Light SemiCondensed"/>
        <family val="2"/>
      </rPr>
      <t>Afin de vous guider dans cette partie, vous pouvez consulter le Guide d'élaboration d'un plan de gestion des actifs municipaux et les fiches techniques PGA-Eau du CERIU (voir détails dans l'onglet AIDE).</t>
    </r>
  </si>
  <si>
    <t xml:space="preserve">***   Les informations contenues dans cette partie peuvent être obtenues à partir de votre plus récent Plan d'intervention pour le renouvellement des conduites d'eau potable, d'égouts et des chaussées (PI) 
         et de tout récent formulaire relatif à vos infrastructures ponctuelles (Outil besoin en investissement (Outil BI) du MAMH, plan de renouvellement...). </t>
  </si>
  <si>
    <t>En l'absence d'informations sur le sujet, vous pouvez toujours vous référer à vos plus récentes données du Portrait des infrastructures en eau des municipalités du Québec disponibles sur www.inframunicipal.ca.</t>
  </si>
  <si>
    <t>Voici quelques liens utiles:</t>
  </si>
  <si>
    <t>Plan d'intervention : https://www.mamh.gouv.qc.ca/infrastructures/plan-dintervention/</t>
  </si>
  <si>
    <t>Outil BI : https://www.mamh.gouv.qc.ca/infrastructures/strategie/outils-aux-municipalites</t>
  </si>
  <si>
    <t>inframunicipal : www.inframunicipal.ca</t>
  </si>
  <si>
    <t>Sous-service: 
APPROVISIONNEMENT 
ET TRAITEMENT</t>
  </si>
  <si>
    <t>Explications et commentaires 
(si besoin)</t>
  </si>
  <si>
    <t>(inclut les conduites ou canaux d'amenée)</t>
  </si>
  <si>
    <t>Provenance des données (la source et son année)</t>
  </si>
  <si>
    <t>Inventaire (km)</t>
  </si>
  <si>
    <r>
      <t xml:space="preserve">État </t>
    </r>
    <r>
      <rPr>
        <sz val="8"/>
        <color theme="1"/>
        <rFont val="Calibri"/>
        <family val="2"/>
        <scheme val="minor"/>
      </rPr>
      <t xml:space="preserve"> (Répartition de l'état des actifs 
selon la valeur de remplacement)</t>
    </r>
  </si>
  <si>
    <t>Très bon (A)</t>
  </si>
  <si>
    <t>Bon (B)</t>
  </si>
  <si>
    <t>Mauvais (D)</t>
  </si>
  <si>
    <t>Très mauvais (E)</t>
  </si>
  <si>
    <t>(inclut les ouvrages suivants : barrages, prises d'eau, réservoirs, installations de traitement)</t>
  </si>
  <si>
    <t>Inventaire (nombre d'ouvrages)</t>
  </si>
  <si>
    <t>AUTRES ACTIFS</t>
  </si>
  <si>
    <t xml:space="preserve">(inclut tous les autres actifs ne faisant pas partie des catégories "linéaire" et "ponctuel" ci-dessus) </t>
  </si>
  <si>
    <t xml:space="preserve"> </t>
  </si>
  <si>
    <t>*** Notez que la valeur de remplacement de certains accessoires et équipements situés sur le réseau linéaire
       peut être déjà incluse dans celle indiquée dans votre plan d'intervention.</t>
  </si>
  <si>
    <t>Indiquez le ou les actifs associés</t>
  </si>
  <si>
    <t>Sous-service: 
DISTRIBUTION</t>
  </si>
  <si>
    <t>(inclut les conduites d'alimentation et de distribution)</t>
  </si>
  <si>
    <t>(inclut les postes de pompage et de régulation de pression, réservoirs, chambres majeures de service)</t>
  </si>
  <si>
    <t>*** Notez que la valeur de remplacement de certains accessoires et équipements situés sur le réseau linéaire 
       peut être déjà incluse dans celle indiquée dans votre plan d'intervention.</t>
  </si>
  <si>
    <t>PARTICULARITÉS</t>
  </si>
  <si>
    <r>
      <t xml:space="preserve">Avez-vous des actifs dont la propriété est partagée? </t>
    </r>
    <r>
      <rPr>
        <sz val="10"/>
        <color theme="1"/>
        <rFont val="Webdings"/>
        <family val="1"/>
        <charset val="2"/>
      </rPr>
      <t>6</t>
    </r>
  </si>
  <si>
    <t>Si oui, veuillez indiquer de quel(s) actif(s) il s'agit et quels sont les modes de partage associés:</t>
  </si>
  <si>
    <t>Sous-service associé</t>
  </si>
  <si>
    <t>Description des actifs</t>
  </si>
  <si>
    <r>
      <t xml:space="preserve">Quote-part  </t>
    </r>
    <r>
      <rPr>
        <sz val="8"/>
        <color theme="1"/>
        <rFont val="Calibri"/>
        <family val="2"/>
        <scheme val="minor"/>
      </rPr>
      <t>(en % de la valeur de rempla-cement incluse dans les valeurs fournies)</t>
    </r>
  </si>
  <si>
    <r>
      <t xml:space="preserve">Mode de partage </t>
    </r>
    <r>
      <rPr>
        <sz val="10"/>
        <color theme="1"/>
        <rFont val="Webdings"/>
        <family val="1"/>
        <charset val="2"/>
      </rPr>
      <t>6</t>
    </r>
  </si>
  <si>
    <t>Explication (si requis)</t>
  </si>
  <si>
    <t>&gt;&gt; Évaluez les aspects suivants:</t>
  </si>
  <si>
    <t>NIVEAU DE CONFIANCE DANS LES DONNÉES ET ESTIMATIONS SAISIES</t>
  </si>
  <si>
    <t>NIVEAU DE PROGRESSION DANS LA RÉALISATION DE CETTE PARTIE DU PGA</t>
  </si>
  <si>
    <t xml:space="preserve">&gt;&gt; Vous pouvez à présent consulter les éléments visuels du sommaire pour cette partie. </t>
  </si>
  <si>
    <t>Voir le sommaire du portrait des actifs</t>
  </si>
  <si>
    <t xml:space="preserve"> Partie 3 - Niveaux de service</t>
  </si>
  <si>
    <t>GESTION DES NIVEAUX DE SERVICE</t>
  </si>
  <si>
    <r>
      <rPr>
        <sz val="11"/>
        <rFont val="Wingdings"/>
        <charset val="2"/>
      </rPr>
      <t>v</t>
    </r>
    <r>
      <rPr>
        <i/>
        <sz val="11"/>
        <rFont val="Calibri"/>
        <family val="2"/>
        <scheme val="minor"/>
      </rPr>
      <t xml:space="preserve">  </t>
    </r>
    <r>
      <rPr>
        <sz val="10"/>
        <rFont val="Bahnschrift Light SemiCondensed"/>
        <family val="2"/>
      </rPr>
      <t>Afin de vous guider dans cette partie, vous pouvez consulter le Guide d'élaboration d'un plan de gestion des actifs municipaux et les fiches techniques PGA-Eau du CERIU.</t>
    </r>
  </si>
  <si>
    <t>Niveaux de service de catégorie "Exigences et mise aux normes"</t>
  </si>
  <si>
    <t xml:space="preserve">     Inscrivez ensuite pour chacune, si possible, le type d'exigence/mise aux normes et sa provenance, les actifs concernés et expliquez davantage les enjeux rencontrés qui peuvent avoir un impact sur les coûts. </t>
  </si>
  <si>
    <t>Exigences / Mise aux normes</t>
  </si>
  <si>
    <t>Type d'exigence / Provenance</t>
  </si>
  <si>
    <r>
      <t xml:space="preserve">Sous-service concerné </t>
    </r>
    <r>
      <rPr>
        <b/>
        <sz val="10"/>
        <color theme="1"/>
        <rFont val="Webdings"/>
        <family val="1"/>
        <charset val="2"/>
      </rPr>
      <t>6</t>
    </r>
  </si>
  <si>
    <t>Expliquez les enjeux rencontrés</t>
  </si>
  <si>
    <t xml:space="preserve">&gt;&gt; Décrivez (s'il y a lieu) les actions à mettre
      en place pour rencontrer les exigences 
      et mettre aux normes ? </t>
  </si>
  <si>
    <t xml:space="preserve">&gt;&gt;  À la partie 5 - Planification des coûts sur le cycle de vie, plus bas, il vous est possible de saisir des coûts prévisionnels spécifiques à la gestion des niveaux de service. </t>
  </si>
  <si>
    <t>Pour ce faire, vous devez toutefois distinguer les coûts de la mise en place des actions que vous venez de décrire en fonction:     &gt; du sous-service  (Approvisionnement et traitement; Distribution);</t>
  </si>
  <si>
    <t>&gt; de la phase du cycle de vie  (Exploitation; Entretien; Renouvellement; Acquisition; Disposition).</t>
  </si>
  <si>
    <t>Niveaux de service de catégorie "Technique" et "Citoyen"</t>
  </si>
  <si>
    <t xml:space="preserve">&gt;&gt;  Inscrivez les indicateurs de performance que vous désirez suivre afin de pouvoir évaluer l'atteinte de vos objectifs de niveau de service, en commençant par vos 3 priorités de performance.
      </t>
  </si>
  <si>
    <t xml:space="preserve">      Si désiré, chiffrez de façon plus précise votre performance actuelle et votre performance souhaité, et expliquez les tendances et objectifs au besoin. </t>
  </si>
  <si>
    <t>Indicateur de performance 
(vos 3 prioritaires d'abord)</t>
  </si>
  <si>
    <r>
      <t xml:space="preserve"> Critère de niveau 
 de service </t>
    </r>
    <r>
      <rPr>
        <b/>
        <sz val="10"/>
        <color theme="1"/>
        <rFont val="Webdings"/>
        <family val="1"/>
        <charset val="2"/>
      </rPr>
      <t>6</t>
    </r>
  </si>
  <si>
    <r>
      <t xml:space="preserve"> Catégorie niveau 
 de service </t>
    </r>
    <r>
      <rPr>
        <b/>
        <sz val="10"/>
        <color theme="1"/>
        <rFont val="Webdings"/>
        <family val="1"/>
        <charset val="2"/>
      </rPr>
      <t>6</t>
    </r>
  </si>
  <si>
    <r>
      <t xml:space="preserve">Tendance actuelle </t>
    </r>
    <r>
      <rPr>
        <b/>
        <sz val="10"/>
        <color theme="1"/>
        <rFont val="Webdings"/>
        <family val="1"/>
        <charset val="2"/>
      </rPr>
      <t>6</t>
    </r>
  </si>
  <si>
    <r>
      <t xml:space="preserve">Objectif général pour 
cet indicateur </t>
    </r>
    <r>
      <rPr>
        <b/>
        <sz val="10"/>
        <color theme="1"/>
        <rFont val="Webdings"/>
        <family val="1"/>
        <charset val="2"/>
      </rPr>
      <t xml:space="preserve"> 6</t>
    </r>
  </si>
  <si>
    <t>Performance actuelle</t>
  </si>
  <si>
    <t>Performance souhaitée</t>
  </si>
  <si>
    <t>Expliquez (si désiré) les tendances observées et objectifs de performance</t>
  </si>
  <si>
    <t xml:space="preserve">&gt;&gt; Décrivez (s'il y a lieu) les actions à mettre
      en place pour atteindre les objectifs de niveaux
      de service et la performance souhaitée ? </t>
  </si>
  <si>
    <t xml:space="preserve">Notez qu'il est possible que vous souhaitiez revoir vos niveaux de service à la baisse pour réduire les coûts. </t>
  </si>
  <si>
    <t>Dans un tel cas, ce sont des déductions de coûts que vous devez indiquer dans votre tableau de coûts prévisionnels.</t>
  </si>
  <si>
    <t>Voir le sommaire niveaux de service</t>
  </si>
  <si>
    <t xml:space="preserve"> Partie 4 - Risques et demande</t>
  </si>
  <si>
    <t>GESTION DES RISQUES</t>
  </si>
  <si>
    <t xml:space="preserve">    *** Le niveau de risque est évalué en fonction de la vraisemblance des risques (rare, peu probable, possible, probable, presque certain) et de leurs conséquences (négligeables, mineures, modérées, majeures, catastrophiques).  </t>
  </si>
  <si>
    <r>
      <t>Niveau de risque</t>
    </r>
    <r>
      <rPr>
        <b/>
        <sz val="10"/>
        <color theme="1"/>
        <rFont val="Webdings"/>
        <family val="1"/>
        <charset val="2"/>
      </rPr>
      <t xml:space="preserve"> 6</t>
    </r>
  </si>
  <si>
    <t>Expliquez (si désiré) les risques identifiés et conséquences possibles</t>
  </si>
  <si>
    <r>
      <t xml:space="preserve">Autre    </t>
    </r>
    <r>
      <rPr>
        <i/>
        <sz val="9"/>
        <color theme="1"/>
        <rFont val="Calibri"/>
        <family val="2"/>
        <scheme val="minor"/>
      </rPr>
      <t>Spécifiez:</t>
    </r>
  </si>
  <si>
    <t>&gt;&gt;  De façon globale, quelles actions sont à mettre
en place pour gérer les différents risques identifiés ?</t>
  </si>
  <si>
    <t xml:space="preserve">&gt;&gt;  À la partie 5 - Planification des coûts sur le cycle de vie, plus bas, il vous est possible de saisir des coûts prévisionnels spécifiques à la gestion des risques. </t>
  </si>
  <si>
    <t>Voir le sommaire pour les risques</t>
  </si>
  <si>
    <t xml:space="preserve"> Partie 4 - Risques et demande (suite)</t>
  </si>
  <si>
    <t>GESTION DE LA DEMANDE À VENIR</t>
  </si>
  <si>
    <r>
      <t>Changements anticipés</t>
    </r>
    <r>
      <rPr>
        <b/>
        <sz val="10"/>
        <color theme="1"/>
        <rFont val="Webdings"/>
        <family val="1"/>
        <charset val="2"/>
      </rPr>
      <t xml:space="preserve"> 6</t>
    </r>
  </si>
  <si>
    <t>Décrivez (si désiré) les changements identifiés et leurs répercussions</t>
  </si>
  <si>
    <t>&gt;&gt; De façon globale, quelles actions sont à mettre 
en place pour gérer ces changements à venir ?</t>
  </si>
  <si>
    <t xml:space="preserve">&gt;&gt;  À la partie 5 - Planification des coûts sur le cycle de vie, plus bas, il vous est possible de saisir des coûts prévisionnels qui sont spécifiques à la gestion de la demande à venir. </t>
  </si>
  <si>
    <t>Voir le sommaire de la demande à venir</t>
  </si>
  <si>
    <t xml:space="preserve"> Partie 5 - Planification des coûts sur le cycle de vie</t>
  </si>
  <si>
    <t xml:space="preserve">BUDGET ACTUEL </t>
  </si>
  <si>
    <t>&gt;&gt;  Inscrivez vos budgets annuels actuels pour l'eau potable:</t>
  </si>
  <si>
    <r>
      <t xml:space="preserve">&gt; pour chacune des phases du cycle de vie  </t>
    </r>
    <r>
      <rPr>
        <sz val="10"/>
        <color theme="1"/>
        <rFont val="Calibri"/>
        <family val="2"/>
        <scheme val="minor"/>
      </rPr>
      <t>(Exploitation; Entretien; Renouvellement; Acquisition; Disposition);</t>
    </r>
  </si>
  <si>
    <r>
      <t xml:space="preserve">&gt; par sous-service  </t>
    </r>
    <r>
      <rPr>
        <sz val="10"/>
        <color theme="1"/>
        <rFont val="Calibri"/>
        <family val="2"/>
        <scheme val="minor"/>
      </rPr>
      <t>(1er tableau: Approvisionnement et traitement; 2e tableau: Distribution).</t>
    </r>
  </si>
  <si>
    <t>***  Si vous n'êtes pas en mesure de départager facilement votre budget global entre les 5 phases du cycle de vie ou entre les 2 sous-services de façon précise,</t>
  </si>
  <si>
    <t>vous pouvez le faire en vous basant sur un % estimé de votre budget global et indiquer votre hypothèse dans une section commentaires.</t>
  </si>
  <si>
    <t>BUDGET DE FONCTIONNEMENT</t>
  </si>
  <si>
    <t>BUDGET D'IMMOBILISATIONS</t>
  </si>
  <si>
    <t>BUDGET GLOBAL DU SOUS-SERVICE</t>
  </si>
  <si>
    <t>COÛTS PRÉVISIONNELS (BESOINS)</t>
  </si>
  <si>
    <r>
      <t xml:space="preserve">&gt;&gt; Inscrivez vos coûts prévisionnels estimés pour les 10 prochaines années, </t>
    </r>
    <r>
      <rPr>
        <b/>
        <sz val="11"/>
        <color theme="1"/>
        <rFont val="Calibri"/>
        <family val="2"/>
        <scheme val="minor"/>
      </rPr>
      <t>en $ actuels</t>
    </r>
  </si>
  <si>
    <r>
      <t xml:space="preserve">&gt; pour chacune des phases du cycle de vie  </t>
    </r>
    <r>
      <rPr>
        <sz val="10"/>
        <color theme="1"/>
        <rFont val="Calibri"/>
        <family val="2"/>
        <scheme val="minor"/>
      </rPr>
      <t>(exploitation, entretien, renouvellement, acquisition, disposition);</t>
    </r>
  </si>
  <si>
    <t xml:space="preserve">***  Si vous n'êtes pas en mesure de départager facilement vos prévisions entre les 5 phases du cycle de vie ou entre les 2 sous-services de façon précise, </t>
  </si>
  <si>
    <t>vous pouvez le faire en vous basant sur un % estimé des prévisions globales et indiquer votre hypothèse dans une section commentaires.</t>
  </si>
  <si>
    <r>
      <rPr>
        <b/>
        <u/>
        <sz val="11"/>
        <color theme="1"/>
        <rFont val="Calibri"/>
        <family val="2"/>
        <scheme val="minor"/>
      </rPr>
      <t>IMPORTANT</t>
    </r>
    <r>
      <rPr>
        <b/>
        <sz val="11"/>
        <color theme="1"/>
        <rFont val="Calibri"/>
        <family val="2"/>
        <scheme val="minor"/>
      </rPr>
      <t>:       Les coûts prévisionnels à saisir prioritairement sont</t>
    </r>
    <r>
      <rPr>
        <b/>
        <sz val="11"/>
        <color theme="1"/>
        <rFont val="Calibri"/>
        <family val="2"/>
        <scheme val="minor"/>
      </rPr>
      <t xml:space="preserve">: </t>
    </r>
  </si>
  <si>
    <t>g</t>
  </si>
  <si>
    <t>À titre d'exemple, l'ajout de nouveaux actifs engendrera nécessairement des coûts annuels d'exploitation et d'entretien additionnels.</t>
  </si>
  <si>
    <t xml:space="preserve">Également, en fonction de la réflexion entamée aux Parties 3 et 4 concernant la gestion des niveaux de service, la gestion de la demande à venir et la gestion des risques, </t>
  </si>
  <si>
    <t>vous pourriez ajouter des coûts prévisionnels additionnels liés spécifiquement à ces catégories, soit:</t>
  </si>
  <si>
    <r>
      <t xml:space="preserve">Les coûts additionnels  - ou déductions de coûts </t>
    </r>
    <r>
      <rPr>
        <i/>
        <sz val="10"/>
        <color theme="1"/>
        <rFont val="Calibri"/>
        <family val="2"/>
        <scheme val="minor"/>
      </rPr>
      <t>(dans ce cas mettre des montants négatifs)</t>
    </r>
    <r>
      <rPr>
        <i/>
        <sz val="11"/>
        <color theme="1"/>
        <rFont val="Calibri"/>
        <family val="2"/>
        <scheme val="minor"/>
      </rPr>
      <t xml:space="preserve"> -  </t>
    </r>
    <r>
      <rPr>
        <sz val="11"/>
        <color theme="1"/>
        <rFont val="Calibri"/>
        <family val="2"/>
        <scheme val="minor"/>
      </rPr>
      <t xml:space="preserve">pour l'atteinte des niveaux de service souhaités </t>
    </r>
  </si>
  <si>
    <t>selon les exigences et mises aux normes à rencontrer et les objectifs de performance indiqués à la Partie 3 (s'il y a lieu);</t>
  </si>
  <si>
    <t>Les coûts additionnels liés à la gestion de risques selon les risques identifiés à la partie 4A (s'il y a lieu);</t>
  </si>
  <si>
    <t>Les coûts additionnels liés à la gestion de la demande à venir selon les changements anticipés à la Partie 4B (s'il y a lieu).</t>
  </si>
  <si>
    <t xml:space="preserve">                                 Dans le cas du renouvellement, il faut également saisir: </t>
  </si>
  <si>
    <t>Les coûts liés au déficit de maintien, c'est-à-dire les coûts anticipés pouvant permettre le rattrapage du retard en terme de renouvellement des actifs, s'il y a lieu.</t>
  </si>
  <si>
    <t>***  Les coûts prévisionnels attendus ici ne devraient pas être indexés, mais plutôt en $ actuels. Ils couvrent l'ensemble des activités et frais liés (ex. surveillance, conception, contingences, taxes, etc.).</t>
  </si>
  <si>
    <r>
      <t>***  Notez qu'</t>
    </r>
    <r>
      <rPr>
        <b/>
        <i/>
        <sz val="11"/>
        <rFont val="Calibri"/>
        <family val="2"/>
        <scheme val="minor"/>
      </rPr>
      <t>il n'est pas nécessaire que toutes les années et les phases du cycle de vie soient remplies</t>
    </r>
    <r>
      <rPr>
        <i/>
        <sz val="11"/>
        <rFont val="Calibri"/>
        <family val="2"/>
        <scheme val="minor"/>
      </rPr>
      <t xml:space="preserve">, puisqu'il peut s'agir par exemple de quelques activités ponctuelles ou </t>
    </r>
  </si>
  <si>
    <r>
      <t xml:space="preserve">  d'une seule activité aditionnelle mais récurrente. Toutefois, </t>
    </r>
    <r>
      <rPr>
        <b/>
        <i/>
        <sz val="11"/>
        <rFont val="Calibri"/>
        <family val="2"/>
        <scheme val="minor"/>
      </rPr>
      <t>inscrivez au moins un montant sur toutes les lignes prioritaires</t>
    </r>
    <r>
      <rPr>
        <i/>
        <sz val="11"/>
        <rFont val="Calibri"/>
        <family val="2"/>
        <scheme val="minor"/>
      </rPr>
      <t xml:space="preserve"> (même si ce montant est de 0$) pour obtenir le statut "Complété".</t>
    </r>
  </si>
  <si>
    <t>***  Pour le déficit de maintien, vous pouvez soit indiquer un montant global à la première année ou répartir le coût total sur les 10 prochaines années, selon ce que vous préférez illustrer dans le SOMMAIRE PGA.</t>
  </si>
  <si>
    <t>Sous-service: APPROVISIONNEMENT ET TRAITEMENT</t>
  </si>
  <si>
    <t>Phase du cycle de vie / 
Regroupement usuel</t>
  </si>
  <si>
    <t>Coûts prévisionnels (besoins) par année de planification</t>
  </si>
  <si>
    <t>Somme des coûts sur 10 ans</t>
  </si>
  <si>
    <t xml:space="preserve">Total </t>
  </si>
  <si>
    <t>Coûts additionnels totaux</t>
  </si>
  <si>
    <t>&gt; liés aux ACQUISITIONS futures</t>
  </si>
  <si>
    <t>&gt; liés à la gestion des niveaux de service</t>
  </si>
  <si>
    <t>&gt; liés à la gestion des risques</t>
  </si>
  <si>
    <t>&gt; liés à la gestion de la demande à venir</t>
  </si>
  <si>
    <r>
      <t xml:space="preserve">Déficit de maintien </t>
    </r>
    <r>
      <rPr>
        <sz val="8"/>
        <color theme="1"/>
        <rFont val="Calibri"/>
        <family val="2"/>
        <scheme val="minor"/>
      </rPr>
      <t>(rattrapage)</t>
    </r>
  </si>
  <si>
    <t>ACQUISITION / DISPOSITION</t>
  </si>
  <si>
    <t>TOTAL - APPROV. ET TRAITEMENT</t>
  </si>
  <si>
    <t>Sous-service: DISTRIBUTION</t>
  </si>
  <si>
    <t xml:space="preserve">Coûts prévisionnels (besoins) par année de planification </t>
  </si>
  <si>
    <t>TOTAL - DISTRIBUTION</t>
  </si>
  <si>
    <t>Voir le sommaire des prévisions</t>
  </si>
  <si>
    <t xml:space="preserve"> Partie 6 - Résumé financier</t>
  </si>
  <si>
    <t>STRATÉGIE DE FINANCEMENT</t>
  </si>
  <si>
    <t xml:space="preserve">&gt;&gt; Inscrivez votre stratégie financière sur les 10 prochaines années, en $ actuels, par sous-service (approvisionnement/traitement et distribution), pour le fonctionnement (exploitation et entretien), </t>
  </si>
  <si>
    <t xml:space="preserve">      le renouvellement (maintien et rattrapage) et les acquisitions/dispositions (ajouts et amélioration/bonification de service).</t>
  </si>
  <si>
    <t xml:space="preserve">***  Les coûts prévisionnels totaux (besoins totaux) présentés dans les tableaux ci-dessous sont directement reportés de la Partie 5 - Planification des coûts sur le cycle de vie. </t>
  </si>
  <si>
    <t>Type de financement ou de revenus</t>
  </si>
  <si>
    <t>Montants de financement interne et externe tel qu'anticipé actuellement, par année de planification</t>
  </si>
  <si>
    <t>Voir le sommaire du financement</t>
  </si>
  <si>
    <t xml:space="preserve"> Partie 7 - Amélioration et suivi</t>
  </si>
  <si>
    <t xml:space="preserve">NIVEAU DE CONFIANCE DANS LES DONNÉES </t>
  </si>
  <si>
    <t>&gt;&gt; Prenez connaissance des différentes cotes du niveau de confiance dans les données proposées ci-dessous:</t>
  </si>
  <si>
    <t>&gt;&gt; Déterminez ensuite sur quel(s) aspect(s) vous projetez de vous améliorer à court terme (1-4 ans), moyen terme (5-7 ans) et long terme (8-10 ans) en remplissant la colonne "horizon d'amélioration".</t>
  </si>
  <si>
    <t>***  Notez qu'il est préférable d'évaluer son niveau réel au meilleur de sa connaissance; il n'y a pas d'attentes quant au niveau minimal à atteindre au départ.</t>
  </si>
  <si>
    <t>L'objectif est que vous puissiez constater vos points forts et vos points à améliorer, ainsi que votre amélioration dans le temps.</t>
  </si>
  <si>
    <t>Type de données requises pour le PGA</t>
  </si>
  <si>
    <t>Niveau de confiance actuel</t>
  </si>
  <si>
    <t>Objectifs d'amélioration de la confiance</t>
  </si>
  <si>
    <r>
      <t xml:space="preserve"> Cote de 
 confiance </t>
    </r>
    <r>
      <rPr>
        <sz val="10"/>
        <color theme="1"/>
        <rFont val="Webdings"/>
        <family val="1"/>
        <charset val="2"/>
      </rPr>
      <t>6</t>
    </r>
  </si>
  <si>
    <r>
      <t xml:space="preserve"> Horizon 
 d'amélioration</t>
    </r>
    <r>
      <rPr>
        <sz val="10"/>
        <color theme="1"/>
        <rFont val="Webdings"/>
        <family val="1"/>
        <charset val="2"/>
      </rPr>
      <t>6</t>
    </r>
  </si>
  <si>
    <t xml:space="preserve"> Objectifs / Actions à mettre en place</t>
  </si>
  <si>
    <t>PORTRAIT DES ACTIFS</t>
  </si>
  <si>
    <t>(Cumulatif /30)</t>
  </si>
  <si>
    <t>Inventaire (linéaire)</t>
  </si>
  <si>
    <t>Inventaire (ponctuel)</t>
  </si>
  <si>
    <t>Valeur de remplacement (linéaire)</t>
  </si>
  <si>
    <t>Valeur de remplacement (ponctuel)</t>
  </si>
  <si>
    <t>Données d'état (linéaire)</t>
  </si>
  <si>
    <t>Données d'état (ponctuel)</t>
  </si>
  <si>
    <t>Explications et commentaires (si besoin)</t>
  </si>
  <si>
    <t>NIVEAUX DE SERVICE</t>
  </si>
  <si>
    <t>(Cumulatif /10)</t>
  </si>
  <si>
    <t>Tendance et performance (en lien avec les niveaux de services)</t>
  </si>
  <si>
    <r>
      <t xml:space="preserve">Coûts requis pour atteindre les objectifs de service </t>
    </r>
    <r>
      <rPr>
        <i/>
        <sz val="10"/>
        <color rgb="FF00B0F0"/>
        <rFont val="Calibri"/>
        <family val="2"/>
        <scheme val="minor"/>
      </rPr>
      <t>(voir partie 5)</t>
    </r>
  </si>
  <si>
    <t>Niveaux de risques</t>
  </si>
  <si>
    <r>
      <t xml:space="preserve">Coûts requis pour gérer les risques </t>
    </r>
    <r>
      <rPr>
        <i/>
        <sz val="10"/>
        <color rgb="FF00B0F0"/>
        <rFont val="Calibri"/>
        <family val="2"/>
        <scheme val="minor"/>
      </rPr>
      <t>(voir partie 5)</t>
    </r>
  </si>
  <si>
    <t>DEMANDE À VENIR</t>
  </si>
  <si>
    <t>Changements anticipés</t>
  </si>
  <si>
    <r>
      <t xml:space="preserve">Coûts requis pour gérer la demande à venir </t>
    </r>
    <r>
      <rPr>
        <i/>
        <sz val="10"/>
        <color rgb="FF00B0F0"/>
        <rFont val="Calibri"/>
        <family val="2"/>
        <scheme val="minor"/>
      </rPr>
      <t>(voir partie 5)</t>
    </r>
  </si>
  <si>
    <t>CYCLE DE VIE - IMMOBILISATIONS</t>
  </si>
  <si>
    <t>(Cumulatif /15)</t>
  </si>
  <si>
    <t>Budget d'immobilisation</t>
  </si>
  <si>
    <t>CYCLE DE VIE - FONCTIONNEMENT</t>
  </si>
  <si>
    <t>Budget de fonctionnement</t>
  </si>
  <si>
    <t>RÉSUMÉ FINANCIER</t>
  </si>
  <si>
    <t>COTE GLOBALE &amp; CUMULATIF GLOBAL (/100)</t>
  </si>
  <si>
    <t>Voir le sommaire du niveau de confiance</t>
  </si>
  <si>
    <t xml:space="preserve"> Partie 7 - Amélioration et suivi (suite)</t>
  </si>
  <si>
    <t>NIVEAU DE PROGRESSION DANS LA DÉMARCHE DE RÉALISATION DU PGA</t>
  </si>
  <si>
    <t>&gt;&gt; Prenez connaissance des différentes cotes du niveau de progression dans la démarche de réalisation du PGA-Eau proposées ci-dessous:</t>
  </si>
  <si>
    <t>Niveau de progression actuel</t>
  </si>
  <si>
    <t>Objectifs d'amélioration de la progression</t>
  </si>
  <si>
    <r>
      <t xml:space="preserve"> Cote de 
 progression </t>
    </r>
    <r>
      <rPr>
        <sz val="10"/>
        <color theme="1"/>
        <rFont val="Webdings"/>
        <family val="1"/>
        <charset val="2"/>
      </rPr>
      <t>6</t>
    </r>
  </si>
  <si>
    <t>(Cumulatif /20)</t>
  </si>
  <si>
    <t>Analyse et connaissance du linéaire</t>
  </si>
  <si>
    <t>Analyse et connaissance du ponctuel</t>
  </si>
  <si>
    <t>Analyse des niveaux de service "Exigences et mises aux normes"</t>
  </si>
  <si>
    <t>Analyse des niveaux de service "Technique" et "Citoyen"</t>
  </si>
  <si>
    <t xml:space="preserve">Analyse et planification des risques </t>
  </si>
  <si>
    <t>Analyse et planification de la demande à venir</t>
  </si>
  <si>
    <t>Analyse des données budgétaires d'immobilisation</t>
  </si>
  <si>
    <t>Analyse et planification des besoins d'immobilisations</t>
  </si>
  <si>
    <t>Analyse des données budgétaires de fonctionnement</t>
  </si>
  <si>
    <t>Analyse et planification des besoins de fonctionnement</t>
  </si>
  <si>
    <t>Stratégie de financement pour le fonctionnement</t>
  </si>
  <si>
    <t>Stratégie de financement pour le renouvellement</t>
  </si>
  <si>
    <t>Stratégie de financement pour les acquisitions/dispositions</t>
  </si>
  <si>
    <t>AMÉLIORATION ET SUIVI</t>
  </si>
  <si>
    <t>(Cumulatif /5)</t>
  </si>
  <si>
    <t xml:space="preserve"> Analyse de la confiance, la progression et objectifs d'amélioration</t>
  </si>
  <si>
    <t>Voir le sommaire du niveau de progression</t>
  </si>
  <si>
    <t xml:space="preserve"> Partie 8 - Sommaire</t>
  </si>
  <si>
    <t>RÉSULTATS DANS LE SOMMAIRE PGA EAU POTABLE  ET COMMENTAIRES</t>
  </si>
  <si>
    <t>&gt;&gt; Vous pouvez à présent consulter le sommaire complet de votre PGA pour l'eau potable.</t>
  </si>
  <si>
    <t>***  Notez que si certains visuels n'apparaissent pas dans le sommaire, il est probable que ce soit parce que certaines sections ci-haut ne sont pas complètement remplies.</t>
  </si>
  <si>
    <t xml:space="preserve">  Si certains visuels ne semblent pas correspondre à votre réalité, vous pouvez revalider les données saisies dans ce formulaire.</t>
  </si>
  <si>
    <r>
      <t xml:space="preserve">&gt;&gt; Si vous désirez commenter ou nuancer les visuels résultants de votre </t>
    </r>
    <r>
      <rPr>
        <u/>
        <sz val="11"/>
        <rFont val="Calibri"/>
        <family val="2"/>
        <scheme val="minor"/>
      </rPr>
      <t>sommaire PGA eau potable</t>
    </r>
    <r>
      <rPr>
        <sz val="11"/>
        <rFont val="Calibri"/>
        <family val="2"/>
        <scheme val="minor"/>
      </rPr>
      <t xml:space="preserve"> en expliquant votre contexte, et que ce commentaire apparaisse dans le sommaire, inscrivez-le dans la case suivante:</t>
    </r>
  </si>
  <si>
    <t>RÉSULTATS DANS LE SOMMAIRE PGA EAU GÉNÉRAL ET COMMENTAIRES</t>
  </si>
  <si>
    <t>&gt;&gt; Vous pouvez également consulter le sommaire général PGA EAU dans lequel certaines données synthèses pour l'eau potable saisies dans le présent formulaire apparaissent.</t>
  </si>
  <si>
    <t>***  Notez que si certains visuels relatifs à l'eau potable n'apparaissent pas dans le sommaire général, il est probable que ce soit parce que certaines sections ci-haut ne sont pas complètement remplies.</t>
  </si>
  <si>
    <t xml:space="preserve">  Rappelons que les formulaires par service doivent tous être remplis pour obtenir l'ensemble des visuels dans ce sommaire général.</t>
  </si>
  <si>
    <r>
      <t xml:space="preserve">&gt;&gt; Si vous désirez émettre un bref commentaire à propos des résultats relatifs à l'eau potable afin qu'il apparaisse au </t>
    </r>
    <r>
      <rPr>
        <u/>
        <sz val="11"/>
        <color theme="1"/>
        <rFont val="Calibri"/>
        <family val="2"/>
        <scheme val="minor"/>
      </rPr>
      <t>sommaire général</t>
    </r>
    <r>
      <rPr>
        <sz val="11"/>
        <color theme="1"/>
        <rFont val="Calibri"/>
        <family val="2"/>
        <scheme val="minor"/>
      </rPr>
      <t>, inscrivez-le dans la case suivante:</t>
    </r>
  </si>
  <si>
    <t>Plan de gestion des actifs de l'eau (PGA EAU)</t>
  </si>
  <si>
    <t>SERVICE DE L'EAU POTABLE - SOMMAIRE PGA</t>
  </si>
  <si>
    <t>INVENTAIRE ET VALEUR DE REMPLACEMENT DES ACTIFS À GÉRER</t>
  </si>
  <si>
    <t>ÉTAT DES ACTIFS</t>
  </si>
  <si>
    <t>n</t>
  </si>
  <si>
    <t>Sous-service: Approvisionnement et traitement</t>
  </si>
  <si>
    <t>Sous-service: Distribution</t>
  </si>
  <si>
    <t>ACTIFS EN MODE PARTAGÉ</t>
  </si>
  <si>
    <t>Autres</t>
  </si>
  <si>
    <t>INDICATEURS DE PERFORMANCE TECHNIQUE ET CITOYEN IDENTIFIÉS</t>
  </si>
  <si>
    <t>PRIORITÉS DE PERFORMANCE</t>
  </si>
  <si>
    <t>Exigence / Mise aux normes</t>
  </si>
  <si>
    <t>Critère de niveaux de service</t>
  </si>
  <si>
    <t>Catégorie 
technique</t>
  </si>
  <si>
    <t>Catégorie citoyen</t>
  </si>
  <si>
    <t xml:space="preserve">  Tendance actuelle
  de performance</t>
  </si>
  <si>
    <t>Objectif de performance</t>
  </si>
  <si>
    <r>
      <rPr>
        <b/>
        <sz val="9"/>
        <color theme="4" tint="-0.499984740745262"/>
        <rFont val="Calibri"/>
        <family val="2"/>
        <scheme val="minor"/>
      </rPr>
      <t>&gt; FONCTION</t>
    </r>
    <r>
      <rPr>
        <sz val="9"/>
        <color theme="4" tint="-0.499984740745262"/>
        <rFont val="Calibri"/>
        <family val="2"/>
        <scheme val="minor"/>
      </rPr>
      <t xml:space="preserve">  </t>
    </r>
    <r>
      <rPr>
        <i/>
        <sz val="9"/>
        <color theme="4" tint="-0.499984740745262"/>
        <rFont val="Calibri"/>
        <family val="2"/>
        <scheme val="minor"/>
      </rPr>
      <t>(Le service est fonctionnel)</t>
    </r>
  </si>
  <si>
    <r>
      <rPr>
        <b/>
        <sz val="9"/>
        <color theme="4" tint="-0.499984740745262"/>
        <rFont val="Calibri"/>
        <family val="2"/>
        <scheme val="minor"/>
      </rPr>
      <t>&gt; QUALITÉ</t>
    </r>
    <r>
      <rPr>
        <i/>
        <sz val="9"/>
        <color theme="4" tint="-0.499984740745262"/>
        <rFont val="Calibri"/>
        <family val="2"/>
        <scheme val="minor"/>
      </rPr>
      <t xml:space="preserve">  (Le service est de qualité acceptable)</t>
    </r>
  </si>
  <si>
    <r>
      <rPr>
        <b/>
        <sz val="9"/>
        <color theme="4" tint="-0.499984740745262"/>
        <rFont val="Calibri"/>
        <family val="2"/>
        <scheme val="minor"/>
      </rPr>
      <t xml:space="preserve">&gt; ÉTAT </t>
    </r>
    <r>
      <rPr>
        <sz val="9"/>
        <color theme="4" tint="-0.499984740745262"/>
        <rFont val="Calibri"/>
        <family val="2"/>
        <scheme val="minor"/>
      </rPr>
      <t xml:space="preserve"> </t>
    </r>
    <r>
      <rPr>
        <i/>
        <sz val="9"/>
        <color theme="4" tint="-0.499984740745262"/>
        <rFont val="Calibri"/>
        <family val="2"/>
        <scheme val="minor"/>
      </rPr>
      <t>(L'état des infrastructures est adéquat)</t>
    </r>
  </si>
  <si>
    <r>
      <rPr>
        <b/>
        <sz val="9"/>
        <color theme="4" tint="-0.499984740745262"/>
        <rFont val="Calibri"/>
        <family val="2"/>
        <scheme val="minor"/>
      </rPr>
      <t xml:space="preserve">&gt; CAPACITÉ </t>
    </r>
    <r>
      <rPr>
        <sz val="9"/>
        <color theme="4" tint="-0.499984740745262"/>
        <rFont val="Calibri"/>
        <family val="2"/>
        <scheme val="minor"/>
      </rPr>
      <t xml:space="preserve"> </t>
    </r>
    <r>
      <rPr>
        <i/>
        <sz val="9"/>
        <color theme="4" tint="-0.499984740745262"/>
        <rFont val="Calibri"/>
        <family val="2"/>
        <scheme val="minor"/>
      </rPr>
      <t>(Le service est de capacité adéquate)</t>
    </r>
  </si>
  <si>
    <t>&gt; AUTRES</t>
  </si>
  <si>
    <t>RISQUES À SURVEILLER</t>
  </si>
  <si>
    <t xml:space="preserve">CHANGEMENTS À SURVEILLER </t>
  </si>
  <si>
    <r>
      <t xml:space="preserve">Certains risques associés 
pouvant potentiellement atteindre 
</t>
    </r>
    <r>
      <rPr>
        <sz val="10"/>
        <color theme="4" tint="-0.499984740745262"/>
        <rFont val="Bahnschrift Light Condensed"/>
        <family val="2"/>
      </rPr>
      <t>un niveau faible ou modéré</t>
    </r>
  </si>
  <si>
    <r>
      <t xml:space="preserve">Certains risques associés 
pouvant potentiellement atteindre 
</t>
    </r>
    <r>
      <rPr>
        <sz val="10"/>
        <color theme="4" tint="-0.499984740745262"/>
        <rFont val="Bahnschrift Light Condensed"/>
        <family val="2"/>
      </rPr>
      <t>un niveau élevé</t>
    </r>
  </si>
  <si>
    <r>
      <t xml:space="preserve">Certains risques associés 
pouvant potentiellement atteindre 
</t>
    </r>
    <r>
      <rPr>
        <sz val="10"/>
        <color theme="4" tint="-0.499984740745262"/>
        <rFont val="Bahnschrift Light Condensed"/>
        <family val="2"/>
      </rPr>
      <t>un niveau très élevé</t>
    </r>
  </si>
  <si>
    <t>Changements à prévoir
à court terme (1-4 ans)</t>
  </si>
  <si>
    <t>Changements à prévoir
à moyen terme (5-7 ans)</t>
  </si>
  <si>
    <t>Changements à prévoir
à long terme (8-10 ans)</t>
  </si>
  <si>
    <t>Planification des coûts sur le cycle de vie</t>
  </si>
  <si>
    <t>COÛTS PRÉVISIONNELS (BESOINS) ANNUELS PAR PHASE DU CYCLE DE VIE</t>
  </si>
  <si>
    <r>
      <t xml:space="preserve">ÉCARTS ANNUELS MOYENS :  </t>
    </r>
    <r>
      <rPr>
        <b/>
        <sz val="10"/>
        <color theme="4" tint="-0.499984740745262"/>
        <rFont val="Calibri"/>
        <family val="2"/>
        <scheme val="minor"/>
      </rPr>
      <t>COÛTS PRÉVISIONNELS (BESOINS) VS BUDGET</t>
    </r>
  </si>
  <si>
    <t>COÛTS PRÉVISIONNELS (BESOINS) TOTAUX SUR</t>
  </si>
  <si>
    <t>Besoins annuels moyens</t>
  </si>
  <si>
    <r>
      <rPr>
        <b/>
        <sz val="11"/>
        <color theme="4" tint="-0.499984740745262"/>
        <rFont val="Calibri"/>
        <family val="2"/>
        <scheme val="minor"/>
      </rPr>
      <t xml:space="preserve">10 ANS :  </t>
    </r>
    <r>
      <rPr>
        <b/>
        <sz val="10"/>
        <color theme="4" tint="-0.499984740745262"/>
        <rFont val="Calibri"/>
        <family val="2"/>
        <scheme val="minor"/>
      </rPr>
      <t>RÉPARTITION PAR CATÉGORIES DE COÛTS</t>
    </r>
  </si>
  <si>
    <t>EXPLOITATION</t>
  </si>
  <si>
    <t>ENTRETIEN</t>
  </si>
  <si>
    <t>ACQUISITION</t>
  </si>
  <si>
    <t>DISPOSITION</t>
  </si>
  <si>
    <t>Coûts permettant de 
rattraper le retard</t>
  </si>
  <si>
    <r>
      <t xml:space="preserve">COÛTS PRÉVISIONNELS (BESOINS) TOTAUX SUR 10 ANS :  </t>
    </r>
    <r>
      <rPr>
        <b/>
        <sz val="10"/>
        <color theme="4" tint="-0.499984740745262"/>
        <rFont val="Calibri"/>
        <family val="2"/>
        <scheme val="minor"/>
      </rPr>
      <t>RÉPARTITION PAR SOUS-SERVICE ET PAR PHASE DU CYCLE DE VIE</t>
    </r>
  </si>
  <si>
    <t>soit</t>
  </si>
  <si>
    <t>des besoins pour le Service de l'eau potable</t>
  </si>
  <si>
    <t>Gestion des niveaux de service, risques et demande à venir (voir la répartition détaillée dans le tableau ci-dessous)</t>
  </si>
  <si>
    <t>Répartition des besoins du sous-service par phase du cycle de vie:</t>
  </si>
  <si>
    <t xml:space="preserve"> Gestion des 
 risques</t>
  </si>
  <si>
    <t xml:space="preserve"> Gestion de la 
 demande à venir</t>
  </si>
  <si>
    <r>
      <rPr>
        <b/>
        <sz val="11"/>
        <color theme="4" tint="-0.499984740745262"/>
        <rFont val="Calibri"/>
        <family val="2"/>
        <scheme val="minor"/>
      </rPr>
      <t xml:space="preserve">FONCTIONNEMENT  </t>
    </r>
    <r>
      <rPr>
        <b/>
        <sz val="8.5"/>
        <color theme="4" tint="-0.499984740745262"/>
        <rFont val="Calibri"/>
        <family val="2"/>
        <scheme val="minor"/>
      </rPr>
      <t>(EXPLOITATION ET ENTRETIEN)</t>
    </r>
  </si>
  <si>
    <r>
      <rPr>
        <b/>
        <sz val="11"/>
        <color theme="8" tint="-0.499984740745262"/>
        <rFont val="Calibri"/>
        <family val="2"/>
        <scheme val="minor"/>
      </rPr>
      <t xml:space="preserve">RENOUVELLEMENT  </t>
    </r>
    <r>
      <rPr>
        <b/>
        <sz val="8.5"/>
        <color theme="8" tint="-0.499984740745262"/>
        <rFont val="Calibri"/>
        <family val="2"/>
        <scheme val="minor"/>
      </rPr>
      <t>(MAINTIEN ET DÉFICIT DU MAINTIEN)</t>
    </r>
  </si>
  <si>
    <r>
      <rPr>
        <b/>
        <sz val="11"/>
        <color theme="8" tint="-0.499984740745262"/>
        <rFont val="Calibri"/>
        <family val="2"/>
        <scheme val="minor"/>
      </rPr>
      <t xml:space="preserve">ACQUISITION ET DISPOSITION  </t>
    </r>
    <r>
      <rPr>
        <b/>
        <sz val="8.5"/>
        <color theme="8" tint="-0.499984740745262"/>
        <rFont val="Calibri"/>
        <family val="2"/>
        <scheme val="minor"/>
      </rPr>
      <t>(AJOUTS ET AMÉLIORATION/BONIFICATION)</t>
    </r>
  </si>
  <si>
    <t>Montants totaux sur les 10 prochaines années</t>
  </si>
  <si>
    <t>Approvisionnement&amp;Traitement</t>
  </si>
  <si>
    <t xml:space="preserve">  Distribution</t>
  </si>
  <si>
    <t>Niveau de progression</t>
  </si>
  <si>
    <t xml:space="preserve">Niveau de confiance </t>
  </si>
  <si>
    <t>PORTRAIT DE LA PROGRESSION PAR PARTIE DU PGA</t>
  </si>
  <si>
    <t>PORTRAIT DE LA CONFIANCE DANS LES DONNÉES PAR PARTIE DU PGA</t>
  </si>
  <si>
    <t xml:space="preserve"> Approvisionnement&amp;Traitement</t>
  </si>
  <si>
    <t>Objectifs d'amélioration court terme (1-4 ans):</t>
  </si>
  <si>
    <t>Niv. Service</t>
  </si>
  <si>
    <t>COTE GLOBALE</t>
  </si>
  <si>
    <t>Commentaires généraux concernant la partie Eaux
usées du PGA-Eau</t>
  </si>
  <si>
    <t>Sous-service: 
COLLECTE</t>
  </si>
  <si>
    <t>(inclut les conduites de collecte, de refoulement ou d'interception)</t>
  </si>
  <si>
    <t>(inclut les ouvrages suivants : postes de pompage, ouvrages de surverse/rétention, chambres majeures)</t>
  </si>
  <si>
    <t>Sous-service: 
TRAITEMENT</t>
  </si>
  <si>
    <t>(inclut les émissaires)</t>
  </si>
  <si>
    <t>(inclut les installations de traitement)</t>
  </si>
  <si>
    <t>outil BI 2015</t>
  </si>
  <si>
    <r>
      <t xml:space="preserve">Mode de partage </t>
    </r>
    <r>
      <rPr>
        <sz val="10"/>
        <rFont val="Webdings"/>
        <family val="1"/>
        <charset val="2"/>
      </rPr>
      <t>6</t>
    </r>
  </si>
  <si>
    <t>Pour ce faire, vous devez toutefois distinguer les coûts de la mise en place des actions que vous venez de décrire en fonction:     &gt; du sous-service  (Collecte; Traitement);</t>
  </si>
  <si>
    <t>&gt;&gt;  Inscrivez vos budgets annuels actuels pour les eaux usées:</t>
  </si>
  <si>
    <r>
      <t xml:space="preserve">&gt; par sous-service  </t>
    </r>
    <r>
      <rPr>
        <sz val="10"/>
        <color theme="1"/>
        <rFont val="Calibri"/>
        <family val="2"/>
        <scheme val="minor"/>
      </rPr>
      <t>(1er tableau: Collecte; 2e tableau: Traitement).</t>
    </r>
  </si>
  <si>
    <t>Sous-service: COLLECTE</t>
  </si>
  <si>
    <t>TOTAL - COLLECTE</t>
  </si>
  <si>
    <t>Sous-service: TRAITEMENT</t>
  </si>
  <si>
    <t>TOTAL - TRAITEMENT</t>
  </si>
  <si>
    <t xml:space="preserve">&gt;&gt; Inscrivez votre stratégie financière sur les 10 prochaines années, en $ actuels, par sous-service (collecte et traitement), pour le fonctionnement (exploitation et entretien), </t>
  </si>
  <si>
    <t>RÉSULTATS DANS LE SOMMAIRE PGA EAUX USÉES  ET COMMENTAIRES</t>
  </si>
  <si>
    <t>&gt;&gt; Vous pouvez à présent consulter le sommaire complet de votre PGA pour les eaux usées.</t>
  </si>
  <si>
    <r>
      <t xml:space="preserve">&gt;&gt; Si vous désirez commenter ou nuancer les visuels résultants de votre </t>
    </r>
    <r>
      <rPr>
        <u/>
        <sz val="11"/>
        <rFont val="Calibri"/>
        <family val="2"/>
        <scheme val="minor"/>
      </rPr>
      <t>sommaire PGA eaux usées</t>
    </r>
    <r>
      <rPr>
        <sz val="11"/>
        <rFont val="Calibri"/>
        <family val="2"/>
        <scheme val="minor"/>
      </rPr>
      <t xml:space="preserve"> en expliquant votre contexte, et que ce commentaire apparaisse dans le sommaire, inscrivez-le dans la case suivante:</t>
    </r>
  </si>
  <si>
    <t>&gt;&gt; Vous pouvez également consulter le sommaire général PGA EAU dans lequel certaines données synthèses pour le service des eaux usées saisies dans le présent formulaire apparaissent.</t>
  </si>
  <si>
    <t>***  Notez que si certains visuels relatifs au service des eaux usées n'apparaissent pas dans le sommaire général, il est probable que ce soit parce que certaines sections ci-haut ne sont pas complètement remplies.</t>
  </si>
  <si>
    <r>
      <t xml:space="preserve">&gt;&gt; Si vous désirez émettre un bref commentaire à propos des résultats relatifs au service des eaux usées afin qu'il apparaisse au </t>
    </r>
    <r>
      <rPr>
        <u/>
        <sz val="11"/>
        <color theme="1"/>
        <rFont val="Calibri"/>
        <family val="2"/>
        <scheme val="minor"/>
      </rPr>
      <t>sommaire général</t>
    </r>
    <r>
      <rPr>
        <sz val="11"/>
        <color theme="1"/>
        <rFont val="Calibri"/>
        <family val="2"/>
        <scheme val="minor"/>
      </rPr>
      <t>, inscrivez-le dans la case suivante:</t>
    </r>
  </si>
  <si>
    <r>
      <t xml:space="preserve">CALCULS PERMETTANT LE LIEN AUTOMATIQUE ENTRE LE FORMULAIRE ET LE SOMMAIRE -- </t>
    </r>
    <r>
      <rPr>
        <b/>
        <u/>
        <sz val="24"/>
        <color theme="3" tint="-0.249977111117893"/>
        <rFont val="Calibri"/>
        <family val="2"/>
        <scheme val="minor"/>
      </rPr>
      <t>EAUX USÉES</t>
    </r>
  </si>
  <si>
    <t>Collecte / Linéaire</t>
  </si>
  <si>
    <t>Collecte / Ponctuel</t>
  </si>
  <si>
    <t>Collecte / Autres actifs</t>
  </si>
  <si>
    <t>Traitement / Linéaire</t>
  </si>
  <si>
    <t>Traitement / Ponctuel</t>
  </si>
  <si>
    <t>Traitement / Autres actifs</t>
  </si>
  <si>
    <t>COLLECTE</t>
  </si>
  <si>
    <t>Si pas de collecte</t>
  </si>
  <si>
    <t>TRAITEMENT</t>
  </si>
  <si>
    <t>Si pas de traitement</t>
  </si>
  <si>
    <t>Cumulatif COLLECTE</t>
  </si>
  <si>
    <t>Cumulatif TRAITEMENT</t>
  </si>
  <si>
    <t>Sous-service: Collecte</t>
  </si>
  <si>
    <t>Sous-service: Traitement</t>
  </si>
  <si>
    <t xml:space="preserve"> Traitement</t>
  </si>
  <si>
    <t>Commentaires généraux concernant la partie Eaux
pluviales du PGA-Eau</t>
  </si>
  <si>
    <t>***   Les informations contenues dans cette partie peuvent être obtenues à partir de votre plus récent Plan d'intervention pour le renouvellement 
         des conduites d'eau potable, d'égouts et des chaussées (PI) et de tout récent formulaire relatif à vos infrastructures ponctuelles (Outil besoin 
         en investissement (Outil BI) du MAMH, plan de renouvellement...).  
         En l'absence d'informations sur le sujet, vous pouvez toujours vous référer  à vos plus récentes données du 
         Portrait des infrastructures en eau des municipalités du Québec disponibles sur www.inframunicipal.ca.</t>
  </si>
  <si>
    <t>(inclut les conduites de collecte ou d'interception)</t>
  </si>
  <si>
    <t>(inclut les ouvrages suivants : postes de pompage, ouvrages de surverse, chambres majeures)</t>
  </si>
  <si>
    <t>(inclut les ouvrages de traitement et de rétention)</t>
  </si>
  <si>
    <t>&gt;&gt;  Inscrivez vos budgets annuels actuels pour les eaux pluviales:</t>
  </si>
  <si>
    <t>RÉSULTATS DANS LE SOMMAIRE PGA EAUX PLUVIALES  ET COMMENTAIRES</t>
  </si>
  <si>
    <t>&gt;&gt; Vous pouvez à présent consulter le sommaire complet de votre PGA pour les eaux pluviales.</t>
  </si>
  <si>
    <r>
      <t xml:space="preserve">&gt;&gt; Si vous désirez commenter ou nuancer les visuels résultants de votre </t>
    </r>
    <r>
      <rPr>
        <u/>
        <sz val="11"/>
        <rFont val="Calibri"/>
        <family val="2"/>
        <scheme val="minor"/>
      </rPr>
      <t>sommaire PGA eaux pluviales</t>
    </r>
    <r>
      <rPr>
        <sz val="11"/>
        <rFont val="Calibri"/>
        <family val="2"/>
        <scheme val="minor"/>
      </rPr>
      <t xml:space="preserve"> en expliquant votre contexte, et que ce commentaire apparaisse dans le sommaire, inscrivez-le dans la case suivante:</t>
    </r>
  </si>
  <si>
    <t>&gt;&gt; Vous pouvez également consulter le sommaire général PGA EAU dans lequel certaines données synthèses pour le service des eaux pluviales saisies dans le présent formulaire apparaissent.</t>
  </si>
  <si>
    <t>***  Notez que si certains visuels relatifs au service des eaux pluviales n'apparaissent pas dans le sommaire général, il est probable que ce soit parce que certaines sections ci-haut ne sont pas complètement remplies.</t>
  </si>
  <si>
    <r>
      <t xml:space="preserve">&gt;&gt; Si vous désirez émettre un bref commentaire à propos des résultats relatifs au service des eaux pluviales afin qu'il apparaisse au </t>
    </r>
    <r>
      <rPr>
        <u/>
        <sz val="11"/>
        <color theme="1"/>
        <rFont val="Calibri"/>
        <family val="2"/>
        <scheme val="minor"/>
      </rPr>
      <t>sommaire général</t>
    </r>
    <r>
      <rPr>
        <sz val="11"/>
        <color theme="1"/>
        <rFont val="Calibri"/>
        <family val="2"/>
        <scheme val="minor"/>
      </rPr>
      <t>, inscrivez-le dans la case suivante:</t>
    </r>
  </si>
  <si>
    <r>
      <t xml:space="preserve">CALCULS PERMETTANT LE LIEN AUTOMATIQUE ENTRE LE FORMULAIRE ET LE SOMMAIRE -- </t>
    </r>
    <r>
      <rPr>
        <b/>
        <u/>
        <sz val="24"/>
        <color theme="3" tint="-0.249977111117893"/>
        <rFont val="Calibri"/>
        <family val="2"/>
        <scheme val="minor"/>
      </rPr>
      <t>EAUX PLUVIALES</t>
    </r>
  </si>
  <si>
    <t>ATTENTION: RÉPONSE DE LA MUNICIPALITÉ À LA 1ERE QUESTION</t>
  </si>
  <si>
    <t>SERVICE DES EAUX PLUVIALES - SOMMAIRE PGA</t>
  </si>
  <si>
    <t>CALCULS PERMETTANT LE LIEN AUTOMATIQUE ENTRE LES 3 FORMULAIRES ET LE SOMMAIRE GÉNÉRAL</t>
  </si>
  <si>
    <t>PORTRAIT DES ACTIFS - Visuel 1</t>
  </si>
  <si>
    <t>Réponses des formulaires</t>
  </si>
  <si>
    <t>Confiance en la valeur</t>
  </si>
  <si>
    <t>Service de l'eau potable</t>
  </si>
  <si>
    <t>Service des eaux usées</t>
  </si>
  <si>
    <t>Service des eaux pluviales</t>
  </si>
  <si>
    <t>Total valeur</t>
  </si>
  <si>
    <t xml:space="preserve">NOTE: Les moyennes de confiance sont à poids égal entre les différents services, selon le choix 1 ou 2. </t>
  </si>
  <si>
    <t>Ceci s'applique pour l'ensemble des calculs de cotes de confiance moyennes pour l'ensemble du sommaire général.</t>
  </si>
  <si>
    <t xml:space="preserve">Réponse à la question concernant le nb de formulaires remplis: </t>
  </si>
  <si>
    <t>PORTRAIT DES ACTIFS - Visuel 2</t>
  </si>
  <si>
    <t>Appro Linéaire</t>
  </si>
  <si>
    <t>Valeur associé au %</t>
  </si>
  <si>
    <t>Appro Ponctuel</t>
  </si>
  <si>
    <t>Distrib Linéaire</t>
  </si>
  <si>
    <t>Distrib Ponctuel</t>
  </si>
  <si>
    <t>Total Eau potable Linéaire</t>
  </si>
  <si>
    <t>Total Eau potable Ponctuel</t>
  </si>
  <si>
    <t>Vérif de somme</t>
  </si>
  <si>
    <t>Collecte Linéaire</t>
  </si>
  <si>
    <t>Collecte Ponctuel</t>
  </si>
  <si>
    <t>Traitement Linéaire</t>
  </si>
  <si>
    <t>Traitement Ponctuel</t>
  </si>
  <si>
    <t>Total Eaux usées Linéaire</t>
  </si>
  <si>
    <t>Total Eaux usées Ponctuel</t>
  </si>
  <si>
    <t>TOUS LES SERVICES</t>
  </si>
  <si>
    <t>Moyenne confiance</t>
  </si>
  <si>
    <t>Eau potable /Linéaire</t>
  </si>
  <si>
    <t>Eau potable /Ponctuel</t>
  </si>
  <si>
    <t>Eaux usées /Linéaire</t>
  </si>
  <si>
    <t>Eaux usées /Ponctuel</t>
  </si>
  <si>
    <t>Eaux pluviales /Linéaire</t>
  </si>
  <si>
    <t>Eaux pluviales /Ponctuel</t>
  </si>
  <si>
    <t>Remaniement des colonnes…</t>
  </si>
  <si>
    <t>SOMMAIRE DES COÛTS PRÉVISIONNELS - Visuels 1et2</t>
  </si>
  <si>
    <t>BESOINS /SERVICES  ET /REGROUPEMENTS USUELS</t>
  </si>
  <si>
    <t>Budget actuel TOTAL</t>
  </si>
  <si>
    <t xml:space="preserve">RENOUVELLEMENT </t>
  </si>
  <si>
    <t>Exploitation/Entretien</t>
  </si>
  <si>
    <t>Acquisition/Disposition</t>
  </si>
  <si>
    <t>Exploitation / Entretien</t>
  </si>
  <si>
    <t>Acquisition / Disposition</t>
  </si>
  <si>
    <t>BUDGET / SERVICE</t>
  </si>
  <si>
    <t>BUDGET / REGROUPEMENT USUEL</t>
  </si>
  <si>
    <t>Budget</t>
  </si>
  <si>
    <t>Prévisions</t>
  </si>
  <si>
    <t>TOTAL Budget actuel</t>
  </si>
  <si>
    <t>SOMMAIRE DES COÛTS PRÉVISIONNELS - Visuel 3</t>
  </si>
  <si>
    <t>(voir la répartition détaillée dans le tableau ci-dessous)</t>
  </si>
  <si>
    <t>MOYENNE</t>
  </si>
  <si>
    <t>3 services</t>
  </si>
  <si>
    <t>PERSPECTIVES D'AMÉLIORATION - Visuels 1et2</t>
  </si>
  <si>
    <t>COTE GLOBALE ET CUMULATIF  --  NIVEAUX DE CONFIANCE / NIVEAU DE PROGRESSION</t>
  </si>
  <si>
    <t>Cotes et cumulatifs CONFIANCE par sous-service et moyennes par service</t>
  </si>
  <si>
    <t>Cotes et cumulatifs PROGRESSION par sous-service et moyennes par service</t>
  </si>
  <si>
    <t>EAU POTABLE</t>
  </si>
  <si>
    <t>Cote globale</t>
  </si>
  <si>
    <t>EAUX USÉES</t>
  </si>
  <si>
    <t>EAUX PLUVIALES</t>
  </si>
  <si>
    <t>Sommaire des cotes et cumulatifs CONFIANCE et PROGRESSION par service</t>
  </si>
  <si>
    <t>PROGRESSION</t>
  </si>
  <si>
    <t>Pour le tableau de CONFIANCE…</t>
  </si>
  <si>
    <t>Pour le tableau de PROGRESSION…</t>
  </si>
  <si>
    <t>SOMMAIRE DU RÉSUMÉ FINANCIER - Visuels 2, 3 et 4</t>
  </si>
  <si>
    <t>FONCTIONNEMENT - STRATÉGIE FINANCIÈRE</t>
  </si>
  <si>
    <t>Données saisies dans les formulaires et totaux des 3 services</t>
  </si>
  <si>
    <t>Pour les graphiques…</t>
  </si>
  <si>
    <t>BUDGET PLANIFIÉ</t>
  </si>
  <si>
    <t>DÉFICIT DE FINANCEMENT</t>
  </si>
  <si>
    <t>RENOUVELLEMENT - STRATÉGIE FINANCIÈRE</t>
  </si>
  <si>
    <t>ACQUISITIONS / DISPOSITIONS - STRATÉGIE FINANCIÈRE</t>
  </si>
  <si>
    <t>SOMMAIRE DU RÉSUMÉ FINANCIER - Visuel 1</t>
  </si>
  <si>
    <t>STRATÉGIE FINANCIÈRE GLOBALE</t>
  </si>
  <si>
    <t>GLOBAL</t>
  </si>
  <si>
    <t>Déficit de financement global</t>
  </si>
  <si>
    <t>Excédent de fonctionnement??????</t>
  </si>
  <si>
    <t>Eau 
potable</t>
  </si>
  <si>
    <t>Eaux 
usées</t>
  </si>
  <si>
    <t>Eaux 
pluviales</t>
  </si>
  <si>
    <t xml:space="preserve">GLOBAL </t>
  </si>
  <si>
    <t>Ratio de financement</t>
  </si>
  <si>
    <t>Ratio d'autofinancement</t>
  </si>
  <si>
    <t>NOTES / COMMENTAIRES DE LA MUNICIPALITÉ</t>
  </si>
  <si>
    <t>Concernant le service d'eau potable:</t>
  </si>
  <si>
    <t>Concernant le service des eaux usées:</t>
  </si>
  <si>
    <t xml:space="preserve">Concernant le service des eaux pluviales: </t>
  </si>
  <si>
    <t>(Note si choix de remplir 2 formulaires au lieu de 3)</t>
  </si>
  <si>
    <t>OBJECTIFS POTENTIELS DE SUIVI ANNUEL</t>
  </si>
  <si>
    <t>Indicateurs de réalisation</t>
  </si>
  <si>
    <t>Évolution de l'amélioration</t>
  </si>
  <si>
    <t xml:space="preserve">Indicateurs de niveaux de service </t>
  </si>
  <si>
    <t>Dépôt de documents</t>
  </si>
  <si>
    <t>Dernière mise à jour de documents</t>
  </si>
  <si>
    <t>Investissements réalisés vs planifiés PGA</t>
  </si>
  <si>
    <t>Tendance du niveau de progression PGA</t>
  </si>
  <si>
    <t>service / évolution de l'état</t>
  </si>
  <si>
    <t>Remise annuelle du rapport de la SQEEP</t>
  </si>
  <si>
    <t>Année du Plan d'intervention (PI)</t>
  </si>
  <si>
    <t>Financement gouvernemental vs municipalité</t>
  </si>
  <si>
    <t>Tendance du niveau de confiance des données</t>
  </si>
  <si>
    <t>Réflexion en cours / À déterminer</t>
  </si>
  <si>
    <t>Remise annuelle du rapport financier</t>
  </si>
  <si>
    <t>Tendances budgets et investissements</t>
  </si>
  <si>
    <t xml:space="preserve">Remise du PGA 2026 </t>
  </si>
  <si>
    <t>Plan de gestion des actifs de l'eau</t>
  </si>
  <si>
    <t>SOMMAIRE GÉNÉRAL PGA EAU</t>
  </si>
  <si>
    <t>Sommaire du portrait des actifs</t>
  </si>
  <si>
    <t>Sommaire de la planification des coûts prévisionnels (besoins)</t>
  </si>
  <si>
    <t>Sommaire de l'amélioration et du suivi</t>
  </si>
  <si>
    <t>COÛTS PRÉVISIONNELS ANNUELS PAR PHASE DU CYCLE DE VIE</t>
  </si>
  <si>
    <t xml:space="preserve">COÛTS PRÉVISIONNELS TOTAUX SUR 10 ANS: </t>
  </si>
  <si>
    <t>NIVEAU DE CONFIANCE SOMMAIRE DANS LES DONNÉES</t>
  </si>
  <si>
    <t>RÉPARTITION PAR 
CATÉGORIE DE COÛTS</t>
  </si>
  <si>
    <t>—</t>
  </si>
  <si>
    <t>Eau potable /Autres</t>
  </si>
  <si>
    <t>Eaux usées /Autres</t>
  </si>
  <si>
    <t>/ 100</t>
  </si>
  <si>
    <t>COÛTS PRÉVISIONNELS ANNUELS PAR SERVICE</t>
  </si>
  <si>
    <t>NIVEAU DE PROGRESSION SOMMAIRE PGA</t>
  </si>
  <si>
    <t xml:space="preserve">Gestion des niveaux de service, risques et demande à venir </t>
  </si>
  <si>
    <t xml:space="preserve"> Ponctuel</t>
  </si>
  <si>
    <t>Sommaire du résumé financier</t>
  </si>
  <si>
    <t>FINANCEMENT ET INDICATEURS</t>
  </si>
  <si>
    <r>
      <t xml:space="preserve">FONCTIONNEMENT  </t>
    </r>
    <r>
      <rPr>
        <b/>
        <sz val="9"/>
        <color theme="4" tint="-0.499984740745262"/>
        <rFont val="Calibri"/>
        <family val="2"/>
        <scheme val="minor"/>
      </rPr>
      <t xml:space="preserve"> (EXPLOITATION ET ENTRETIEN)</t>
    </r>
  </si>
  <si>
    <r>
      <t xml:space="preserve">RENOUVELLEMENT  </t>
    </r>
    <r>
      <rPr>
        <b/>
        <sz val="9"/>
        <color theme="8" tint="-0.499984740745262"/>
        <rFont val="Calibri"/>
        <family val="2"/>
        <scheme val="minor"/>
      </rPr>
      <t xml:space="preserve"> (MAINTIEN ET DÉFICIT DE MAINTIEN)</t>
    </r>
  </si>
  <si>
    <r>
      <t xml:space="preserve">ACQUISITION/DISPOSITION  </t>
    </r>
    <r>
      <rPr>
        <b/>
        <sz val="9"/>
        <color theme="8" tint="-0.499984740745262"/>
        <rFont val="Calibri"/>
        <family val="2"/>
        <scheme val="minor"/>
      </rPr>
      <t xml:space="preserve"> (AJOUTS ET AMÉLIORATION/BONIFICATION)</t>
    </r>
  </si>
  <si>
    <t>Besoins totaux des 10 prochaines années</t>
  </si>
  <si>
    <t>pour réaliser l'ensemble des activités sur les 3 services</t>
  </si>
  <si>
    <t>Répartition par service</t>
  </si>
  <si>
    <t xml:space="preserve"> Budget planifié</t>
  </si>
  <si>
    <t>Budget total planifié PGA</t>
  </si>
  <si>
    <t>Financement gouvernemental (provincial) planifié PGA</t>
  </si>
  <si>
    <t>Eau
potable</t>
  </si>
  <si>
    <t>Eaux
pluviales</t>
  </si>
  <si>
    <t>Sommaire du fonctionnement pour les 3 services</t>
  </si>
  <si>
    <t>Sommaire du renouvellement pour les 3 services</t>
  </si>
  <si>
    <t>Sommaire des acquisitions/dispositions pour les 3 services</t>
  </si>
  <si>
    <t>Notes / Commentaires de la municipalité</t>
  </si>
  <si>
    <t>CODE GÉOGRAPHIQUE</t>
  </si>
  <si>
    <t>MUNICIPALITÉS</t>
  </si>
  <si>
    <t>RÉGION ADMINISTRATIVE</t>
  </si>
  <si>
    <t>Abercorn</t>
  </si>
  <si>
    <t>Estrie (05)</t>
  </si>
  <si>
    <t>Acton Vale</t>
  </si>
  <si>
    <t>Montérégie (16)</t>
  </si>
  <si>
    <t>Adstock</t>
  </si>
  <si>
    <t>Chaudière-Appalaches (12)</t>
  </si>
  <si>
    <t>Aguanish</t>
  </si>
  <si>
    <t>Côte-Nord (09)</t>
  </si>
  <si>
    <t>Akulivik</t>
  </si>
  <si>
    <t>Nord-du-Québec (10)</t>
  </si>
  <si>
    <t>Albanel</t>
  </si>
  <si>
    <t>Albertville</t>
  </si>
  <si>
    <t>Bas-Saint-Laurent (01)</t>
  </si>
  <si>
    <t>Alleyn-et-Cawood</t>
  </si>
  <si>
    <t>Outaouais (07)</t>
  </si>
  <si>
    <t>Alma</t>
  </si>
  <si>
    <t>Amherst</t>
  </si>
  <si>
    <t>Laurentides (15)</t>
  </si>
  <si>
    <t>Amos</t>
  </si>
  <si>
    <t>Abitibi-Témiscamingue (08)</t>
  </si>
  <si>
    <t>Amqui</t>
  </si>
  <si>
    <t>Ange-Gardien</t>
  </si>
  <si>
    <t>Armagh</t>
  </si>
  <si>
    <t>Arundel</t>
  </si>
  <si>
    <t>Ascot Corner</t>
  </si>
  <si>
    <t>Aston-Jonction</t>
  </si>
  <si>
    <t>Centre-du-Québec (17)</t>
  </si>
  <si>
    <t>Auclair</t>
  </si>
  <si>
    <t>Audet</t>
  </si>
  <si>
    <t>Aumond</t>
  </si>
  <si>
    <t>Aupaluk</t>
  </si>
  <si>
    <t>Austin</t>
  </si>
  <si>
    <t>Authier</t>
  </si>
  <si>
    <t>Authier-Nord</t>
  </si>
  <si>
    <t>Ayer's Cliff</t>
  </si>
  <si>
    <t>Baie-Comeau</t>
  </si>
  <si>
    <t>Baie-des-Sables</t>
  </si>
  <si>
    <t>Baie-du-Febvre</t>
  </si>
  <si>
    <t>Baie-D'Urfé</t>
  </si>
  <si>
    <t>Montréal (06)</t>
  </si>
  <si>
    <t>Baie-Johan-Beetz</t>
  </si>
  <si>
    <t>Baie-Sainte-Catherine</t>
  </si>
  <si>
    <t>Capitale-Nationale (03)</t>
  </si>
  <si>
    <t>Baie-Saint-Paul</t>
  </si>
  <si>
    <t>Baie-Trinité</t>
  </si>
  <si>
    <t>Barkmere</t>
  </si>
  <si>
    <t>Barnston-Ouest</t>
  </si>
  <si>
    <t>Barraute</t>
  </si>
  <si>
    <t>Batiscan</t>
  </si>
  <si>
    <t>Mauricie (04)</t>
  </si>
  <si>
    <t>Beaconsfield</t>
  </si>
  <si>
    <t>Béarn</t>
  </si>
  <si>
    <t>Beauceville</t>
  </si>
  <si>
    <t>Beauharnois</t>
  </si>
  <si>
    <t>Beaulac-Garthby</t>
  </si>
  <si>
    <t>Beaumont</t>
  </si>
  <si>
    <t>Beaupré</t>
  </si>
  <si>
    <t>Bécancour</t>
  </si>
  <si>
    <t>Bedford</t>
  </si>
  <si>
    <t>Bégin</t>
  </si>
  <si>
    <t>Belcourt</t>
  </si>
  <si>
    <t>Belleterre</t>
  </si>
  <si>
    <t>Beloeil</t>
  </si>
  <si>
    <t>Berry</t>
  </si>
  <si>
    <t>Berthier-sur-Mer</t>
  </si>
  <si>
    <t>Berthierville</t>
  </si>
  <si>
    <t>Lanaudière (14)</t>
  </si>
  <si>
    <t>Béthanie</t>
  </si>
  <si>
    <t>Biencourt</t>
  </si>
  <si>
    <t>Blainville</t>
  </si>
  <si>
    <t>Blanc-Sablon</t>
  </si>
  <si>
    <t>Blue Sea</t>
  </si>
  <si>
    <t>Boileau</t>
  </si>
  <si>
    <t>Boisbriand</t>
  </si>
  <si>
    <t>Boischatel</t>
  </si>
  <si>
    <t>Bois-des-Filion</t>
  </si>
  <si>
    <t>Bois-Franc</t>
  </si>
  <si>
    <t>Bolton-Est</t>
  </si>
  <si>
    <t>Bolton-Ouest</t>
  </si>
  <si>
    <t>Bonaventure</t>
  </si>
  <si>
    <t>Bonne-Espérance</t>
  </si>
  <si>
    <t>Bonsecours</t>
  </si>
  <si>
    <t>Boucherville</t>
  </si>
  <si>
    <t>Bouchette</t>
  </si>
  <si>
    <t>Bowman</t>
  </si>
  <si>
    <t>Brébeuf</t>
  </si>
  <si>
    <t>Brigham</t>
  </si>
  <si>
    <t>Bristol</t>
  </si>
  <si>
    <t>Brome</t>
  </si>
  <si>
    <t>Bromont</t>
  </si>
  <si>
    <t>Brossard</t>
  </si>
  <si>
    <t>Brownsburg-Chatham</t>
  </si>
  <si>
    <t>Bryson</t>
  </si>
  <si>
    <t>Bury</t>
  </si>
  <si>
    <t>Cacouna</t>
  </si>
  <si>
    <t>Calixa-Lavallée</t>
  </si>
  <si>
    <t>Campbell's Bay</t>
  </si>
  <si>
    <t>Candiac</t>
  </si>
  <si>
    <t>Cantley</t>
  </si>
  <si>
    <t>Cap-Chat</t>
  </si>
  <si>
    <t>Caplan</t>
  </si>
  <si>
    <t>Cap-Saint-Ignace</t>
  </si>
  <si>
    <t>Cap-Santé</t>
  </si>
  <si>
    <t>Carignan</t>
  </si>
  <si>
    <t>Carleton-sur-Mer</t>
  </si>
  <si>
    <t>Cascapédia--Saint-Jules</t>
  </si>
  <si>
    <t>Causapscal</t>
  </si>
  <si>
    <t>Cayamant</t>
  </si>
  <si>
    <t>Chambly</t>
  </si>
  <si>
    <t>Chambord</t>
  </si>
  <si>
    <t>Champlain</t>
  </si>
  <si>
    <t>Champneuf</t>
  </si>
  <si>
    <t>Chandler</t>
  </si>
  <si>
    <t>Chapais</t>
  </si>
  <si>
    <t>Charette</t>
  </si>
  <si>
    <t>Charlemagne</t>
  </si>
  <si>
    <t>Chartierville</t>
  </si>
  <si>
    <t>Châteauguay</t>
  </si>
  <si>
    <t>Château-Richer</t>
  </si>
  <si>
    <t>Chazel</t>
  </si>
  <si>
    <t>Chelsea</t>
  </si>
  <si>
    <t>Chénéville</t>
  </si>
  <si>
    <t>Chertsey</t>
  </si>
  <si>
    <t>Chesterville</t>
  </si>
  <si>
    <t>Chibougamau</t>
  </si>
  <si>
    <t>Chichester</t>
  </si>
  <si>
    <t>Chisasibi</t>
  </si>
  <si>
    <t>Chute-aux-Outardes</t>
  </si>
  <si>
    <t>Chute-Saint-Philippe</t>
  </si>
  <si>
    <t>Clarenceville</t>
  </si>
  <si>
    <t>Clarendon</t>
  </si>
  <si>
    <t>Clermont</t>
  </si>
  <si>
    <t>Clerval</t>
  </si>
  <si>
    <t>Cleveland</t>
  </si>
  <si>
    <t>Cloridorme</t>
  </si>
  <si>
    <t>Coaticook</t>
  </si>
  <si>
    <t>Colombier</t>
  </si>
  <si>
    <t>Compton</t>
  </si>
  <si>
    <t>Contrecoeur</t>
  </si>
  <si>
    <t>Cookshire-Eaton</t>
  </si>
  <si>
    <t>Coteau-du-Lac</t>
  </si>
  <si>
    <t>Côte-Nord-du-Golfe-du-Saint-Laurent</t>
  </si>
  <si>
    <t>Côte-Saint-Luc</t>
  </si>
  <si>
    <t>Cowansville</t>
  </si>
  <si>
    <t>Crabtree</t>
  </si>
  <si>
    <t>Danville</t>
  </si>
  <si>
    <t>Daveluyville</t>
  </si>
  <si>
    <t>Dégelis</t>
  </si>
  <si>
    <t>Déléage</t>
  </si>
  <si>
    <t>Delson</t>
  </si>
  <si>
    <t>Denholm</t>
  </si>
  <si>
    <t>Desbiens</t>
  </si>
  <si>
    <t>Deschaillons-sur-Saint-Laurent</t>
  </si>
  <si>
    <t>Deschambault-Grondines</t>
  </si>
  <si>
    <t>Deux-Montagnes</t>
  </si>
  <si>
    <t>Disraeli</t>
  </si>
  <si>
    <t>Dixville</t>
  </si>
  <si>
    <t>Dolbeau-Mistassini</t>
  </si>
  <si>
    <t>Dollard-des-Ormeaux</t>
  </si>
  <si>
    <t>Donnacona</t>
  </si>
  <si>
    <t>Dorval</t>
  </si>
  <si>
    <t>Dosquet</t>
  </si>
  <si>
    <t>Drummondville</t>
  </si>
  <si>
    <t>Dudswell</t>
  </si>
  <si>
    <t>Duhamel</t>
  </si>
  <si>
    <t>Duhamel-Ouest</t>
  </si>
  <si>
    <t>Dundee</t>
  </si>
  <si>
    <t>Dunham</t>
  </si>
  <si>
    <t>Duparquet</t>
  </si>
  <si>
    <t>Dupuy</t>
  </si>
  <si>
    <t>Durham-Sud</t>
  </si>
  <si>
    <t>East Angus</t>
  </si>
  <si>
    <t>East Broughton</t>
  </si>
  <si>
    <t>East Farnham</t>
  </si>
  <si>
    <t>East Hereford</t>
  </si>
  <si>
    <t>Eastmain</t>
  </si>
  <si>
    <t>Eastman</t>
  </si>
  <si>
    <t>Eeyou Istchee Baie-James</t>
  </si>
  <si>
    <t>Egan-Sud</t>
  </si>
  <si>
    <t>Elgin</t>
  </si>
  <si>
    <t>Entrelacs</t>
  </si>
  <si>
    <t>Escuminac</t>
  </si>
  <si>
    <t>Esprit-Saint</t>
  </si>
  <si>
    <t>Estérel</t>
  </si>
  <si>
    <t>Farnham</t>
  </si>
  <si>
    <t>Fassett</t>
  </si>
  <si>
    <t>Ferland-et-Boilleau</t>
  </si>
  <si>
    <t>Ferme-Neuve</t>
  </si>
  <si>
    <t>Fermont</t>
  </si>
  <si>
    <t>Forestville</t>
  </si>
  <si>
    <t>Fort-Coulonge</t>
  </si>
  <si>
    <t>Fortierville</t>
  </si>
  <si>
    <t>Fossambault-sur-le-Lac</t>
  </si>
  <si>
    <t>Frampton</t>
  </si>
  <si>
    <t>Franklin</t>
  </si>
  <si>
    <t>Franquelin</t>
  </si>
  <si>
    <t>Frelighsburg</t>
  </si>
  <si>
    <t>Frontenac</t>
  </si>
  <si>
    <t>Fugèreville</t>
  </si>
  <si>
    <t>Gallichan</t>
  </si>
  <si>
    <t>Gaspé</t>
  </si>
  <si>
    <t>Gatineau</t>
  </si>
  <si>
    <t>Girardville</t>
  </si>
  <si>
    <t>Godbout</t>
  </si>
  <si>
    <t>Godmanchester</t>
  </si>
  <si>
    <t>Gore</t>
  </si>
  <si>
    <t>Gracefield</t>
  </si>
  <si>
    <t>Granby</t>
  </si>
  <si>
    <t>Grande-Rivière</t>
  </si>
  <si>
    <t>Grandes-Piles</t>
  </si>
  <si>
    <t>Grande-Vallée</t>
  </si>
  <si>
    <t>Grand-Métis</t>
  </si>
  <si>
    <t>Grand-Remous</t>
  </si>
  <si>
    <t>Grand-Saint-Esprit</t>
  </si>
  <si>
    <t>Grenville</t>
  </si>
  <si>
    <t>Grenville-sur-la-Rouge</t>
  </si>
  <si>
    <t>Gros-Mécatina</t>
  </si>
  <si>
    <t>Grosse-Île</t>
  </si>
  <si>
    <t>Grosses-Roches</t>
  </si>
  <si>
    <t>Guérin</t>
  </si>
  <si>
    <t>Ham-Nord</t>
  </si>
  <si>
    <t>Hampden</t>
  </si>
  <si>
    <t>Hampstead</t>
  </si>
  <si>
    <t>Ham-Sud</t>
  </si>
  <si>
    <t>Harrington</t>
  </si>
  <si>
    <t>Hatley</t>
  </si>
  <si>
    <t>Havelock</t>
  </si>
  <si>
    <t>Havre-Saint-Pierre</t>
  </si>
  <si>
    <t>Hébertville</t>
  </si>
  <si>
    <t>Hébertville-Station</t>
  </si>
  <si>
    <t>Hemmingford</t>
  </si>
  <si>
    <t>Henryville</t>
  </si>
  <si>
    <t>Hérouxville</t>
  </si>
  <si>
    <t>Hinchinbrooke</t>
  </si>
  <si>
    <t>Honfleur</t>
  </si>
  <si>
    <t>Hope</t>
  </si>
  <si>
    <t>Hope Town</t>
  </si>
  <si>
    <t>Howick</t>
  </si>
  <si>
    <t>Huberdeau</t>
  </si>
  <si>
    <t>Hudson</t>
  </si>
  <si>
    <t>Huntingdon</t>
  </si>
  <si>
    <t>Inukjuak</t>
  </si>
  <si>
    <t>Inverness</t>
  </si>
  <si>
    <t>Irlande</t>
  </si>
  <si>
    <t>Ivry-sur-le-Lac</t>
  </si>
  <si>
    <t>Ivujivik</t>
  </si>
  <si>
    <t>Joliette</t>
  </si>
  <si>
    <t>Kamouraska</t>
  </si>
  <si>
    <t>Kangiqsualujjuaq</t>
  </si>
  <si>
    <t>Kangiqsujuaq</t>
  </si>
  <si>
    <t>Kangirsuk</t>
  </si>
  <si>
    <t>Kawawachikamach</t>
  </si>
  <si>
    <t>Kazabazua</t>
  </si>
  <si>
    <t>Kiamika</t>
  </si>
  <si>
    <t>Kingsbury</t>
  </si>
  <si>
    <t>Kingsey Falls</t>
  </si>
  <si>
    <t>Kinnear's Mills</t>
  </si>
  <si>
    <t>Kipawa</t>
  </si>
  <si>
    <t>Kirkland</t>
  </si>
  <si>
    <t>Kuujjuaq</t>
  </si>
  <si>
    <t>Kuujjuarapik</t>
  </si>
  <si>
    <t>La Bostonnais</t>
  </si>
  <si>
    <t>La Conception</t>
  </si>
  <si>
    <t>La Corne</t>
  </si>
  <si>
    <t>La Doré</t>
  </si>
  <si>
    <t>La Durantaye</t>
  </si>
  <si>
    <t>La Guadeloupe</t>
  </si>
  <si>
    <t>La Macaza</t>
  </si>
  <si>
    <t>La Malbaie</t>
  </si>
  <si>
    <t>La Martre</t>
  </si>
  <si>
    <t>La Minerve</t>
  </si>
  <si>
    <t>La Morandière-Rochebaucourt</t>
  </si>
  <si>
    <t>La Motte</t>
  </si>
  <si>
    <t>La Patrie</t>
  </si>
  <si>
    <t>La Pêche</t>
  </si>
  <si>
    <t>La Pocatière</t>
  </si>
  <si>
    <t>La Prairie</t>
  </si>
  <si>
    <t>La Présentation</t>
  </si>
  <si>
    <t>La Rédemption</t>
  </si>
  <si>
    <t>La Reine</t>
  </si>
  <si>
    <t>La Sarre</t>
  </si>
  <si>
    <t>La Trinité-des-Monts</t>
  </si>
  <si>
    <t>La Tuque</t>
  </si>
  <si>
    <t>La Visitation-de-l'Île-Dupas</t>
  </si>
  <si>
    <t>La Visitation-de-Yamaska</t>
  </si>
  <si>
    <t>Labelle</t>
  </si>
  <si>
    <t>Labrecque</t>
  </si>
  <si>
    <t>Lac-au-Saumon</t>
  </si>
  <si>
    <t>Lac-aux-Sables</t>
  </si>
  <si>
    <t>Lac-Beauport</t>
  </si>
  <si>
    <t>Lac-Bouchette</t>
  </si>
  <si>
    <t>Lac-Brome</t>
  </si>
  <si>
    <t>Lac-Delage</t>
  </si>
  <si>
    <t>Lac-des-Aigles</t>
  </si>
  <si>
    <t>Lac-des-Écorces</t>
  </si>
  <si>
    <t>Lac-des-Plages</t>
  </si>
  <si>
    <t>Lac-des-Seize-Îles</t>
  </si>
  <si>
    <t>Lac-Drolet</t>
  </si>
  <si>
    <t>Lac-du-Cerf</t>
  </si>
  <si>
    <t>Lac-Édouard</t>
  </si>
  <si>
    <t>Lac-Etchemin</t>
  </si>
  <si>
    <t>Lac-Frontière</t>
  </si>
  <si>
    <t>Lachute</t>
  </si>
  <si>
    <t>Lac-Mégantic</t>
  </si>
  <si>
    <t>Lacolle</t>
  </si>
  <si>
    <t>Lac-Poulin</t>
  </si>
  <si>
    <t>Lac-Saguay</t>
  </si>
  <si>
    <t>Lac-Sainte-Marie</t>
  </si>
  <si>
    <t>Lac-Saint-Joseph</t>
  </si>
  <si>
    <t>Lac-Saint-Paul</t>
  </si>
  <si>
    <t>Lac-Sergent</t>
  </si>
  <si>
    <t>Lac-Simon</t>
  </si>
  <si>
    <t>Lac-Supérieur</t>
  </si>
  <si>
    <t>Lac-Tremblant-Nord</t>
  </si>
  <si>
    <t>Laforce</t>
  </si>
  <si>
    <t>Lamarche</t>
  </si>
  <si>
    <t>Lambton</t>
  </si>
  <si>
    <t>L'Ancienne-Lorette</t>
  </si>
  <si>
    <t>Landrienne</t>
  </si>
  <si>
    <t>L'Ange-Gardien</t>
  </si>
  <si>
    <t>Lanoraie</t>
  </si>
  <si>
    <t>L'Anse-Saint-Jean</t>
  </si>
  <si>
    <t>Lantier</t>
  </si>
  <si>
    <t>Larouche</t>
  </si>
  <si>
    <t>L'Ascension</t>
  </si>
  <si>
    <t>L'Ascension-de-Notre-Seigneur</t>
  </si>
  <si>
    <t>L'Ascension-de-Patapédia</t>
  </si>
  <si>
    <t>L'Assomption</t>
  </si>
  <si>
    <t>Latulipe-et-Gaboury</t>
  </si>
  <si>
    <t>Launay</t>
  </si>
  <si>
    <t>Laurier-Station</t>
  </si>
  <si>
    <t>Laurierville</t>
  </si>
  <si>
    <t>Laval</t>
  </si>
  <si>
    <t>Laval (13)</t>
  </si>
  <si>
    <t>Lavaltrie</t>
  </si>
  <si>
    <t>L'Avenir</t>
  </si>
  <si>
    <t>Laverlochère-Angliers</t>
  </si>
  <si>
    <t>Lawrenceville</t>
  </si>
  <si>
    <t>Lebel-sur-Quévillon</t>
  </si>
  <si>
    <t>Leclercville</t>
  </si>
  <si>
    <t>Lefebvre</t>
  </si>
  <si>
    <t>Lejeune</t>
  </si>
  <si>
    <t>Lemieux</t>
  </si>
  <si>
    <t>L'Épiphanie</t>
  </si>
  <si>
    <t>Léry</t>
  </si>
  <si>
    <t>Les Bergeronnes</t>
  </si>
  <si>
    <t>Les Cèdres</t>
  </si>
  <si>
    <t>Les Coteaux</t>
  </si>
  <si>
    <t>Les Éboulements</t>
  </si>
  <si>
    <t>Les Escoumins</t>
  </si>
  <si>
    <t>Les Hauteurs</t>
  </si>
  <si>
    <t>Les Îles-de-la-Madeleine</t>
  </si>
  <si>
    <t>Les Méchins</t>
  </si>
  <si>
    <t>Lévis</t>
  </si>
  <si>
    <t>L'Île-Cadieux</t>
  </si>
  <si>
    <t>L'Île-d'Anticosti</t>
  </si>
  <si>
    <t>L'Île-Dorval</t>
  </si>
  <si>
    <t>L'Île-du-Grand-Calumet</t>
  </si>
  <si>
    <t>L'Île-Perrot</t>
  </si>
  <si>
    <t>Lingwick</t>
  </si>
  <si>
    <t>L'Isle-aux-Allumettes</t>
  </si>
  <si>
    <t>L'Isle-aux-Coudres</t>
  </si>
  <si>
    <t>L'Islet</t>
  </si>
  <si>
    <t>L'Isle-Verte</t>
  </si>
  <si>
    <t>Litchfield</t>
  </si>
  <si>
    <t>Lochaber</t>
  </si>
  <si>
    <t>Lochaber-Partie-Ouest</t>
  </si>
  <si>
    <t>Longue-Pointe-de-Mingan</t>
  </si>
  <si>
    <t>Longue-Rive</t>
  </si>
  <si>
    <t>Longueuil</t>
  </si>
  <si>
    <t>Lorraine</t>
  </si>
  <si>
    <t>Lorrainville</t>
  </si>
  <si>
    <t>Lotbinière</t>
  </si>
  <si>
    <t>Louiseville</t>
  </si>
  <si>
    <t>Low</t>
  </si>
  <si>
    <t>Lyster</t>
  </si>
  <si>
    <t>Macamic</t>
  </si>
  <si>
    <t>Maddington Falls</t>
  </si>
  <si>
    <t>Magog</t>
  </si>
  <si>
    <t>Malartic</t>
  </si>
  <si>
    <t>Mandeville</t>
  </si>
  <si>
    <t>Maniwaki</t>
  </si>
  <si>
    <t>Manseau</t>
  </si>
  <si>
    <t>Mansfield-et-Pontefract</t>
  </si>
  <si>
    <t>Maria</t>
  </si>
  <si>
    <t>Maricourt</t>
  </si>
  <si>
    <t>Marieville</t>
  </si>
  <si>
    <t>Marsoui</t>
  </si>
  <si>
    <t>Marston</t>
  </si>
  <si>
    <t>Martinville</t>
  </si>
  <si>
    <t>Mascouche</t>
  </si>
  <si>
    <t>Maskinongé</t>
  </si>
  <si>
    <t>Massueville</t>
  </si>
  <si>
    <t>Matagami</t>
  </si>
  <si>
    <t>Matane</t>
  </si>
  <si>
    <t>Matapédia</t>
  </si>
  <si>
    <t>Mayo</t>
  </si>
  <si>
    <t>McMasterville</t>
  </si>
  <si>
    <t>Melbourne</t>
  </si>
  <si>
    <t>Mercier</t>
  </si>
  <si>
    <t>Messines</t>
  </si>
  <si>
    <t>Métabetchouan--Lac-à-la-Croix</t>
  </si>
  <si>
    <t>Métis-sur-Mer</t>
  </si>
  <si>
    <t>Milan</t>
  </si>
  <si>
    <t>Mille-Isles</t>
  </si>
  <si>
    <t>Mirabel</t>
  </si>
  <si>
    <t>Mistissini</t>
  </si>
  <si>
    <t>Moffet</t>
  </si>
  <si>
    <t>Mont-Blanc</t>
  </si>
  <si>
    <t>Montcalm</t>
  </si>
  <si>
    <t>Mont-Carmel</t>
  </si>
  <si>
    <t>Montcerf-Lytton</t>
  </si>
  <si>
    <t>Montebello</t>
  </si>
  <si>
    <t>Mont-Joli</t>
  </si>
  <si>
    <t>Mont-Laurier</t>
  </si>
  <si>
    <t>Montmagny</t>
  </si>
  <si>
    <t>Montpellier</t>
  </si>
  <si>
    <t>Montréal</t>
  </si>
  <si>
    <t>Montréal-Est</t>
  </si>
  <si>
    <t>Montréal-Ouest</t>
  </si>
  <si>
    <t>Mont-Royal</t>
  </si>
  <si>
    <t>Mont-Saint-Grégoire</t>
  </si>
  <si>
    <t>Mont-Saint-Hilaire</t>
  </si>
  <si>
    <t>Mont-Saint-Michel</t>
  </si>
  <si>
    <t>Mont-Saint-Pierre</t>
  </si>
  <si>
    <t>Mont-Tremblant</t>
  </si>
  <si>
    <t>Morin-Heights</t>
  </si>
  <si>
    <t>Mulgrave-et-Derry</t>
  </si>
  <si>
    <t>Murdochville</t>
  </si>
  <si>
    <t>Namur</t>
  </si>
  <si>
    <t>Nantes</t>
  </si>
  <si>
    <t>Napierville</t>
  </si>
  <si>
    <t>Natashquan</t>
  </si>
  <si>
    <t>Notre-Dame-Auxiliatrice-de-Buckland</t>
  </si>
  <si>
    <t>Notre-Dame-de-Bonsecours</t>
  </si>
  <si>
    <t>Notre-Dame-du-Sacré-Coeur-d'Issoudun</t>
  </si>
  <si>
    <t>Nédélec</t>
  </si>
  <si>
    <t>Nemaska</t>
  </si>
  <si>
    <t>Neuville</t>
  </si>
  <si>
    <t>New Carlisle</t>
  </si>
  <si>
    <t>New Richmond</t>
  </si>
  <si>
    <t>Newport</t>
  </si>
  <si>
    <t>Nicolet</t>
  </si>
  <si>
    <t>Nominingue</t>
  </si>
  <si>
    <t>Normandin</t>
  </si>
  <si>
    <t>Normétal</t>
  </si>
  <si>
    <t>North Hatley</t>
  </si>
  <si>
    <t>Notre-Dame-de-Ham</t>
  </si>
  <si>
    <t>Notre-Dame-de-la-Merci</t>
  </si>
  <si>
    <t>Notre-Dame-de-la-Paix</t>
  </si>
  <si>
    <t>Notre-Dame-de-la-Salette</t>
  </si>
  <si>
    <t>Notre-Dame-de-l'Île-Perrot</t>
  </si>
  <si>
    <t>Notre-Dame-de-Lorette</t>
  </si>
  <si>
    <t>Notre-Dame-de-Lourdes</t>
  </si>
  <si>
    <t>Notre-Dame-de-Montauban</t>
  </si>
  <si>
    <t>Notre-Dame-de-Pontmain</t>
  </si>
  <si>
    <t>Notre-Dame-des-Anges</t>
  </si>
  <si>
    <t>Notre-Dame-des-Bois</t>
  </si>
  <si>
    <t>Notre-Dame-des-Monts</t>
  </si>
  <si>
    <t>Notre-Dame-des-Neiges</t>
  </si>
  <si>
    <t>Notre-Dame-des-Pins</t>
  </si>
  <si>
    <t>Notre-Dame-des-Prairies</t>
  </si>
  <si>
    <t>Notre-Dame-des-Sept-Douleurs</t>
  </si>
  <si>
    <t>Notre-Dame-de-Stanbridge</t>
  </si>
  <si>
    <t>Notre-Dame-du-Bon-Conseil</t>
  </si>
  <si>
    <t>Notre-Dame-du-Laus</t>
  </si>
  <si>
    <t>Notre-Dame-du-Mont-Carmel</t>
  </si>
  <si>
    <t>Notre-Dame-du-Nord</t>
  </si>
  <si>
    <t>Notre-Dame-du-Portage</t>
  </si>
  <si>
    <t>Notre-Dame-du-Rosaire</t>
  </si>
  <si>
    <t>Nouvelle</t>
  </si>
  <si>
    <t>Noyan</t>
  </si>
  <si>
    <t>Ogden</t>
  </si>
  <si>
    <t>Oka</t>
  </si>
  <si>
    <t>Orford</t>
  </si>
  <si>
    <t>Ormstown</t>
  </si>
  <si>
    <t>Otter Lake</t>
  </si>
  <si>
    <t>Otterburn Park</t>
  </si>
  <si>
    <t>Packington</t>
  </si>
  <si>
    <t>Padoue</t>
  </si>
  <si>
    <t>Palmarolle</t>
  </si>
  <si>
    <t>Papineauville</t>
  </si>
  <si>
    <t>Parisville</t>
  </si>
  <si>
    <t>Paspébiac</t>
  </si>
  <si>
    <t>Percé</t>
  </si>
  <si>
    <t>Péribonka</t>
  </si>
  <si>
    <t>Petite-Rivière-Saint-François</t>
  </si>
  <si>
    <t>Petite-Vallée</t>
  </si>
  <si>
    <t>Petit-Saguenay</t>
  </si>
  <si>
    <t>Piedmont</t>
  </si>
  <si>
    <t>Pierreville</t>
  </si>
  <si>
    <t>Pike River</t>
  </si>
  <si>
    <t>Pincourt</t>
  </si>
  <si>
    <t>Piopolis</t>
  </si>
  <si>
    <t>Plaisance</t>
  </si>
  <si>
    <t>Plessisville</t>
  </si>
  <si>
    <t>Pohénégamook</t>
  </si>
  <si>
    <t>Pointe-à-la-Croix</t>
  </si>
  <si>
    <t>Pointe-aux-Outardes</t>
  </si>
  <si>
    <t>Pointe-Calumet</t>
  </si>
  <si>
    <t>Pointe-Claire</t>
  </si>
  <si>
    <t>Pointe-des-Cascades</t>
  </si>
  <si>
    <t>Pointe-Fortune</t>
  </si>
  <si>
    <t>Pointe-Lebel</t>
  </si>
  <si>
    <t>Pontiac</t>
  </si>
  <si>
    <t>Pont-Rouge</t>
  </si>
  <si>
    <t>Portage-du-Fort</t>
  </si>
  <si>
    <t>Port-Cartier</t>
  </si>
  <si>
    <t>Port-Daniel--Gascons</t>
  </si>
  <si>
    <t>Portneuf</t>
  </si>
  <si>
    <t>Portneuf-sur-Mer</t>
  </si>
  <si>
    <t>Potton</t>
  </si>
  <si>
    <t>Poularies</t>
  </si>
  <si>
    <t>Preissac</t>
  </si>
  <si>
    <t>Prévost</t>
  </si>
  <si>
    <t>Price</t>
  </si>
  <si>
    <t>Princeville</t>
  </si>
  <si>
    <t>Puvirnituq</t>
  </si>
  <si>
    <t>Quaqtaq</t>
  </si>
  <si>
    <t>Québec</t>
  </si>
  <si>
    <t>Racine</t>
  </si>
  <si>
    <t>Ragueneau</t>
  </si>
  <si>
    <t>Rapide-Danseur</t>
  </si>
  <si>
    <t>Rapides-des-Joachims</t>
  </si>
  <si>
    <t>Rawdon</t>
  </si>
  <si>
    <t>Rémigny</t>
  </si>
  <si>
    <t>Repentigny</t>
  </si>
  <si>
    <t>Richelieu</t>
  </si>
  <si>
    <t>Richmond</t>
  </si>
  <si>
    <t>Rigaud</t>
  </si>
  <si>
    <t>Rimouski</t>
  </si>
  <si>
    <t>Ripon</t>
  </si>
  <si>
    <t>Ristigouche-Partie-Sud-Est</t>
  </si>
  <si>
    <t>Rivière-à-Claude</t>
  </si>
  <si>
    <t>Rivière-à-Pierre</t>
  </si>
  <si>
    <t>Rivière-au-Tonnerre</t>
  </si>
  <si>
    <t>Rivière-Beaudette</t>
  </si>
  <si>
    <t>Rivière-Bleue</t>
  </si>
  <si>
    <t>Rivière-du-Loup</t>
  </si>
  <si>
    <t>Rivière-Éternité</t>
  </si>
  <si>
    <t>Rivière-Héva</t>
  </si>
  <si>
    <t>Rivière-Ouelle</t>
  </si>
  <si>
    <t>Rivière-Rouge</t>
  </si>
  <si>
    <t>Rivière-Saint-Jean</t>
  </si>
  <si>
    <t>Roberval</t>
  </si>
  <si>
    <t>Roquemaure</t>
  </si>
  <si>
    <t>Rosemère</t>
  </si>
  <si>
    <t>Rougemont</t>
  </si>
  <si>
    <t>Rouyn-Noranda</t>
  </si>
  <si>
    <t>Roxton</t>
  </si>
  <si>
    <t>Roxton Falls</t>
  </si>
  <si>
    <t>Roxton Pond</t>
  </si>
  <si>
    <t>Sacré-Coeur</t>
  </si>
  <si>
    <t>Sacré-Coeur-de-Jésus</t>
  </si>
  <si>
    <t>Saguenay</t>
  </si>
  <si>
    <t>Saint-Adalbert</t>
  </si>
  <si>
    <t>Saint-Adelme</t>
  </si>
  <si>
    <t>Saint-Adelphe</t>
  </si>
  <si>
    <t>Saint-Adolphe-d'Howard</t>
  </si>
  <si>
    <t>Saint-Adrien</t>
  </si>
  <si>
    <t>Saint-Adrien-d'Irlande</t>
  </si>
  <si>
    <t>Saint-Agapit</t>
  </si>
  <si>
    <t>Saint-Aimé</t>
  </si>
  <si>
    <t>Saint-Aimé-des-Lacs</t>
  </si>
  <si>
    <t>Saint-Aimé-du-Lac-des-Îles</t>
  </si>
  <si>
    <t>Saint-Alban</t>
  </si>
  <si>
    <t>Saint-Albert</t>
  </si>
  <si>
    <t>Saint-Alexandre</t>
  </si>
  <si>
    <t>Saint-Alexandre-de-Kamouraska</t>
  </si>
  <si>
    <t>Saint-Alexandre-des-Lacs</t>
  </si>
  <si>
    <t>Saint-Alexis</t>
  </si>
  <si>
    <t>Saint-Alexis-de-Matapédia</t>
  </si>
  <si>
    <t>Saint-Alexis-des-Monts</t>
  </si>
  <si>
    <t>Saint-Alfred</t>
  </si>
  <si>
    <t>Saint-Alphonse</t>
  </si>
  <si>
    <t>Saint-Alphonse-de-Granby</t>
  </si>
  <si>
    <t>Saint-Alphonse-Rodriguez</t>
  </si>
  <si>
    <t>Saint-Amable</t>
  </si>
  <si>
    <t>Saint-Ambroise</t>
  </si>
  <si>
    <t>Saint-Ambroise-de-Kildare</t>
  </si>
  <si>
    <t>Saint-Anaclet-de-Lessard</t>
  </si>
  <si>
    <t>Saint-André-Avellin</t>
  </si>
  <si>
    <t>Saint-André-d'Argenteuil</t>
  </si>
  <si>
    <t>Saint-André-de-Kamouraska</t>
  </si>
  <si>
    <t>Saint-André-de-Restigouche</t>
  </si>
  <si>
    <t>Saint-André-du-Lac-Saint-Jean</t>
  </si>
  <si>
    <t>Saint-Anicet</t>
  </si>
  <si>
    <t>Saint-Anselme</t>
  </si>
  <si>
    <t>Saint-Antoine-de-Tilly</t>
  </si>
  <si>
    <t>Saint-Antoine-de-l'Isle-aux-Grues</t>
  </si>
  <si>
    <t>Saint-Antoine-sur-Richelieu</t>
  </si>
  <si>
    <t>Saint-Antonin</t>
  </si>
  <si>
    <t>Saint-Apollinaire</t>
  </si>
  <si>
    <t>Saint-Armand</t>
  </si>
  <si>
    <t>Saint-Arsène</t>
  </si>
  <si>
    <t>Saint-Athanase</t>
  </si>
  <si>
    <t>Saint-Aubert</t>
  </si>
  <si>
    <t>Saint-Augustin</t>
  </si>
  <si>
    <t>Saint-Augustin-de-Desmaures</t>
  </si>
  <si>
    <t>Saint-Augustin-de-Woburn</t>
  </si>
  <si>
    <t>Saint-Barnabé</t>
  </si>
  <si>
    <t>Saint-Barnabé-Sud</t>
  </si>
  <si>
    <t>Saint-Barthélemy</t>
  </si>
  <si>
    <t>Saint-Basile</t>
  </si>
  <si>
    <t>Saint-Basile-le-Grand</t>
  </si>
  <si>
    <t>Saint-Benjamin</t>
  </si>
  <si>
    <t>Saint-Benoît-du-Lac</t>
  </si>
  <si>
    <t>Saint-Benoît-Labre</t>
  </si>
  <si>
    <t>Saint-Bernard</t>
  </si>
  <si>
    <t>Saint-Bernard-de-Lacolle</t>
  </si>
  <si>
    <t>Saint-Bernard-de-Michaudville</t>
  </si>
  <si>
    <t>Saint-Blaise-sur-Richelieu</t>
  </si>
  <si>
    <t>Saint-Bonaventure</t>
  </si>
  <si>
    <t>Saint-Boniface</t>
  </si>
  <si>
    <t>Saint-Bruno</t>
  </si>
  <si>
    <t>Saint-Bruno-de-Guigues</t>
  </si>
  <si>
    <t>Saint-Bruno-de-Kamouraska</t>
  </si>
  <si>
    <t>Saint-Bruno-de-Montarville</t>
  </si>
  <si>
    <t>Saint-Calixte</t>
  </si>
  <si>
    <t>Saint-Camille</t>
  </si>
  <si>
    <t>Saint-Camille-de-Lellis</t>
  </si>
  <si>
    <t>Saint-Casimir</t>
  </si>
  <si>
    <t>Saint-Célestin</t>
  </si>
  <si>
    <t>Saint-Césaire</t>
  </si>
  <si>
    <t>Saint-Charles-Borromée</t>
  </si>
  <si>
    <t>Saint-Charles-de-Bellechasse</t>
  </si>
  <si>
    <t>Saint-Charles-de-Bourget</t>
  </si>
  <si>
    <t>Saint-Charles-Garnier</t>
  </si>
  <si>
    <t>Saint-Charles-sur-Richelieu</t>
  </si>
  <si>
    <t>Saint-Christophe-d'Arthabaska</t>
  </si>
  <si>
    <t>Saint-Chrysostome</t>
  </si>
  <si>
    <t>Saint-Claude</t>
  </si>
  <si>
    <t>Saint-Clément</t>
  </si>
  <si>
    <t>Saint-Cléophas</t>
  </si>
  <si>
    <t>Saint-Cléophas-de-Brandon</t>
  </si>
  <si>
    <t>Saint-Clet</t>
  </si>
  <si>
    <t>Saint-Colomban</t>
  </si>
  <si>
    <t>Saint-Côme</t>
  </si>
  <si>
    <t>Saint-Côme--Linière</t>
  </si>
  <si>
    <t>Saint-Constant</t>
  </si>
  <si>
    <t>Saint-Cuthbert</t>
  </si>
  <si>
    <t>Saint-Cyprien</t>
  </si>
  <si>
    <t>Saint-Cyprien-de-Napierville</t>
  </si>
  <si>
    <t>Saint-Cyrille-de-Lessard</t>
  </si>
  <si>
    <t>Saint-Cyrille-de-Wendover</t>
  </si>
  <si>
    <t>Saint-Damase</t>
  </si>
  <si>
    <t>Saint-Damase-de-L'Islet</t>
  </si>
  <si>
    <t>Saint-Damien</t>
  </si>
  <si>
    <t>Saint-Damien-de-Buckland</t>
  </si>
  <si>
    <t>Saint-David</t>
  </si>
  <si>
    <t>Saint-David-de-Falardeau</t>
  </si>
  <si>
    <t>Saint-Denis-De La Bouteillerie</t>
  </si>
  <si>
    <t>Saint-Denis-de-Brompton</t>
  </si>
  <si>
    <t>Saint-Denis-sur-Richelieu</t>
  </si>
  <si>
    <t>Saint-Didace</t>
  </si>
  <si>
    <t>Saint-Dominique</t>
  </si>
  <si>
    <t>Saint-Dominique-du-Rosaire</t>
  </si>
  <si>
    <t>Saint-Donat</t>
  </si>
  <si>
    <t>Sainte-Adèle</t>
  </si>
  <si>
    <t>Sainte-Agathe-de-Lotbinière</t>
  </si>
  <si>
    <t>Sainte-Agathe-des-Monts</t>
  </si>
  <si>
    <t>Sainte-Angèle-de-Mérici</t>
  </si>
  <si>
    <t>Sainte-Angèle-de-Monnoir</t>
  </si>
  <si>
    <t>Sainte-Angèle-de-Prémont</t>
  </si>
  <si>
    <t>Sainte-Anne-de-Beaupré</t>
  </si>
  <si>
    <t>Sainte-Anne-de-Bellevue</t>
  </si>
  <si>
    <t>Sainte-Anne-de-la-Pérade</t>
  </si>
  <si>
    <t>Sainte-Anne-de-la-Rochelle</t>
  </si>
  <si>
    <t>Sainte-Anne-de-Sabrevois</t>
  </si>
  <si>
    <t>Sainte-Anne-des-Lacs</t>
  </si>
  <si>
    <t>Sainte-Anne-des-Monts</t>
  </si>
  <si>
    <t>Sainte-Anne-de-Sorel</t>
  </si>
  <si>
    <t>Sainte-Anne-des-Plaines</t>
  </si>
  <si>
    <t>Sainte-Anne-du-Lac</t>
  </si>
  <si>
    <t>Sainte-Apolline-de-Patton</t>
  </si>
  <si>
    <t>Sainte-Aurélie</t>
  </si>
  <si>
    <t>Sainte-Barbe</t>
  </si>
  <si>
    <t>Sainte-Béatrix</t>
  </si>
  <si>
    <t>Sainte-Brigide-d'Iberville</t>
  </si>
  <si>
    <t>Sainte-Brigitte-de-Laval</t>
  </si>
  <si>
    <t>Sainte-Brigitte-des-Saults</t>
  </si>
  <si>
    <t>Sainte-Catherine</t>
  </si>
  <si>
    <t>Sainte-Catherine-de-Hatley</t>
  </si>
  <si>
    <t>Sainte-Cécile-de-Lévrard</t>
  </si>
  <si>
    <t>Sainte-Cécile-de-Milton</t>
  </si>
  <si>
    <t>Sainte-Cécile-de-Whitton</t>
  </si>
  <si>
    <t>Sainte-Christine</t>
  </si>
  <si>
    <t>Sainte-Christine-d'Auvergne</t>
  </si>
  <si>
    <t>Sainte-Claire</t>
  </si>
  <si>
    <t>Sainte-Clotilde</t>
  </si>
  <si>
    <t>Sainte-Clotilde-de-Beauce</t>
  </si>
  <si>
    <t>Sainte-Clotilde-de-Horton</t>
  </si>
  <si>
    <t>Sainte-Croix</t>
  </si>
  <si>
    <t>Saint-Edmond-de-Grantham</t>
  </si>
  <si>
    <t>Saint-Edmond-les-Plaines</t>
  </si>
  <si>
    <t>Saint-Édouard</t>
  </si>
  <si>
    <t>Saint-Édouard-de-Fabre</t>
  </si>
  <si>
    <t>Saint-Édouard-de-Lotbinière</t>
  </si>
  <si>
    <t>Saint-Édouard-de-Maskinongé</t>
  </si>
  <si>
    <t>Sainte-Edwidge-de-Clifton</t>
  </si>
  <si>
    <t>Sainte-Élisabeth</t>
  </si>
  <si>
    <t>Sainte-Élizabeth-de-Warwick</t>
  </si>
  <si>
    <t>Sainte-Émélie-de-l'Énergie</t>
  </si>
  <si>
    <t>Sainte-Eulalie</t>
  </si>
  <si>
    <t>Sainte-Euphémie-sur-Rivière-du-Sud</t>
  </si>
  <si>
    <t>Sainte-Famille-de-l'Île-d'Orléans</t>
  </si>
  <si>
    <t>Sainte-Félicité</t>
  </si>
  <si>
    <t>Sainte-Flavie</t>
  </si>
  <si>
    <t>Sainte-Florence</t>
  </si>
  <si>
    <t>Sainte-Françoise</t>
  </si>
  <si>
    <t>Sainte-Geneviève-de-Batiscan</t>
  </si>
  <si>
    <t>Sainte-Geneviève-de-Berthier</t>
  </si>
  <si>
    <t>Sainte-Germaine-Boulé</t>
  </si>
  <si>
    <t>Sainte-Gertrude-Manneville</t>
  </si>
  <si>
    <t>Sainte-Hedwidge</t>
  </si>
  <si>
    <t>Sainte-Hélène-de-Bagot</t>
  </si>
  <si>
    <t>Sainte-Hélène-de-Chester</t>
  </si>
  <si>
    <t>Sainte-Hélène-de-Kamouraska</t>
  </si>
  <si>
    <t>Sainte-Hélène-de-Mancebourg</t>
  </si>
  <si>
    <t>Sainte-Hénédine</t>
  </si>
  <si>
    <t>Sainte-Irène</t>
  </si>
  <si>
    <t>Sainte-Jeanne-d'Arc</t>
  </si>
  <si>
    <t>Sainte-Julie</t>
  </si>
  <si>
    <t>Sainte-Julienne</t>
  </si>
  <si>
    <t>Sainte-Justine</t>
  </si>
  <si>
    <t>Sainte-Justine-de-Newton</t>
  </si>
  <si>
    <t>Saint-Élie-de-Caxton</t>
  </si>
  <si>
    <t>Saint-Éloi</t>
  </si>
  <si>
    <t>Sainte-Louise</t>
  </si>
  <si>
    <t>Saint-Elphège</t>
  </si>
  <si>
    <t>Sainte-Luce</t>
  </si>
  <si>
    <t>Sainte-Lucie-de-Beauregard</t>
  </si>
  <si>
    <t>Sainte-Lucie-des-Laurentides</t>
  </si>
  <si>
    <t>Saint-Elzéar</t>
  </si>
  <si>
    <t>Saint-Elzéar-de-Témiscouata</t>
  </si>
  <si>
    <t>Sainte-Madeleine</t>
  </si>
  <si>
    <t>Sainte-Madeleine-de-la-Rivière-Madeleine</t>
  </si>
  <si>
    <t>Sainte-Marcelline-de-Kildare</t>
  </si>
  <si>
    <t>Sainte-Marguerite</t>
  </si>
  <si>
    <t>Sainte-Marguerite-du-Lac-Masson</t>
  </si>
  <si>
    <t>Sainte-Marguerite-Marie</t>
  </si>
  <si>
    <t>Sainte-Marie</t>
  </si>
  <si>
    <t>Sainte-Marie-de-Blandford</t>
  </si>
  <si>
    <t>Sainte-Marie-Madeleine</t>
  </si>
  <si>
    <t>Sainte-Marie-Salomé</t>
  </si>
  <si>
    <t>Sainte-Marthe</t>
  </si>
  <si>
    <t>Sainte-Marthe-sur-le-Lac</t>
  </si>
  <si>
    <t>Sainte-Martine</t>
  </si>
  <si>
    <t>Sainte-Mélanie</t>
  </si>
  <si>
    <t>Saint-Émile-de-Suffolk</t>
  </si>
  <si>
    <t>Sainte-Monique</t>
  </si>
  <si>
    <t>Sainte-Paule</t>
  </si>
  <si>
    <t>Sainte-Perpétue</t>
  </si>
  <si>
    <t>Sainte-Pétronille</t>
  </si>
  <si>
    <t>Saint-Éphrem-de-Beauce</t>
  </si>
  <si>
    <t>Saint-Épiphane</t>
  </si>
  <si>
    <t>Sainte-Praxède</t>
  </si>
  <si>
    <t>Sainte-Rita</t>
  </si>
  <si>
    <t>Sainte-Rose-de-Watford</t>
  </si>
  <si>
    <t>Sainte-Rose-du-Nord</t>
  </si>
  <si>
    <t>Sainte-Sabine</t>
  </si>
  <si>
    <t>Sainte-Séraphine</t>
  </si>
  <si>
    <t>Sainte-Sophie</t>
  </si>
  <si>
    <t>Sainte-Sophie-de-Lévrard</t>
  </si>
  <si>
    <t>Sainte-Sophie-d'Halifax</t>
  </si>
  <si>
    <t>Saint-Esprit</t>
  </si>
  <si>
    <t>Sainte-Thècle</t>
  </si>
  <si>
    <t>Sainte-Thérèse</t>
  </si>
  <si>
    <t>Sainte-Thérèse-de-Gaspé</t>
  </si>
  <si>
    <t>Sainte-Thérèse-de-la-Gatineau</t>
  </si>
  <si>
    <t>Saint-Étienne-de-Beauharnois</t>
  </si>
  <si>
    <t>Saint-Étienne-de-Bolton</t>
  </si>
  <si>
    <t>Saint-Étienne-des-Grès</t>
  </si>
  <si>
    <t>Saint-Eugène</t>
  </si>
  <si>
    <t>Saint-Eugène-d'Argentenay</t>
  </si>
  <si>
    <t>Saint-Eugène-de-Guigues</t>
  </si>
  <si>
    <t>Saint-Eugène-de-Ladrière</t>
  </si>
  <si>
    <t>Sainte-Ursule</t>
  </si>
  <si>
    <t>Saint-Eusèbe</t>
  </si>
  <si>
    <t>Saint-Eustache</t>
  </si>
  <si>
    <t>Sainte-Victoire-de-Sorel</t>
  </si>
  <si>
    <t>Saint-Fabien</t>
  </si>
  <si>
    <t>Saint-Fabien-de-Panet</t>
  </si>
  <si>
    <t>Saint-Félicien</t>
  </si>
  <si>
    <t>Saint-Félix-de-Kingsey</t>
  </si>
  <si>
    <t>Saint-Félix-de-Valois</t>
  </si>
  <si>
    <t>Saint-Félix-d'Otis</t>
  </si>
  <si>
    <t>Saint-Ferdinand</t>
  </si>
  <si>
    <t>Saint-Ferréol-les-Neiges</t>
  </si>
  <si>
    <t>Saint-Flavien</t>
  </si>
  <si>
    <t>Saint-Fortunat</t>
  </si>
  <si>
    <t>Saint-François-d'Assise</t>
  </si>
  <si>
    <t>Saint-François-de-la-Rivière-du-Sud</t>
  </si>
  <si>
    <t>Saint-François-de-l'Île-d'Orléans</t>
  </si>
  <si>
    <t>Saint-François-de-Sales</t>
  </si>
  <si>
    <t>Saint-François-du-Lac</t>
  </si>
  <si>
    <t>Saint-François-Xavier-de-Brompton</t>
  </si>
  <si>
    <t>Saint-François-Xavier-de-Viger</t>
  </si>
  <si>
    <t>Saint-Frédéric</t>
  </si>
  <si>
    <t>Saint-Fulgence</t>
  </si>
  <si>
    <t>Saint-Gabriel</t>
  </si>
  <si>
    <t>Saint-Gabriel-de-Brandon</t>
  </si>
  <si>
    <t>Saint-Gabriel-de-Rimouski</t>
  </si>
  <si>
    <t>Saint-Gabriel-de-Valcartier</t>
  </si>
  <si>
    <t>Saint-Gabriel-Lalemant</t>
  </si>
  <si>
    <t>Saint-Gédéon</t>
  </si>
  <si>
    <t>Saint-Gédéon-de-Beauce</t>
  </si>
  <si>
    <t>Saint-Georges</t>
  </si>
  <si>
    <t>Saint-Georges-de-Windsor</t>
  </si>
  <si>
    <t>Saint-Gérard-Majella</t>
  </si>
  <si>
    <t>Saint-Germain-de-Grantham</t>
  </si>
  <si>
    <t>Saint-Germain-de-Kamouraska</t>
  </si>
  <si>
    <t>Saint-Gervais</t>
  </si>
  <si>
    <t>Saint-Gilbert</t>
  </si>
  <si>
    <t>Saint-Gilles</t>
  </si>
  <si>
    <t>Saint-Godefroi</t>
  </si>
  <si>
    <t>Saint-Guillaume</t>
  </si>
  <si>
    <t>Saint-Henri</t>
  </si>
  <si>
    <t>Saint-Henri-de-Taillon</t>
  </si>
  <si>
    <t>Saint-Herménégilde</t>
  </si>
  <si>
    <t>Saint-Hilaire-de-Dorset</t>
  </si>
  <si>
    <t>Saint-Hilarion</t>
  </si>
  <si>
    <t>Saint-Hippolyte</t>
  </si>
  <si>
    <t>Saint-Honoré</t>
  </si>
  <si>
    <t>Saint-Honoré-de-Shenley</t>
  </si>
  <si>
    <t>Saint-Honoré-de-Témiscouata</t>
  </si>
  <si>
    <t>Saint-Hubert-de-Rivière-du-Loup</t>
  </si>
  <si>
    <t>Saint-Hugues</t>
  </si>
  <si>
    <t>Saint-Hyacinthe</t>
  </si>
  <si>
    <t>Saint-Ignace-de-Loyola</t>
  </si>
  <si>
    <t>Saint-Ignace-de-Stanbridge</t>
  </si>
  <si>
    <t>Saint-Irénée</t>
  </si>
  <si>
    <t>Saint-Isidore</t>
  </si>
  <si>
    <t>Saint-Isidore-de-Clifton</t>
  </si>
  <si>
    <t>Saint-Jacques</t>
  </si>
  <si>
    <t>Saint-Jacques-de-Leeds</t>
  </si>
  <si>
    <t>Saint-Jacques-le-Mineur</t>
  </si>
  <si>
    <t>Saint-Jacques-le-Majeur-de-Wolfestown</t>
  </si>
  <si>
    <t>Saint-Janvier-de-Joly</t>
  </si>
  <si>
    <t>Saint-Jean-Baptiste</t>
  </si>
  <si>
    <t>Saint-Jean-de-Brébeuf</t>
  </si>
  <si>
    <t>Saint-Jean-de-Cherbourg</t>
  </si>
  <si>
    <t>Saint-Jean-de-Dieu</t>
  </si>
  <si>
    <t>Saint-Jean-de-la-Lande</t>
  </si>
  <si>
    <t>Saint-Jean-de-l'Île-d'Orléans</t>
  </si>
  <si>
    <t>Saint-Jean-de-Matha</t>
  </si>
  <si>
    <t>Saint-Jean-Port-Joli</t>
  </si>
  <si>
    <t>Saint-Jean-sur-Richelieu</t>
  </si>
  <si>
    <t>Saint-Jérôme</t>
  </si>
  <si>
    <t>Saint-Joachim</t>
  </si>
  <si>
    <t>Saint-Joachim-de-Shefford</t>
  </si>
  <si>
    <t>Saint-Joseph-de-Beauce</t>
  </si>
  <si>
    <t>Saint-Joseph-de-Coleraine</t>
  </si>
  <si>
    <t>Saint-Joseph-de-Kamouraska</t>
  </si>
  <si>
    <t>Saint-Joseph-de-Lepage</t>
  </si>
  <si>
    <t>Saint-Joseph-des-Érables</t>
  </si>
  <si>
    <t>Saint-Joseph-de-Sorel</t>
  </si>
  <si>
    <t>Saint-Joseph-du-Lac</t>
  </si>
  <si>
    <t>Saint-Jude</t>
  </si>
  <si>
    <t>Saint-Jules</t>
  </si>
  <si>
    <t>Saint-Julien</t>
  </si>
  <si>
    <t>Saint-Just-de-Bretenières</t>
  </si>
  <si>
    <t>Saint-Juste-du-Lac</t>
  </si>
  <si>
    <t>Saint-Justin</t>
  </si>
  <si>
    <t>Saint-Lambert</t>
  </si>
  <si>
    <t>Saint-Lambert-de-Lauzon</t>
  </si>
  <si>
    <t>Saint-Laurent-de-l'Île-d'Orléans</t>
  </si>
  <si>
    <t>Saint-Lazare</t>
  </si>
  <si>
    <t>Saint-Lazare-de-Bellechasse</t>
  </si>
  <si>
    <t>Saint-Léandre</t>
  </si>
  <si>
    <t>Saint-Léonard-d'Aston</t>
  </si>
  <si>
    <t>Saint-Léonard-de-Portneuf</t>
  </si>
  <si>
    <t>Saint-Léon-de-Standon</t>
  </si>
  <si>
    <t>Saint-Léon-le-Grand</t>
  </si>
  <si>
    <t>Saint-Liboire</t>
  </si>
  <si>
    <t>Saint-Liguori</t>
  </si>
  <si>
    <t>Saint-Lin--Laurentides</t>
  </si>
  <si>
    <t>Saint-Louis</t>
  </si>
  <si>
    <t>Saint-Louis-de-Gonzague-du-Cap-Tourmente</t>
  </si>
  <si>
    <t>Saint-Louis-de-Blandford</t>
  </si>
  <si>
    <t>Saint-Louis-de-Gonzague</t>
  </si>
  <si>
    <t>Saint-Louis-du-Ha! Ha!</t>
  </si>
  <si>
    <t>Saint-Luc-de-Bellechasse</t>
  </si>
  <si>
    <t>Saint-Luc-de-Vincennes</t>
  </si>
  <si>
    <t>Saint-Lucien</t>
  </si>
  <si>
    <t>Saint-Ludger</t>
  </si>
  <si>
    <t>Saint-Ludger-de-Milot</t>
  </si>
  <si>
    <t>Saint-Magloire</t>
  </si>
  <si>
    <t>Saint-Majorique-de-Grantham</t>
  </si>
  <si>
    <t>Saint-Malachie</t>
  </si>
  <si>
    <t>Saint-Malo</t>
  </si>
  <si>
    <t>Saint-Marc-de-Figuery</t>
  </si>
  <si>
    <t>Saint-Marc-des-Carrières</t>
  </si>
  <si>
    <t>Saint-Marc-du-Lac-Long</t>
  </si>
  <si>
    <t>Saint-Marcel</t>
  </si>
  <si>
    <t>Saint-Marcel-de-Richelieu</t>
  </si>
  <si>
    <t>Saint-Marcellin</t>
  </si>
  <si>
    <t>Saint-Marc-sur-Richelieu</t>
  </si>
  <si>
    <t>Saint-Martin</t>
  </si>
  <si>
    <t>Saint-Mathias-sur-Richelieu</t>
  </si>
  <si>
    <t>Saint-Mathieu</t>
  </si>
  <si>
    <t>Saint-Mathieu-de-Beloeil</t>
  </si>
  <si>
    <t>Saint-Mathieu-de-Rioux</t>
  </si>
  <si>
    <t>Saint-Mathieu-d'Harricana</t>
  </si>
  <si>
    <t>Saint-Mathieu-du-Parc</t>
  </si>
  <si>
    <t>Saint-Maurice</t>
  </si>
  <si>
    <t>Saint-Maxime-du-Mont-Louis</t>
  </si>
  <si>
    <t>Saint-Médard</t>
  </si>
  <si>
    <t>Saint-Michel</t>
  </si>
  <si>
    <t>Saint-Michel-de-Bellechasse</t>
  </si>
  <si>
    <t>Saint-Michel-des-Saints</t>
  </si>
  <si>
    <t>Saint-Michel-du-Squatec</t>
  </si>
  <si>
    <t>Saint-Modeste</t>
  </si>
  <si>
    <t>Saint-Moïse</t>
  </si>
  <si>
    <t>Saint-Narcisse</t>
  </si>
  <si>
    <t>Saint-Narcisse-de-Beaurivage</t>
  </si>
  <si>
    <t>Saint-Narcisse-de-Rimouski</t>
  </si>
  <si>
    <t>Saint-Nazaire</t>
  </si>
  <si>
    <t>Saint-Nazaire-d'Acton</t>
  </si>
  <si>
    <t>Saint-Nazaire-de-Dorchester</t>
  </si>
  <si>
    <t>Saint-Nérée-de-Bellechasse</t>
  </si>
  <si>
    <t>Saint-Noël</t>
  </si>
  <si>
    <t>Saint-Norbert</t>
  </si>
  <si>
    <t>Saint-Norbert-d'Arthabaska</t>
  </si>
  <si>
    <t>Saint-Octave-de-Métis</t>
  </si>
  <si>
    <t>Saint-Odilon-de-Cranbourne</t>
  </si>
  <si>
    <t>Saint-Omer</t>
  </si>
  <si>
    <t>Saint-Ours</t>
  </si>
  <si>
    <t>Saint-Pacôme</t>
  </si>
  <si>
    <t>Saint-Pamphile</t>
  </si>
  <si>
    <t>Saint-Pascal</t>
  </si>
  <si>
    <t>Saint-Patrice-de-Beaurivage</t>
  </si>
  <si>
    <t>Saint-Patrice-de-Sherrington</t>
  </si>
  <si>
    <t>Saint-Paul</t>
  </si>
  <si>
    <t>Saint-Paul-d'Abbotsford</t>
  </si>
  <si>
    <t>Saint-Paul-de-la-Croix</t>
  </si>
  <si>
    <t>Saint-Paul-de-l'Île-aux-Noix</t>
  </si>
  <si>
    <t>Saint-Paul-de-Montminy</t>
  </si>
  <si>
    <t>Saint-Paulin</t>
  </si>
  <si>
    <t>Saint-Philémon</t>
  </si>
  <si>
    <t>Saint-Philibert</t>
  </si>
  <si>
    <t>Saint-Philippe</t>
  </si>
  <si>
    <t>Saint-Philippe-de-Néri</t>
  </si>
  <si>
    <t>Saint-Pie</t>
  </si>
  <si>
    <t>Saint-Pie-de-Guire</t>
  </si>
  <si>
    <t>Saint-Pierre</t>
  </si>
  <si>
    <t>Saint-Pierre-Baptiste</t>
  </si>
  <si>
    <t>Saint-Pierre-de-Broughton</t>
  </si>
  <si>
    <t>Saint-Pierre-de-Lamy</t>
  </si>
  <si>
    <t>Saint-Pierre-de-l'Île-d'Orléans</t>
  </si>
  <si>
    <t>Saint-Pierre-les-Becquets</t>
  </si>
  <si>
    <t>Saint-Pierre-de-la-Rivière-du-Sud</t>
  </si>
  <si>
    <t>Saint-Placide</t>
  </si>
  <si>
    <t>Saint-Polycarpe</t>
  </si>
  <si>
    <t>Saint-Prime</t>
  </si>
  <si>
    <t>Saint-Prosper</t>
  </si>
  <si>
    <t>Saint-Prosper-de-Champlain</t>
  </si>
  <si>
    <t>Saint-Raphaël</t>
  </si>
  <si>
    <t>Saint-Raymond</t>
  </si>
  <si>
    <t>Saint-Rémi</t>
  </si>
  <si>
    <t>Saint-Rémi-de-Tingwick</t>
  </si>
  <si>
    <t>Saint-René</t>
  </si>
  <si>
    <t>Saint-René-de-Matane</t>
  </si>
  <si>
    <t>Saint-Robert</t>
  </si>
  <si>
    <t>Saint-Robert-Bellarmin</t>
  </si>
  <si>
    <t>Saint-Roch-de-l'Achigan</t>
  </si>
  <si>
    <t>Saint-Roch-de-Mékinac</t>
  </si>
  <si>
    <t>Saint-Roch-de-Richelieu</t>
  </si>
  <si>
    <t>Saint-Roch-des-Aulnaies</t>
  </si>
  <si>
    <t>Saint-Roch-Ouest</t>
  </si>
  <si>
    <t>Saint-Romain</t>
  </si>
  <si>
    <t>Saint-Rosaire</t>
  </si>
  <si>
    <t>Saint-Samuel</t>
  </si>
  <si>
    <t>Saints-Anges</t>
  </si>
  <si>
    <t>Saint-Sauveur</t>
  </si>
  <si>
    <t>Saint-Sébastien</t>
  </si>
  <si>
    <t>Saint-Sévère</t>
  </si>
  <si>
    <t>Saint-Séverin</t>
  </si>
  <si>
    <t>Saint-Siméon</t>
  </si>
  <si>
    <t>Saint-Simon</t>
  </si>
  <si>
    <t>Saint-Simon-de-Rimouski</t>
  </si>
  <si>
    <t>Saint-Simon-les-Mines</t>
  </si>
  <si>
    <t>Saint-Sixte</t>
  </si>
  <si>
    <t>Saints-Martyrs-Canadiens</t>
  </si>
  <si>
    <t>Saint-Stanislas</t>
  </si>
  <si>
    <t>Saint-Stanislas-de-Kostka</t>
  </si>
  <si>
    <t>Saint-Sulpice</t>
  </si>
  <si>
    <t>Saint-Sylvère</t>
  </si>
  <si>
    <t>Saint-Sylvestre</t>
  </si>
  <si>
    <t>Saint-Télesphore</t>
  </si>
  <si>
    <t>Saint-Tharcisius</t>
  </si>
  <si>
    <t>Saint-Théodore-d'Acton</t>
  </si>
  <si>
    <t>Saint-Théophile</t>
  </si>
  <si>
    <t>Saint-Thomas</t>
  </si>
  <si>
    <t>Saint-Thomas-Didyme</t>
  </si>
  <si>
    <t>Saint-Thuribe</t>
  </si>
  <si>
    <t>Saint-Tite</t>
  </si>
  <si>
    <t>Saint-Tite-des-Caps</t>
  </si>
  <si>
    <t>Saint-Ubalde</t>
  </si>
  <si>
    <t>Saint-Ulric</t>
  </si>
  <si>
    <t>Saint-Urbain</t>
  </si>
  <si>
    <t>Saint-Urbain-Premier</t>
  </si>
  <si>
    <t>Saint-Valentin</t>
  </si>
  <si>
    <t>Saint-Valère</t>
  </si>
  <si>
    <t>Saint-Valérien</t>
  </si>
  <si>
    <t>Saint-Valérien-de-Milton</t>
  </si>
  <si>
    <t>Saint-Vallier</t>
  </si>
  <si>
    <t>Saint-Venant-de-Paquette</t>
  </si>
  <si>
    <t>Saint-Vianney</t>
  </si>
  <si>
    <t>Saint-Victor</t>
  </si>
  <si>
    <t>Saint-Wenceslas</t>
  </si>
  <si>
    <t>Saint-Zacharie</t>
  </si>
  <si>
    <t>Saint-Zénon</t>
  </si>
  <si>
    <t>Saint-Zénon-du-Lac-Humqui</t>
  </si>
  <si>
    <t>Saint-Zéphirin-de-Courval</t>
  </si>
  <si>
    <t>Saint-Zotique</t>
  </si>
  <si>
    <t>Salaberry-de-Valleyfield</t>
  </si>
  <si>
    <t>Salluit</t>
  </si>
  <si>
    <t>Sayabec</t>
  </si>
  <si>
    <t>Schefferville</t>
  </si>
  <si>
    <t>Scotstown</t>
  </si>
  <si>
    <t>Scott</t>
  </si>
  <si>
    <t>Senneterre</t>
  </si>
  <si>
    <t>Senneville</t>
  </si>
  <si>
    <t>Sept-Îles</t>
  </si>
  <si>
    <t>Shannon</t>
  </si>
  <si>
    <t>Shawinigan</t>
  </si>
  <si>
    <t>Shawville</t>
  </si>
  <si>
    <t>Sheenboro</t>
  </si>
  <si>
    <t>Shefford</t>
  </si>
  <si>
    <t>Sherbrooke</t>
  </si>
  <si>
    <t>Shigawake</t>
  </si>
  <si>
    <t>Sorel-Tracy</t>
  </si>
  <si>
    <t>Stanbridge East</t>
  </si>
  <si>
    <t>Stanbridge Station</t>
  </si>
  <si>
    <t>Stanstead</t>
  </si>
  <si>
    <t>Stanstead-Est</t>
  </si>
  <si>
    <t>Sainte-Catherine-de-la-Jacques-Cartier</t>
  </si>
  <si>
    <t>Stoke</t>
  </si>
  <si>
    <t>Stoneham-et-Tewkesbury</t>
  </si>
  <si>
    <t>Stornoway</t>
  </si>
  <si>
    <t>Stratford</t>
  </si>
  <si>
    <t>Stukely-Sud</t>
  </si>
  <si>
    <t>Sutton</t>
  </si>
  <si>
    <t>Tadoussac</t>
  </si>
  <si>
    <t>Taschereau</t>
  </si>
  <si>
    <t>Tasiujaq</t>
  </si>
  <si>
    <t>Témiscaming</t>
  </si>
  <si>
    <t>Témiscouata-sur-le-Lac</t>
  </si>
  <si>
    <t>Terrasse-Vaudreuil</t>
  </si>
  <si>
    <t>Terrebonne</t>
  </si>
  <si>
    <t>Thetford Mines</t>
  </si>
  <si>
    <t>Thorne</t>
  </si>
  <si>
    <t>Thurso</t>
  </si>
  <si>
    <t>Tingwick</t>
  </si>
  <si>
    <t>Tourville</t>
  </si>
  <si>
    <t>Trécesson</t>
  </si>
  <si>
    <t>Très-Saint-Rédempteur</t>
  </si>
  <si>
    <t>Très-Saint-Sacrement</t>
  </si>
  <si>
    <t>Tring-Jonction</t>
  </si>
  <si>
    <t>Trois-Pistoles</t>
  </si>
  <si>
    <t>Trois-Rives</t>
  </si>
  <si>
    <t>Trois-Rivières</t>
  </si>
  <si>
    <t>Ulverton</t>
  </si>
  <si>
    <t>Umiujaq</t>
  </si>
  <si>
    <t>Upton</t>
  </si>
  <si>
    <t>Val-Alain</t>
  </si>
  <si>
    <t>Val-Brillant</t>
  </si>
  <si>
    <t>Valcourt</t>
  </si>
  <si>
    <t>Val-David</t>
  </si>
  <si>
    <t>Val-des-Bois</t>
  </si>
  <si>
    <t>Val-des-Lacs</t>
  </si>
  <si>
    <t>Val-des-Monts</t>
  </si>
  <si>
    <t>Val-des-Sources</t>
  </si>
  <si>
    <t>Val-d'Or</t>
  </si>
  <si>
    <t>Val-Joli</t>
  </si>
  <si>
    <t>Vallée-Jonction</t>
  </si>
  <si>
    <t>Val-Morin</t>
  </si>
  <si>
    <t>Val-Racine</t>
  </si>
  <si>
    <t>Val-Saint-Gilles</t>
  </si>
  <si>
    <t>Varennes</t>
  </si>
  <si>
    <t>Vaudreuil-Dorion</t>
  </si>
  <si>
    <t>Vaudreuil-sur-le-Lac</t>
  </si>
  <si>
    <t>Venise-en-Québec</t>
  </si>
  <si>
    <t>Verchères</t>
  </si>
  <si>
    <t>Victoriaville</t>
  </si>
  <si>
    <t>Ville-Marie</t>
  </si>
  <si>
    <t>Villeroy</t>
  </si>
  <si>
    <t>Waltham</t>
  </si>
  <si>
    <t>Warden</t>
  </si>
  <si>
    <t>Warwick</t>
  </si>
  <si>
    <t>Waskaganish</t>
  </si>
  <si>
    <t>Waswanipi</t>
  </si>
  <si>
    <t>Waterloo</t>
  </si>
  <si>
    <t>Waterville</t>
  </si>
  <si>
    <t>Weedon</t>
  </si>
  <si>
    <t>Wemindji</t>
  </si>
  <si>
    <t>Wentworth</t>
  </si>
  <si>
    <t>Wentworth-Nord</t>
  </si>
  <si>
    <t>Westbury</t>
  </si>
  <si>
    <t>Westmount</t>
  </si>
  <si>
    <t>Whapmagoostui</t>
  </si>
  <si>
    <t>Wickham</t>
  </si>
  <si>
    <t>Windsor</t>
  </si>
  <si>
    <t>Wotton</t>
  </si>
  <si>
    <t>Yamachiche</t>
  </si>
  <si>
    <t>Yamaska</t>
  </si>
  <si>
    <r>
      <t>Veuillez noter qu’il est important de consulter l’onglet "</t>
    </r>
    <r>
      <rPr>
        <b/>
        <sz val="11"/>
        <rFont val="Calibri"/>
        <family val="2"/>
        <scheme val="minor"/>
      </rPr>
      <t>Mode d’emploi</t>
    </r>
    <r>
      <rPr>
        <sz val="11"/>
        <rFont val="Calibri"/>
        <family val="2"/>
        <scheme val="minor"/>
      </rPr>
      <t xml:space="preserve">" qui donne des indications sur la structure et le fonctionnement des formulaires avant de commencer à remplir les formulaires. </t>
    </r>
  </si>
  <si>
    <t>Pour rappel, les cases roses doivent obligatoirement être remplies, les cases jaunes sont souhaitables et les cases grises sont complémentaires.</t>
  </si>
  <si>
    <t>Table des matières</t>
  </si>
  <si>
    <r>
      <t xml:space="preserve">La section table des matières du formulaire permet de voir l’évolution du remplissage du formulaire. 
Le statut des parties complétées se met automatiquement à jour sur </t>
    </r>
    <r>
      <rPr>
        <b/>
        <sz val="11"/>
        <rFont val="Calibri"/>
        <family val="2"/>
        <scheme val="minor"/>
      </rPr>
      <t>« complété »</t>
    </r>
    <r>
      <rPr>
        <sz val="11"/>
        <rFont val="Calibri"/>
        <family val="2"/>
        <scheme val="minor"/>
      </rPr>
      <t xml:space="preserve"> et celles qui ne sont pas encore complétées demeurent sur le statut « </t>
    </r>
    <r>
      <rPr>
        <b/>
        <sz val="11"/>
        <rFont val="Calibri"/>
        <family val="2"/>
        <scheme val="minor"/>
      </rPr>
      <t>À compléter</t>
    </r>
    <r>
      <rPr>
        <sz val="11"/>
        <rFont val="Calibri"/>
        <family val="2"/>
        <scheme val="minor"/>
      </rPr>
      <t xml:space="preserve"> ». </t>
    </r>
  </si>
  <si>
    <t>Partie 1 Identification</t>
  </si>
  <si>
    <t>Partie 2  Portrait des actifs</t>
  </si>
  <si>
    <t>Partie 3  Niveaux de service</t>
  </si>
  <si>
    <t>Partie 4  Demande et risques</t>
  </si>
  <si>
    <t>Partie 5  Planification des coûts sur le cycle de vie</t>
  </si>
  <si>
    <t>Partie 6  Résumé financier</t>
  </si>
  <si>
    <t>Partie 7  Amélioration et suivi</t>
  </si>
  <si>
    <t>Partie 8  Sommaire</t>
  </si>
  <si>
    <t xml:space="preserve">Partie 1 - Identification </t>
  </si>
  <si>
    <t>Cette section reprend automatiquement les informations inscrites dans l’onglet « Identification ». Si cet onglet n’a pas encore été rempli, veuillez le remplir afin de visualiser les informations.</t>
  </si>
  <si>
    <t>Instructions pour remplir l’onglet « Identification »</t>
  </si>
  <si>
    <t xml:space="preserve">Partie A </t>
  </si>
  <si>
    <t>Lisez et approuvez la note importante sur la compréhension des objectifs et des limites</t>
  </si>
  <si>
    <t>Lisez et approuvez la note importante sur le copyright et les conditions d’utilisation</t>
  </si>
  <si>
    <t xml:space="preserve">Partie C </t>
  </si>
  <si>
    <t>Inscrivez le code géographique correspondant à votre municipalité en vous référant si besoin à l’onglet « Liste des municipalités ». Le nom de votre municipalité apparaîtra automatiquement</t>
  </si>
  <si>
    <t xml:space="preserve">Partie D </t>
  </si>
  <si>
    <r>
      <t>1.	   Année du PGA :</t>
    </r>
    <r>
      <rPr>
        <sz val="11"/>
        <rFont val="Calibri"/>
        <family val="2"/>
        <scheme val="minor"/>
      </rPr>
      <t xml:space="preserve"> Inscrire la 1ère année de planification des coûts sur le cycle de vie des actifs dans le PGA</t>
    </r>
  </si>
  <si>
    <r>
      <t xml:space="preserve">       Remarque : </t>
    </r>
    <r>
      <rPr>
        <sz val="11"/>
        <rFont val="Calibri"/>
        <family val="2"/>
        <scheme val="minor"/>
      </rPr>
      <t xml:space="preserve"> Cette année sera ajoutée automatiquement dans les sections du formulaire.</t>
    </r>
  </si>
  <si>
    <r>
      <t xml:space="preserve">2.	   Ce PGA-Eau correspond au : </t>
    </r>
    <r>
      <rPr>
        <sz val="11"/>
        <rFont val="Calibri"/>
        <family val="2"/>
        <scheme val="minor"/>
      </rPr>
      <t>Sélectionnez l’option qui s’applique à votre cas</t>
    </r>
  </si>
  <si>
    <r>
      <t>3.	   Quel choix fait votre municipalité :</t>
    </r>
    <r>
      <rPr>
        <sz val="11"/>
        <rFont val="Calibri"/>
        <family val="2"/>
        <scheme val="minor"/>
      </rPr>
      <t xml:space="preserve"> Sélectionnez l’option qui s’applique à votre cas</t>
    </r>
  </si>
  <si>
    <r>
      <t xml:space="preserve">      Remarque : </t>
    </r>
    <r>
      <rPr>
        <sz val="11"/>
        <rFont val="Calibri"/>
        <family val="2"/>
        <scheme val="minor"/>
      </rPr>
      <t>C'est dans cette section que la municipalité décide si elle remplit les données des eaux usées et pluviales distinctement ou si elle désire combiner les deux</t>
    </r>
    <r>
      <rPr>
        <b/>
        <sz val="11"/>
        <rFont val="Calibri"/>
        <family val="2"/>
        <scheme val="minor"/>
      </rPr>
      <t xml:space="preserve"> </t>
    </r>
    <r>
      <rPr>
        <sz val="11"/>
        <rFont val="Calibri"/>
        <family val="2"/>
        <scheme val="minor"/>
      </rPr>
      <t>dans le</t>
    </r>
    <r>
      <rPr>
        <b/>
        <sz val="11"/>
        <rFont val="Calibri"/>
        <family val="2"/>
        <scheme val="minor"/>
      </rPr>
      <t xml:space="preserve"> </t>
    </r>
    <r>
      <rPr>
        <sz val="11"/>
        <rFont val="Calibri"/>
        <family val="2"/>
        <scheme val="minor"/>
      </rPr>
      <t>formulaire eaux usées.</t>
    </r>
  </si>
  <si>
    <t xml:space="preserve">Partie E </t>
  </si>
  <si>
    <r>
      <t xml:space="preserve">1.	   Répondant principal : </t>
    </r>
    <r>
      <rPr>
        <sz val="11"/>
        <rFont val="Calibri"/>
        <family val="2"/>
        <scheme val="minor"/>
      </rPr>
      <t>Inscrivez les coordonnées du répondant principal</t>
    </r>
  </si>
  <si>
    <r>
      <t xml:space="preserve">2.	   Répondant 2 à 5 : </t>
    </r>
    <r>
      <rPr>
        <sz val="11"/>
        <rFont val="Calibri"/>
        <family val="2"/>
        <scheme val="minor"/>
      </rPr>
      <t>Si nécessaire, inscrivez les coordonnées d’autres répondants</t>
    </r>
  </si>
  <si>
    <t xml:space="preserve">Partie F </t>
  </si>
  <si>
    <r>
      <t xml:space="preserve">1.	  Date de complétion des formulaires  : </t>
    </r>
    <r>
      <rPr>
        <sz val="11"/>
        <rFont val="Calibri"/>
        <family val="2"/>
        <scheme val="minor"/>
      </rPr>
      <t>Indiquer la date à laquelle chaque formulaire a été rempli</t>
    </r>
  </si>
  <si>
    <r>
      <t xml:space="preserve">2.  Date des révisions s'il y a lieu : </t>
    </r>
    <r>
      <rPr>
        <sz val="11"/>
        <rFont val="Calibri"/>
        <family val="2"/>
        <scheme val="minor"/>
      </rPr>
      <t>Indiquer la ou les date(s) de la dernière révision s’il y a lieu</t>
    </r>
  </si>
  <si>
    <r>
      <t xml:space="preserve">3.	  Date de complétion de l'ensemble des formulaires  : </t>
    </r>
    <r>
      <rPr>
        <sz val="11"/>
        <rFont val="Calibri"/>
        <family val="2"/>
        <scheme val="minor"/>
      </rPr>
      <t>Indiquer la date à laquelle vous avez finalisé la complétion de l'ensemble des formulaires</t>
    </r>
  </si>
  <si>
    <r>
      <t xml:space="preserve">      Remarque : </t>
    </r>
    <r>
      <rPr>
        <sz val="11"/>
        <rFont val="Calibri"/>
        <family val="2"/>
        <scheme val="minor"/>
      </rPr>
      <t>Cette date apparaîtra automatiquement dans votre sommaire général et marque la date de réalisation de votre PGA-Eau.</t>
    </r>
  </si>
  <si>
    <t>Partie 2 - Portrait des actifs</t>
  </si>
  <si>
    <r>
      <t xml:space="preserve">Il est fortement recommandé de consulter le </t>
    </r>
    <r>
      <rPr>
        <i/>
        <sz val="11"/>
        <color theme="8" tint="-0.249977111117893"/>
        <rFont val="Calibri"/>
        <family val="2"/>
        <scheme val="minor"/>
      </rPr>
      <t>Guide d'élaboration d'un plan de gestion des actifs municipaux</t>
    </r>
    <r>
      <rPr>
        <sz val="11"/>
        <color theme="8" tint="-0.249977111117893"/>
        <rFont val="Calibri"/>
        <family val="2"/>
        <scheme val="minor"/>
      </rPr>
      <t xml:space="preserve"> (CERIU) et les </t>
    </r>
    <r>
      <rPr>
        <i/>
        <sz val="11"/>
        <color theme="8" tint="-0.249977111117893"/>
        <rFont val="Calibri"/>
        <family val="2"/>
        <scheme val="minor"/>
      </rPr>
      <t>Fiches techniques en eau</t>
    </r>
    <r>
      <rPr>
        <sz val="11"/>
        <color theme="8" tint="-0.249977111117893"/>
        <rFont val="Calibri"/>
        <family val="2"/>
        <scheme val="minor"/>
      </rPr>
      <t xml:space="preserve"> (CERIU) pour remplir les sections. </t>
    </r>
  </si>
  <si>
    <t>Ressources à consulter</t>
  </si>
  <si>
    <t xml:space="preserve">      Formulaire 
      Eau potable</t>
  </si>
  <si>
    <t xml:space="preserve">      Formulaire 
      Eaux usées</t>
  </si>
  <si>
    <t xml:space="preserve">    Formulaire 
    Eaux pluviales</t>
  </si>
  <si>
    <t xml:space="preserve">   Les fiches techniques comportent de nombreux exemples pour vous orienter dans la démarche.</t>
  </si>
  <si>
    <t>Fiches techniques</t>
  </si>
  <si>
    <r>
      <rPr>
        <b/>
        <sz val="11"/>
        <color theme="1"/>
        <rFont val="Calibri"/>
        <family val="2"/>
        <scheme val="minor"/>
      </rPr>
      <t xml:space="preserve"> 2-SE </t>
    </r>
    <r>
      <rPr>
        <sz val="11"/>
        <color theme="1"/>
        <rFont val="Calibri"/>
        <family val="2"/>
        <scheme val="minor"/>
      </rPr>
      <t xml:space="preserve">
Au besoin : 2i-EP,  2ii-EP,  
2iii-SE</t>
    </r>
  </si>
  <si>
    <r>
      <rPr>
        <b/>
        <sz val="11"/>
        <color theme="1"/>
        <rFont val="Calibri"/>
        <family val="2"/>
        <scheme val="minor"/>
      </rPr>
      <t xml:space="preserve"> 2-SE </t>
    </r>
    <r>
      <rPr>
        <sz val="11"/>
        <color theme="1"/>
        <rFont val="Calibri"/>
        <family val="2"/>
        <scheme val="minor"/>
      </rPr>
      <t xml:space="preserve">
Au besoin : 2i-EU/EPL,  2ii-EU/EPL,  2iii-SE </t>
    </r>
  </si>
  <si>
    <t>Partie du guide</t>
  </si>
  <si>
    <t>Partie 2 : Portrait des actifs</t>
  </si>
  <si>
    <t>Instructions</t>
  </si>
  <si>
    <t>Lisez attentivement la section avant de commencer à remplir.</t>
  </si>
  <si>
    <r>
      <t xml:space="preserve">Lorsque vous terminez de compléter toutes les informations obligatoires, vérifier que votre statut est </t>
    </r>
    <r>
      <rPr>
        <b/>
        <sz val="11"/>
        <color theme="1"/>
        <rFont val="Calibri"/>
        <family val="2"/>
        <scheme val="minor"/>
      </rPr>
      <t>« complété »</t>
    </r>
    <r>
      <rPr>
        <sz val="11"/>
        <color theme="1"/>
        <rFont val="Calibri"/>
        <family val="2"/>
        <scheme val="minor"/>
      </rPr>
      <t xml:space="preserve"> avant de poursuivre sur les autres parties.</t>
    </r>
  </si>
  <si>
    <t>Remarques :</t>
  </si>
  <si>
    <t xml:space="preserve">Les actifs ont été subdivisés en sous-services et le portrait est conçu en suivant cette structure. </t>
  </si>
  <si>
    <t xml:space="preserve">Deux sous-services sont identifiés pour l’eau potable (consultez la fiche 1-EP Catégorisation) :  </t>
  </si>
  <si>
    <t xml:space="preserve">Distribution </t>
  </si>
  <si>
    <t>Deux sous-services sont identifiés pour les eaux usées (consultez la fiche 1-EU Catégorisation) :</t>
  </si>
  <si>
    <t>Un seul sous-service est identifié pour les eaux pluviales (consultez la fiche 1-EPL Catégorisation) :</t>
  </si>
  <si>
    <t xml:space="preserve">Collecte </t>
  </si>
  <si>
    <t xml:space="preserve">La municipalité peut tout de même identifier des actifs dans le sous-service Traitement. Des cases sont prévues à cet effet. </t>
  </si>
  <si>
    <r>
      <t xml:space="preserve">Les actifs doivent également être distingués entre </t>
    </r>
    <r>
      <rPr>
        <b/>
        <sz val="11"/>
        <color theme="1"/>
        <rFont val="Calibri"/>
        <family val="2"/>
        <scheme val="minor"/>
      </rPr>
      <t>le linéaire et le ponctuel.</t>
    </r>
    <r>
      <rPr>
        <sz val="11"/>
        <color theme="1"/>
        <rFont val="Calibri"/>
        <family val="2"/>
        <scheme val="minor"/>
      </rPr>
      <t xml:space="preserve"> Les éléments prioritaires à inscrire dans les cellules sont</t>
    </r>
    <r>
      <rPr>
        <b/>
        <sz val="11"/>
        <color theme="1"/>
        <rFont val="Calibri"/>
        <family val="2"/>
        <scheme val="minor"/>
      </rPr>
      <t xml:space="preserve"> l’inventaire, la valeur de remplacement et l’état de l’actif.</t>
    </r>
  </si>
  <si>
    <r>
      <t xml:space="preserve">Pour la </t>
    </r>
    <r>
      <rPr>
        <b/>
        <sz val="11"/>
        <color theme="1"/>
        <rFont val="Calibri"/>
        <family val="2"/>
        <scheme val="minor"/>
      </rPr>
      <t>cote d’état</t>
    </r>
    <r>
      <rPr>
        <sz val="11"/>
        <color theme="1"/>
        <rFont val="Calibri"/>
        <family val="2"/>
        <scheme val="minor"/>
      </rPr>
      <t>, remplissez la proportion correspondant à chaque état (A, B, C, D, E). Si vous n’avez pas d’actifs se trouvant, par exemple, dans un état D, inscrivez le chiffre 0.</t>
    </r>
  </si>
  <si>
    <r>
      <t xml:space="preserve">Si vous avez des actifs dont vous ne connaissez pas l’état, veuillez noter que la proportion restante sera reportée automatiquement dans la case </t>
    </r>
    <r>
      <rPr>
        <b/>
        <sz val="11"/>
        <color theme="1"/>
        <rFont val="Calibri"/>
        <family val="2"/>
        <scheme val="minor"/>
      </rPr>
      <t xml:space="preserve">« inconnue ». </t>
    </r>
  </si>
  <si>
    <r>
      <t xml:space="preserve">La catégorie </t>
    </r>
    <r>
      <rPr>
        <b/>
        <sz val="11"/>
        <color theme="1"/>
        <rFont val="Calibri"/>
        <family val="2"/>
        <scheme val="minor"/>
      </rPr>
      <t>« Autres actifs »</t>
    </r>
    <r>
      <rPr>
        <sz val="11"/>
        <color theme="1"/>
        <rFont val="Calibri"/>
        <family val="2"/>
        <scheme val="minor"/>
      </rPr>
      <t xml:space="preserve"> correspond à tout autre actif ne faisant pas partie du linéaire et du ponctuel. Les accessoires, équipements tels que : compteur d’eau, vanne, branchement de service peuvent être identifiés dans la section </t>
    </r>
  </si>
  <si>
    <r>
      <rPr>
        <b/>
        <sz val="11"/>
        <color theme="1"/>
        <rFont val="Calibri"/>
        <family val="2"/>
        <scheme val="minor"/>
      </rPr>
      <t>« Indiquez la ou les actifs associés »</t>
    </r>
    <r>
      <rPr>
        <sz val="11"/>
        <color theme="1"/>
        <rFont val="Calibri"/>
        <family val="2"/>
        <scheme val="minor"/>
      </rPr>
      <t xml:space="preserve">. </t>
    </r>
  </si>
  <si>
    <t>Vous pouvez aussi décider d’inclure ces autres actifs dans le ponctuel ou le linéaire selon la méthodologie adoptée par votre municipalité.</t>
  </si>
  <si>
    <r>
      <t>Si vous êtes dans un</t>
    </r>
    <r>
      <rPr>
        <b/>
        <sz val="11"/>
        <color theme="1"/>
        <rFont val="Calibri"/>
        <family val="2"/>
        <scheme val="minor"/>
      </rPr>
      <t xml:space="preserve"> cas particulier</t>
    </r>
    <r>
      <rPr>
        <sz val="11"/>
        <color theme="1"/>
        <rFont val="Calibri"/>
        <family val="2"/>
        <scheme val="minor"/>
      </rPr>
      <t xml:space="preserve">, c’est-à-dire que vous disposez des actifs dont la propriété est partagée avec l’agglomération, la régie intercommunale, l’accord intercommunal, etc., veuillez remplir la section </t>
    </r>
    <r>
      <rPr>
        <b/>
        <sz val="11"/>
        <color theme="1"/>
        <rFont val="Calibri"/>
        <family val="2"/>
        <scheme val="minor"/>
      </rPr>
      <t>« Particularités ».</t>
    </r>
  </si>
  <si>
    <t xml:space="preserve">Définitions : </t>
  </si>
  <si>
    <r>
      <t xml:space="preserve">La </t>
    </r>
    <r>
      <rPr>
        <b/>
        <sz val="11"/>
        <color theme="1"/>
        <rFont val="Calibri"/>
        <family val="2"/>
        <scheme val="minor"/>
      </rPr>
      <t>valeur de remplacement</t>
    </r>
    <r>
      <rPr>
        <sz val="11"/>
        <color theme="1"/>
        <rFont val="Calibri"/>
        <family val="2"/>
        <scheme val="minor"/>
      </rPr>
      <t xml:space="preserve"> est le montant nécessaire pour le remplacement des immobilisations à la valeur présente du marché. C'est un indicateur financier traduisant quelle somme il serait théoriquement nécessaire d’investir si la municipalité </t>
    </r>
  </si>
  <si>
    <t>devait remplacer un actif par un actif équivalent.</t>
  </si>
  <si>
    <r>
      <t>L’</t>
    </r>
    <r>
      <rPr>
        <b/>
        <sz val="11"/>
        <color theme="1"/>
        <rFont val="Calibri"/>
        <family val="2"/>
        <scheme val="minor"/>
      </rPr>
      <t>état de l’actif</t>
    </r>
    <r>
      <rPr>
        <sz val="11"/>
        <color theme="1"/>
        <rFont val="Calibri"/>
        <family val="2"/>
        <scheme val="minor"/>
      </rPr>
      <t xml:space="preserve"> se définit par sa cote d’état. C’est un indicateur à part entière permettant de qualifier la condition de l’actif. </t>
    </r>
  </si>
  <si>
    <t>Partie 3 - Niveaux de service</t>
  </si>
  <si>
    <t xml:space="preserve">       Formulaire
       Eau potable</t>
  </si>
  <si>
    <t xml:space="preserve">           Formulaire
           Eaux usées</t>
  </si>
  <si>
    <t xml:space="preserve">      Formulaire
      Eaux pluviales</t>
  </si>
  <si>
    <t>3-EP</t>
  </si>
  <si>
    <t>3-EU</t>
  </si>
  <si>
    <t>3-EPL</t>
  </si>
  <si>
    <t xml:space="preserve">         Les fiches techniques comportent de nombreux exemples pour vous orienter dans la démarche.</t>
  </si>
  <si>
    <t>Partie 3 : Niveaux de service</t>
  </si>
  <si>
    <t>Commencez par répondre aux questions en sélectionnant dans la liste déroulante la réponse qui s’applique à votre cas.</t>
  </si>
  <si>
    <t>Lorsque vous avez terminé de compléter toutes les informations obligatoires, vérifier que votre statut est « complété » avant de poursuivre sur les autres parties.</t>
  </si>
  <si>
    <t xml:space="preserve">Remarques </t>
  </si>
  <si>
    <t>Deux catégories de niveaux de service sont identifiées : la catégorie "Exigences et mise aux normes" et la catégorie "Technique et Citoyen".</t>
  </si>
  <si>
    <t>Catégorie "Exigences et mise aux normes"</t>
  </si>
  <si>
    <t xml:space="preserve">Il s’agit des exigences définies par une réglementation ou une norme. </t>
  </si>
  <si>
    <r>
      <t>Pour l’</t>
    </r>
    <r>
      <rPr>
        <b/>
        <sz val="11"/>
        <color theme="1"/>
        <rFont val="Calibri"/>
        <family val="2"/>
        <scheme val="minor"/>
      </rPr>
      <t>eau potable</t>
    </r>
    <r>
      <rPr>
        <sz val="11"/>
        <color theme="1"/>
        <rFont val="Calibri"/>
        <family val="2"/>
        <scheme val="minor"/>
      </rPr>
      <t>, on peut retrouver le Règlement sur le prélèvement des eaux et leur protection (RPEP) et le Règlement sur la qualité de l’eau potable (RQEP) qui définit quelques règles à respecter pour fournir une eau de qualité aux citoyens.</t>
    </r>
  </si>
  <si>
    <t>La mise aux normes peut être basée sur un critère de qualité et peut concerner, par exemple, le Pourcentage (%) d’échantillonnage d’eau conforme aux réglementations.</t>
  </si>
  <si>
    <r>
      <t>Pour l’</t>
    </r>
    <r>
      <rPr>
        <b/>
        <sz val="11"/>
        <color theme="1"/>
        <rFont val="Calibri"/>
        <family val="2"/>
        <scheme val="minor"/>
      </rPr>
      <t>eau usée et pluviale</t>
    </r>
    <r>
      <rPr>
        <sz val="11"/>
        <color theme="1"/>
        <rFont val="Calibri"/>
        <family val="2"/>
        <scheme val="minor"/>
      </rPr>
      <t xml:space="preserve">, on peut retrouver la loi sur la qualité de l’environnement (LQE), le Règlement sur les ouvrages municipaux d’assainissement des eaux usées (ROMAEU) et le Règlement sur l’encadrement d’activités en fonction </t>
    </r>
  </si>
  <si>
    <t xml:space="preserve">de leur impact sur l’environnement (REAFIE). </t>
  </si>
  <si>
    <t>La mise aux normes peut être basée sur un critère de capacité et peut concerner, par exemple, le Pourcentage (%) de conformité aux réglementations applicables pour les débordements. Le type d’exigence ou provenance peut-être le ROMAEU.</t>
  </si>
  <si>
    <t>Catégorie "Technique et Citoyen"</t>
  </si>
  <si>
    <t>Pour chaque catégorie, vous devez définir un indicateur de performance, un critère de niveau de service, la tendance actuelle, la performance actuelle, la performance souhaitée. Nous vous recommandons d'inscrire d'abord vos 3 prioritaires</t>
  </si>
  <si>
    <t>afin de les visualiser dans le sommaire.</t>
  </si>
  <si>
    <t>Ces deux niveaux de service sont liés aux orientations ou préférences véhiculées par les utilisateurs, et à l’atteinte des objectifs que la municipalité s’est fixée pour délivrer le service.</t>
  </si>
  <si>
    <r>
      <t>Pour l’</t>
    </r>
    <r>
      <rPr>
        <b/>
        <sz val="11"/>
        <color theme="1"/>
        <rFont val="Calibri"/>
        <family val="2"/>
        <scheme val="minor"/>
      </rPr>
      <t>eau potable</t>
    </r>
    <r>
      <rPr>
        <sz val="11"/>
        <color theme="1"/>
        <rFont val="Calibri"/>
        <family val="2"/>
        <scheme val="minor"/>
      </rPr>
      <t xml:space="preserve"> : au </t>
    </r>
    <r>
      <rPr>
        <b/>
        <sz val="11"/>
        <color theme="1"/>
        <rFont val="Calibri"/>
        <family val="2"/>
        <scheme val="minor"/>
      </rPr>
      <t>niveau citoyen</t>
    </r>
    <r>
      <rPr>
        <sz val="11"/>
        <color theme="1"/>
        <rFont val="Calibri"/>
        <family val="2"/>
        <scheme val="minor"/>
      </rPr>
      <t xml:space="preserve">, le critère peut être la capacité et peut concerner par exemple le Pourcentage (%) de population ou logements ayant fait une plainte (goût, odeur, couleur). Au </t>
    </r>
    <r>
      <rPr>
        <b/>
        <sz val="11"/>
        <color theme="1"/>
        <rFont val="Calibri"/>
        <family val="2"/>
        <scheme val="minor"/>
      </rPr>
      <t xml:space="preserve">niveau technique, </t>
    </r>
    <r>
      <rPr>
        <sz val="11"/>
        <color theme="1"/>
        <rFont val="Calibri"/>
        <family val="2"/>
        <scheme val="minor"/>
      </rPr>
      <t>le critère peut être la fonction et concerner le Pourcentage (%) d’actifs inspectés annuellement.</t>
    </r>
  </si>
  <si>
    <r>
      <t>Pour l’</t>
    </r>
    <r>
      <rPr>
        <b/>
        <sz val="11"/>
        <color theme="1"/>
        <rFont val="Calibri"/>
        <family val="2"/>
        <scheme val="minor"/>
      </rPr>
      <t xml:space="preserve">eau usée et pluviale : </t>
    </r>
    <r>
      <rPr>
        <sz val="11"/>
        <color theme="1"/>
        <rFont val="Calibri"/>
        <family val="2"/>
        <scheme val="minor"/>
      </rPr>
      <t xml:space="preserve">au </t>
    </r>
    <r>
      <rPr>
        <b/>
        <sz val="11"/>
        <color theme="1"/>
        <rFont val="Calibri"/>
        <family val="2"/>
        <scheme val="minor"/>
      </rPr>
      <t xml:space="preserve">niveau citoyen, </t>
    </r>
    <r>
      <rPr>
        <sz val="11"/>
        <color theme="1"/>
        <rFont val="Calibri"/>
        <family val="2"/>
        <scheme val="minor"/>
      </rPr>
      <t xml:space="preserve">le critère peut être basé sur la fonction et concerne le Pourcentage (%) de population ou logements affectés par un refoulement et au </t>
    </r>
    <r>
      <rPr>
        <b/>
        <sz val="11"/>
        <color theme="1"/>
        <rFont val="Calibri"/>
        <family val="2"/>
        <scheme val="minor"/>
      </rPr>
      <t xml:space="preserve">niveau technique, </t>
    </r>
    <r>
      <rPr>
        <sz val="11"/>
        <color theme="1"/>
        <rFont val="Calibri"/>
        <family val="2"/>
        <scheme val="minor"/>
      </rPr>
      <t xml:space="preserve">le critère peut être basé sur l’état et concerné </t>
    </r>
  </si>
  <si>
    <t>par exemple la Fréquence d'interventions programmées en renouvellement.</t>
  </si>
  <si>
    <r>
      <rPr>
        <b/>
        <sz val="11"/>
        <rFont val="Calibri"/>
        <family val="2"/>
        <scheme val="minor"/>
      </rPr>
      <t xml:space="preserve">La performance actuelle et souhaitée </t>
    </r>
    <r>
      <rPr>
        <sz val="11"/>
        <rFont val="Calibri"/>
        <family val="2"/>
        <scheme val="minor"/>
      </rPr>
      <t xml:space="preserve">peut être sous forme de % ou de nombre. Par exemple, vous pouvez être à une performance actuelle de 78 % sur le pourcentage (%) de population ou logements desservis et vous souhaitez augmenter </t>
    </r>
  </si>
  <si>
    <t>la performance à 95%.</t>
  </si>
  <si>
    <t xml:space="preserve">Définitions </t>
  </si>
  <si>
    <r>
      <rPr>
        <b/>
        <sz val="11"/>
        <color theme="1"/>
        <rFont val="Calibri"/>
        <family val="2"/>
        <scheme val="minor"/>
      </rPr>
      <t>La tendance</t>
    </r>
    <r>
      <rPr>
        <sz val="11"/>
        <color theme="1"/>
        <rFont val="Calibri"/>
        <family val="2"/>
        <scheme val="minor"/>
      </rPr>
      <t xml:space="preserve"> d’un indicateur de performance ou d’un niveau de service reflète le comportement mesuré en se basant sur l’historique des résultats et en proposant, si voulu, des projections.</t>
    </r>
  </si>
  <si>
    <r>
      <rPr>
        <b/>
        <sz val="11"/>
        <color theme="1"/>
        <rFont val="Calibri"/>
        <family val="2"/>
        <scheme val="minor"/>
      </rPr>
      <t>La performance actuelle</t>
    </r>
    <r>
      <rPr>
        <sz val="11"/>
        <color theme="1"/>
        <rFont val="Calibri"/>
        <family val="2"/>
        <scheme val="minor"/>
      </rPr>
      <t xml:space="preserve"> est le résultat de la mesure à l’instant présent. Ce résultat est à comparer avec la cible ou la performance souhaitée.</t>
    </r>
  </si>
  <si>
    <r>
      <rPr>
        <b/>
        <sz val="11"/>
        <color theme="1"/>
        <rFont val="Calibri"/>
        <family val="2"/>
        <scheme val="minor"/>
      </rPr>
      <t>La performance souhaitée</t>
    </r>
    <r>
      <rPr>
        <sz val="11"/>
        <color theme="1"/>
        <rFont val="Calibri"/>
        <family val="2"/>
        <scheme val="minor"/>
      </rPr>
      <t xml:space="preserve">, ou « cible » est le résultat que la municipalité cherche à obtenir vis-à-vis de la mesure. La performance souhaitée peut donc être plus basse, équivalente ou plus haute que la performance actuelle selon les objectifs visés </t>
    </r>
  </si>
  <si>
    <t>par la municipalité.</t>
  </si>
  <si>
    <t>Partie 4 - Risques et demande</t>
  </si>
  <si>
    <r>
      <t xml:space="preserve">Il est fortement recommandé de consulter le </t>
    </r>
    <r>
      <rPr>
        <i/>
        <sz val="11"/>
        <color theme="8" tint="-0.249977111117893"/>
        <rFont val="Calibri"/>
        <family val="2"/>
        <scheme val="minor"/>
      </rPr>
      <t xml:space="preserve">Guide d'élaboration d'un plan de gestion des actifs municipaux </t>
    </r>
    <r>
      <rPr>
        <sz val="11"/>
        <color theme="8" tint="-0.249977111117893"/>
        <rFont val="Calibri"/>
        <family val="2"/>
        <scheme val="minor"/>
      </rPr>
      <t xml:space="preserve">(CERIU) et les </t>
    </r>
    <r>
      <rPr>
        <i/>
        <sz val="11"/>
        <color theme="8" tint="-0.249977111117893"/>
        <rFont val="Calibri"/>
        <family val="2"/>
        <scheme val="minor"/>
      </rPr>
      <t>Fiches techniques en eau</t>
    </r>
    <r>
      <rPr>
        <sz val="11"/>
        <color theme="8" tint="-0.249977111117893"/>
        <rFont val="Calibri"/>
        <family val="2"/>
        <scheme val="minor"/>
      </rPr>
      <t xml:space="preserve"> (CERIU) pour remplir les sections. </t>
    </r>
  </si>
  <si>
    <t>4A-EP et 4B-EP</t>
  </si>
  <si>
    <t>4A-EU et 4B-EU</t>
  </si>
  <si>
    <t>4A-EPL et 4B-EPL</t>
  </si>
  <si>
    <t xml:space="preserve">   Les fiches techniques comportent de nombreux exemples pour vous orienter dans la démarche</t>
  </si>
  <si>
    <t>Partie 4 : Gestion des risques et de la demande à venir</t>
  </si>
  <si>
    <t>Lisez attentivement la section avant de commencer à remplir</t>
  </si>
  <si>
    <t>Lorsque vous aurez terminé de compléter toutes les informations obligatoires, vérifier que votre statut est « complété » avant de poursuivre sur les autres parties.</t>
  </si>
  <si>
    <t>Cette partie est divisée en deux : Gestion des risques et Demande à venir.</t>
  </si>
  <si>
    <t xml:space="preserve">  Risques</t>
  </si>
  <si>
    <t>Des catégories de risques sont listées dans le tableau afin de vous aider. Veuillez indiquer le niveau de risque correspondant à chaque catégorie.</t>
  </si>
  <si>
    <t xml:space="preserve">   Les coûts associés aux risques sont expliqués dans la partie 5.</t>
  </si>
  <si>
    <t xml:space="preserve">  Demande</t>
  </si>
  <si>
    <t>Des catégories de changements sont listées dans le tableau afin de vous aider. Veuillez indiquer le type de changement anticipé correspondant à chaque catégorie.</t>
  </si>
  <si>
    <t xml:space="preserve">   Les coûts associés à la demande sont expliqués dans la partie 5.</t>
  </si>
  <si>
    <t>Partie 5 - Planification des coûts sur le cycle de vie</t>
  </si>
  <si>
    <r>
      <rPr>
        <sz val="11"/>
        <color theme="8" tint="-0.249977111117893"/>
        <rFont val="Calibri"/>
        <family val="2"/>
        <scheme val="minor"/>
      </rPr>
      <t xml:space="preserve">Il est fortement recommandé de consulter le </t>
    </r>
    <r>
      <rPr>
        <i/>
        <sz val="11"/>
        <color theme="8" tint="-0.249977111117893"/>
        <rFont val="Calibri"/>
        <family val="2"/>
        <scheme val="minor"/>
      </rPr>
      <t>Guide d'élaboration d'un plan de gestion des actifs municipaux</t>
    </r>
    <r>
      <rPr>
        <sz val="11"/>
        <color theme="8" tint="-0.249977111117893"/>
        <rFont val="Calibri"/>
        <family val="2"/>
        <scheme val="minor"/>
      </rPr>
      <t xml:space="preserve"> (CERIU) et les </t>
    </r>
    <r>
      <rPr>
        <i/>
        <sz val="11"/>
        <color theme="8" tint="-0.249977111117893"/>
        <rFont val="Calibri"/>
        <family val="2"/>
        <scheme val="minor"/>
      </rPr>
      <t>Fiches techniques en eau</t>
    </r>
    <r>
      <rPr>
        <sz val="11"/>
        <color theme="8" tint="-0.249977111117893"/>
        <rFont val="Calibri"/>
        <family val="2"/>
        <scheme val="minor"/>
      </rPr>
      <t xml:space="preserve"> (CERIU) pour remplir les sections. </t>
    </r>
  </si>
  <si>
    <t>5-EP</t>
  </si>
  <si>
    <t>5-EU/EPL</t>
  </si>
  <si>
    <t>Partie 5 : Gestion sur le cycle de vie</t>
  </si>
  <si>
    <t xml:space="preserve">La section est divisée en deux : une section dédiée au budget actuel et une autre section dédiée aux coûts prévisionnels (besoins). </t>
  </si>
  <si>
    <t xml:space="preserve">Le  budget actuel correspond au budget, voté par le conseil municipal, pour assurer un service fourni aux citoyens par la municipalité. Le budget actuel, annuel et relié avec l’année civile en cours, s’exprime comme un montant financier. </t>
  </si>
  <si>
    <t xml:space="preserve">Pour évaluer ce budget, il est nécessaire de recenser les données budgétaires disponibles au sein de votre municipalité. </t>
  </si>
  <si>
    <t xml:space="preserve">Ce budget doit être réparti selon les 5 phases du cycle de vie de l’actif (Exploitation, Entretien, Renouvellement, Acquisition, Disposition) et par sous-service.  Pour cela, il est suggéré d’appliquer des pourcentages (%) sur les budgets actuels </t>
  </si>
  <si>
    <t>par regroupement usuel, correspondants à la portion de chaque phase du cycle de vie à partir des données budgétaires entièrement ou partiellement déterminées par regroupement usuel.</t>
  </si>
  <si>
    <t>Coûts prévisionnels (besoins)</t>
  </si>
  <si>
    <t>Les coûts prévisionnels correspondent aux besoins, c’est-à-dire les coûts nécessaires pour continuer à délivrer les services au niveau actuel aux citoyens.</t>
  </si>
  <si>
    <t>Pour cela, il est nécessaire de faire une estimation de vos besoins pour les 10 prochaines années et les répartir selon les 5 phases du cycle de vie de l’actif en vous aidant des budgets actuels estimés à la section précédente.</t>
  </si>
  <si>
    <r>
      <t>Les</t>
    </r>
    <r>
      <rPr>
        <b/>
        <sz val="11"/>
        <color theme="1"/>
        <rFont val="Calibri"/>
        <family val="2"/>
        <scheme val="minor"/>
      </rPr>
      <t xml:space="preserve"> coûts additionnels comprennent</t>
    </r>
    <r>
      <rPr>
        <sz val="11"/>
        <color theme="1"/>
        <rFont val="Calibri"/>
        <family val="2"/>
        <scheme val="minor"/>
      </rPr>
      <t xml:space="preserve"> les coûts liés aux acquisitions futures, liés à la gestion des niveaux de service, liés à la gestion de la demande à venir et à la gestion des risques. </t>
    </r>
  </si>
  <si>
    <r>
      <t xml:space="preserve">Si vous inscrivez des montants pour les acquisitions futures, la gestion des niveaux de service, la gestion de la demande à venir et des risques, la somme des coûts doit correspondre aux </t>
    </r>
    <r>
      <rPr>
        <b/>
        <sz val="11"/>
        <color theme="1"/>
        <rFont val="Calibri"/>
        <family val="2"/>
        <scheme val="minor"/>
      </rPr>
      <t>« coûts additionnels totaux »</t>
    </r>
    <r>
      <rPr>
        <sz val="11"/>
        <color theme="1"/>
        <rFont val="Calibri"/>
        <family val="2"/>
        <scheme val="minor"/>
      </rPr>
      <t xml:space="preserve">. Le total des coûts additionnels </t>
    </r>
  </si>
  <si>
    <t>ne se fait pas automatiquement et l’information doit être reportée manuellement pour permettre aux municipalités qui n’ont pas encore entamé une réflexion sur la gestion des niveaux de service, de la demande à venir ou du risque et qui ne</t>
  </si>
  <si>
    <t>souhaitent pas indiquer des montants de poursuivre dans la planification des coûts sur le cycle de vie de leurs actifs. Les municipalités, se trouvant dans ces cas de figure, peuvent seulement inscrire un montant global dans « coûts additionnels totaux ».</t>
  </si>
  <si>
    <r>
      <t xml:space="preserve">Dans le cas du renouvellement, vous devez indiquer des coûts liés au </t>
    </r>
    <r>
      <rPr>
        <b/>
        <sz val="11"/>
        <rFont val="Calibri"/>
        <family val="2"/>
        <scheme val="minor"/>
      </rPr>
      <t>déficit de maintien</t>
    </r>
    <r>
      <rPr>
        <sz val="11"/>
        <rFont val="Calibri"/>
        <family val="2"/>
        <scheme val="minor"/>
      </rPr>
      <t xml:space="preserve">, qui correspondent aux coûts pouvant permettre le rattrapage du retard sur le renouvellement. Vous pouvez inscrire un montant global à la première année </t>
    </r>
  </si>
  <si>
    <t>ou répartir les coûts sur les 10 prochaines années.</t>
  </si>
  <si>
    <r>
      <rPr>
        <b/>
        <sz val="11"/>
        <color theme="1"/>
        <rFont val="Calibri"/>
        <family val="2"/>
        <scheme val="minor"/>
      </rPr>
      <t>Déficit de maintien (rattrapage)</t>
    </r>
    <r>
      <rPr>
        <sz val="11"/>
        <color theme="1"/>
        <rFont val="Calibri"/>
        <family val="2"/>
        <scheme val="minor"/>
      </rPr>
      <t xml:space="preserve"> : Travaux qui visent à rétablir l’état physique d’un actif afin d’assurer la santé et la sécurité des personnes, de poursuivre son utilisation aux fins auxquelles il est destiné, de réduire la probabilité de défaillance </t>
    </r>
  </si>
  <si>
    <t>ou de contrer sa vétusté physique.</t>
  </si>
  <si>
    <t>Partie 6 - Résumé financier</t>
  </si>
  <si>
    <t>6-SE</t>
  </si>
  <si>
    <t>Partie 6 : Résumé Financier</t>
  </si>
  <si>
    <t>Remarques</t>
  </si>
  <si>
    <t>Les coûts prévisionnels inscrits dans la partie 5 s’affichent automatiquement pour chaque phase du cycle de vie de l’actif et selon les sous-catégories.</t>
  </si>
  <si>
    <t xml:space="preserve">Les informations obligatoires à renseigner sont les revenus du gouvernement provincial et les revenus générés par votre municipalité. Le budget total planifié par la municipalité et le déficit de financement sont calculés automatiquement </t>
  </si>
  <si>
    <t>en fonction des données renseignées. Les revenus générés par la municipalité peuvent être toute autre forme de financement telle que la taxe foncière générale, la taxe spéciale générale ou de secteur, la tarification, la redevance réglementaire etc.</t>
  </si>
  <si>
    <r>
      <rPr>
        <b/>
        <sz val="11"/>
        <color theme="1"/>
        <rFont val="Calibri"/>
        <family val="2"/>
        <scheme val="minor"/>
      </rPr>
      <t xml:space="preserve"> Le déficit de financement</t>
    </r>
    <r>
      <rPr>
        <sz val="11"/>
        <color theme="1"/>
        <rFont val="Calibri"/>
        <family val="2"/>
        <scheme val="minor"/>
      </rPr>
      <t xml:space="preserve"> représente la différence entre les besoins totaux de financement (coûts prévisionnels) sur une période donnée et les budgets planifiés (ce que la municipalité prévoit de financer sur cette période).</t>
    </r>
  </si>
  <si>
    <t>Partie 7 - Amélioration et suivi</t>
  </si>
  <si>
    <t>7-SE</t>
  </si>
  <si>
    <t>Partie 7 : Amélioration et suivi</t>
  </si>
  <si>
    <t>La section est divisée en deux : une section dédiée à votre niveau de confiance dans les données et une autre dédiée à votre niveau de progression dans la démarche.</t>
  </si>
  <si>
    <t>Cinq niveaux de confiance sont définis dans le cadre du PGA (Très faible, Faible, Moyen, Bon et Excellent). Pour chaque partie du PGA, vous devez inscrire votre niveau de confiance sur les données utilisées. 
Le cumulatif est généré automatiquement pour chaque partie. Vous pouvez aussi définir votre horizon d'amélioration à court, moyen ou long terme.</t>
  </si>
  <si>
    <t>Il est important d’indiquer la confiance dans les données présentées dans les différentes parties du PGA, car elles permettent de mettre en perspective les résultats. En effet, un graphique indiquant que la confiance dans les données est « Moyen » sera analysé avec plus de précaution que celui dont le niveau de confiance dans les données est « Excellent ». Cependant, il est important de rappeler que débuter le PGA avec des données dont la confiance est « Très faible » n’est pas un enjeu, car l’objectif premier est de prendre connaissance des notions, de les appliquer, de prioriser les données à améliorer et de consolider la confiance au fur et à mesure.</t>
  </si>
  <si>
    <t>Niveau de progression dans les démarches de réalisation du PGA</t>
  </si>
  <si>
    <t>Cinq niveaux de progression sont définis dans le cadre du PGA (Débutant, Élémentaire, Intermédiaire, Avancé, Expert), Pour chaque partie du PGA, inscrivez votre niveau de progression dans la démarche. 
Le cumulatif est généré automatiquement pour chaque partie. Vous pouvez aussi définir votre horizon d'amélioration à court, moyen ou long terme.</t>
  </si>
  <si>
    <t>La réalisation de cette partie permet à la municipalité de s’autoévaluer et noter son niveau pour chaque partie du PGA. Cela permet alors de se donner des objectifs d’amélioration pour une ou plusieurs parties.</t>
  </si>
  <si>
    <t>Partie 8 - Sommaire</t>
  </si>
  <si>
    <t>Graphiques des onglets sommaire / service</t>
  </si>
  <si>
    <t>Il n'est pas possible de modifier les graphiques, car ils sont générés automatiquement à partir des données renseignées dans les formulaires. Il n'est pas non plus possible de copier les graphiques. 
Si vous souhaitez exploiter les graphiques, nous vous suggérons de faire une capture d'écran.</t>
  </si>
  <si>
    <t>Graphiques du sommaire général PGA EAU</t>
  </si>
  <si>
    <t>Le sommaire général est la combinaison de l'ensemble de tous vos sommaires par service.</t>
  </si>
  <si>
    <t>&gt;&gt;  Indiquez quel(s) service(s) sont fourni(s) dans votre organisation</t>
  </si>
  <si>
    <t xml:space="preserve">Commentaires </t>
  </si>
  <si>
    <t>Nom 
de la régie</t>
  </si>
  <si>
    <t>PARTIE 8 SOMMAIRE</t>
  </si>
  <si>
    <t>Sommaire Eaux usées</t>
  </si>
  <si>
    <t>Sommaire général / Partie Eaux usées</t>
  </si>
  <si>
    <t>Sommaire Eaux pluviales</t>
  </si>
  <si>
    <t>Sommaire général / Partie Eaux pluviales</t>
  </si>
  <si>
    <t>Sommaire Eau potable</t>
  </si>
  <si>
    <t>Sommaire général / Partie Eau potable</t>
  </si>
  <si>
    <t>Exigence / Mise aux normes à surveiller</t>
  </si>
  <si>
    <t xml:space="preserve">Service fourni: Eau potable? </t>
  </si>
  <si>
    <t xml:space="preserve">Service fourni: Eaux usées? </t>
  </si>
  <si>
    <t xml:space="preserve">Service fourni: Eaux pluviales? </t>
  </si>
  <si>
    <t>Choix de la municipalité 
(services remplis):</t>
  </si>
  <si>
    <t xml:space="preserve">Prendre note que le terme municipalité est utilisé par défaut dans l'onglet "Aide" pour désigner l'organisation qui remplit le Chiffrier. </t>
  </si>
  <si>
    <r>
      <t xml:space="preserve">Les informations obligatoires à remplir sont vos </t>
    </r>
    <r>
      <rPr>
        <b/>
        <sz val="11"/>
        <color theme="1"/>
        <rFont val="Calibri"/>
        <family val="2"/>
        <scheme val="minor"/>
      </rPr>
      <t xml:space="preserve">coûts pour poursuivre les activités actuelles et vos coûts additionnels. </t>
    </r>
    <r>
      <rPr>
        <sz val="11"/>
        <color theme="1"/>
        <rFont val="Calibri"/>
        <family val="2"/>
        <scheme val="minor"/>
      </rPr>
      <t xml:space="preserve">Ces derniers sont des coûts anticipés pour gérer ce qui s’en vient dans votre municipalité. </t>
    </r>
  </si>
  <si>
    <t>Coûts pour poursuivre les activités actuelles</t>
  </si>
  <si>
    <t xml:space="preserve">Coûts pour poursuivre les activités actuelles </t>
  </si>
  <si>
    <t>Les coûts nécessaires pour poursuivre les activités actuelles.</t>
  </si>
  <si>
    <t>Acceptable
(C)</t>
  </si>
  <si>
    <t>07025</t>
  </si>
  <si>
    <t>07047</t>
  </si>
  <si>
    <t>08080</t>
  </si>
  <si>
    <t>05045</t>
  </si>
  <si>
    <t>04047</t>
  </si>
  <si>
    <t>05060</t>
  </si>
  <si>
    <t>06013</t>
  </si>
  <si>
    <t>05077</t>
  </si>
  <si>
    <t>02028</t>
  </si>
  <si>
    <t>03010</t>
  </si>
  <si>
    <t>01023</t>
  </si>
  <si>
    <t>01042</t>
  </si>
  <si>
    <t>02005</t>
  </si>
  <si>
    <t>02010</t>
  </si>
  <si>
    <t>02015</t>
  </si>
  <si>
    <t>02047</t>
  </si>
  <si>
    <t>03005</t>
  </si>
  <si>
    <t>03015</t>
  </si>
  <si>
    <t>03020</t>
  </si>
  <si>
    <t>03025</t>
  </si>
  <si>
    <t>04005</t>
  </si>
  <si>
    <t>04010</t>
  </si>
  <si>
    <t>04015</t>
  </si>
  <si>
    <t>04020</t>
  </si>
  <si>
    <t>04025</t>
  </si>
  <si>
    <t>04030</t>
  </si>
  <si>
    <t>04037</t>
  </si>
  <si>
    <t>05010</t>
  </si>
  <si>
    <t>05015</t>
  </si>
  <si>
    <t>05020</t>
  </si>
  <si>
    <t>05025</t>
  </si>
  <si>
    <t>05032</t>
  </si>
  <si>
    <t>05040</t>
  </si>
  <si>
    <t>05050</t>
  </si>
  <si>
    <t>05055</t>
  </si>
  <si>
    <t>05065</t>
  </si>
  <si>
    <t>05070</t>
  </si>
  <si>
    <t>06005</t>
  </si>
  <si>
    <t>06020</t>
  </si>
  <si>
    <t>06025</t>
  </si>
  <si>
    <t>06030</t>
  </si>
  <si>
    <t>06035</t>
  </si>
  <si>
    <t>06040</t>
  </si>
  <si>
    <t>06045</t>
  </si>
  <si>
    <t>06050</t>
  </si>
  <si>
    <t>06055</t>
  </si>
  <si>
    <t>06060</t>
  </si>
  <si>
    <t>07005</t>
  </si>
  <si>
    <t>07010</t>
  </si>
  <si>
    <t>07018</t>
  </si>
  <si>
    <t>07030</t>
  </si>
  <si>
    <t>07035</t>
  </si>
  <si>
    <t>07040</t>
  </si>
  <si>
    <t>07057</t>
  </si>
  <si>
    <t>07065</t>
  </si>
  <si>
    <t>07070</t>
  </si>
  <si>
    <t>07075</t>
  </si>
  <si>
    <t>07080</t>
  </si>
  <si>
    <t>07085</t>
  </si>
  <si>
    <t>07090</t>
  </si>
  <si>
    <t>07095</t>
  </si>
  <si>
    <t>07100</t>
  </si>
  <si>
    <t>07105</t>
  </si>
  <si>
    <t>08005</t>
  </si>
  <si>
    <t>08010</t>
  </si>
  <si>
    <t>08015</t>
  </si>
  <si>
    <t>08023</t>
  </si>
  <si>
    <t>08030</t>
  </si>
  <si>
    <t>08035</t>
  </si>
  <si>
    <t>08040</t>
  </si>
  <si>
    <t>08053</t>
  </si>
  <si>
    <t>08065</t>
  </si>
  <si>
    <t>08073</t>
  </si>
  <si>
    <t>09005</t>
  </si>
  <si>
    <t>09010</t>
  </si>
  <si>
    <t>09015</t>
  </si>
  <si>
    <t>09020</t>
  </si>
  <si>
    <t>09025</t>
  </si>
  <si>
    <t>09030</t>
  </si>
  <si>
    <t>09035</t>
  </si>
  <si>
    <t>09040</t>
  </si>
  <si>
    <t>09048</t>
  </si>
  <si>
    <t>09055</t>
  </si>
  <si>
    <t>09060</t>
  </si>
  <si>
    <t>09065</t>
  </si>
  <si>
    <t>09070</t>
  </si>
  <si>
    <t>09077</t>
  </si>
  <si>
    <t>09085</t>
  </si>
  <si>
    <t>09092</t>
  </si>
  <si>
    <t>Approvisionnement Traitement</t>
  </si>
  <si>
    <t>AUTRE</t>
  </si>
  <si>
    <t>&gt;&gt; Inscrivez le nom de votre organisation.</t>
  </si>
  <si>
    <t>Nom de l'organisation</t>
  </si>
  <si>
    <t>Identification du répondant</t>
  </si>
  <si>
    <t>L'objectif n'est pas de planifier en détail les interventions sur tous les actifs, mais plutôt d'obtenir une vision globale des actifs que votre organisation doit gérer, et ce qui doit être anticipé dans les prochaines années.</t>
  </si>
  <si>
    <t xml:space="preserve">Cela vous permettra d'obtenir un premier portrait sommaire PGA pour votre organisation, qui pourra être amélioré dans le temps.  </t>
  </si>
  <si>
    <t>J'ai lu et compris les objectifs et le fonctionnement du présent formulaire ainsi que la portée et les limites des visuels qui apparaitront aux onglets SOMMAIRE PGA,
ceux-ci étant dépendant de la confiance dans les données et du niveau de progression dans la démarche PGA-Eau pour mon organisation.</t>
  </si>
  <si>
    <t>Quel choix fait votre organisation?</t>
  </si>
  <si>
    <t>&gt;&gt; Inscrivez les coordonnées du répondant principal en lien avec la réalisation du PGA-Eau de votre organisation, ainsi que les coordonnées de toute autre personne responsable de remplir les différents formulaires par service.</t>
  </si>
  <si>
    <r>
      <t xml:space="preserve">▪  L'onglet </t>
    </r>
    <r>
      <rPr>
        <b/>
        <u/>
        <sz val="12"/>
        <color theme="1"/>
        <rFont val="Calibri"/>
        <family val="2"/>
        <scheme val="minor"/>
      </rPr>
      <t>IDENTIFICATION</t>
    </r>
    <r>
      <rPr>
        <sz val="11"/>
        <color theme="1"/>
        <rFont val="Calibri"/>
        <family val="2"/>
        <scheme val="minor"/>
      </rPr>
      <t xml:space="preserve"> doit être rempli en premier lieu et permet de saisir les informations clés en lien avec le PGA-Eau de votre organisation.</t>
    </r>
  </si>
  <si>
    <r>
      <t xml:space="preserve">▪  Les onglets </t>
    </r>
    <r>
      <rPr>
        <b/>
        <u/>
        <sz val="12"/>
        <color theme="1"/>
        <rFont val="Calibri"/>
        <family val="2"/>
        <scheme val="minor"/>
      </rPr>
      <t>FORMULAIRES</t>
    </r>
    <r>
      <rPr>
        <sz val="11"/>
        <color theme="1"/>
        <rFont val="Calibri"/>
        <family val="2"/>
        <scheme val="minor"/>
      </rPr>
      <t xml:space="preserve"> doivent être remplis au meilleur de vos connaissances. Plusieurs informations sont déjà compilées et disponibles pour vos actifs d'eau potable, 
       notamment par le biais du Plan d'intervention, de l'outil BI, du formulaire de la SQEEP / Audit de l'eau, etc.  Ces documents pourront vous être utiles, combinés aux 
       informations disponibles dans votre organisation du côté de l'ingénierie, des travaux publics, des finances, etc.</t>
    </r>
  </si>
  <si>
    <r>
      <t xml:space="preserve">▪  Les onglets </t>
    </r>
    <r>
      <rPr>
        <b/>
        <u/>
        <sz val="12"/>
        <color theme="1"/>
        <rFont val="Calibri"/>
        <family val="2"/>
        <scheme val="minor"/>
      </rPr>
      <t>SOMMAIRES PGA par service</t>
    </r>
    <r>
      <rPr>
        <sz val="11"/>
        <color theme="1"/>
        <rFont val="Calibri"/>
        <family val="2"/>
        <scheme val="minor"/>
      </rPr>
      <t xml:space="preserve"> sont générés automatiquement à partir des informations fournies dans le formulaire associé et ne peuvent être modifiés. 
      Ils peuvent être utilisés comme résumés de vos plans de gestion d'actifs par service, ou encore ils peuvent s'avérer utiles pour communiquer les informations pertinentes 
      de la gestion d'actifs pour votre organisation, un peu à la manière d'un tableau de bord.</t>
    </r>
  </si>
  <si>
    <t>Partie C:  Identification du répondant</t>
  </si>
  <si>
    <t>Il est souhaitable de remplir ces cases pour obtenir un portrait plus complet de la gestion des actifs dans l'organisation.</t>
  </si>
  <si>
    <t>Version 1.2     © CERIU, 2024</t>
  </si>
  <si>
    <t>La Démarche est la première étape à réaliser avant l’élaboration du plan de gestion d’actifs en eau. C’est un document servant de gabarit à la organisation pour réaliser une Démarche de gestion des actifs municipaux (en eau).</t>
  </si>
  <si>
    <t>▪  L'onglet Liste organisations peut être consulté au besoin concernant l'identification de la organisation avec son code géographique et sa région administrative.</t>
  </si>
  <si>
    <t>La organisation débute la démarche.​ Elle prend connaissance de nouvelles notions avec lesquelles elle doit se familiariser.</t>
  </si>
  <si>
    <t>La organisation a entrepris la démarche en mettant quelques éléments en pratique.​  Elle comprend la majorité des notions présentes.​</t>
  </si>
  <si>
    <t>La organisation a bien avancé dans la démarche, il reste encore des éléments à compléter. ​ Elle connait l’ensemble des notions présentes.​</t>
  </si>
  <si>
    <t>La organisation maîtrise l'ensemble de la démarche.  Elle est familière et sait travailler avec l’ensemble des notions présentes.​</t>
  </si>
  <si>
    <t>La organisation s'assure que la démarche est pérenne, cohérente, et que les informations restent à jour.​  Elle travaille habilement avec l’ensemble des notions présentes.</t>
  </si>
  <si>
    <t>&gt;&gt; Identifiez à quel type d'organisation vous appartenez : organisation, Régie ou Autre</t>
  </si>
  <si>
    <t>&gt;&gt; Remplissez la section organisation, la section régie ou la section autre selon votre type d'organisation</t>
  </si>
  <si>
    <t>&gt;&gt; Inscrivez le code géographique de votre organisation et les autres informations requises apparaitront automatiquement.</t>
  </si>
  <si>
    <t>***  L'onglet "Liste organisations" peut être consulté pour obtenir le code géographique de votre organisation.</t>
  </si>
  <si>
    <t>Code géographique
de la organisation</t>
  </si>
  <si>
    <t>Notre organisation ne possède aucun actif en approvisionnement et traitement de l'eau potable.</t>
  </si>
  <si>
    <t>Notre organisation ne possède aucun actif en distribution d'eau potable.</t>
  </si>
  <si>
    <t>Notre organisation ne possède que des actifs linéaires liés à ce sous-service.</t>
  </si>
  <si>
    <t>Notre organisation ne possède que des actifs ponctuels liés à ce sous-service.</t>
  </si>
  <si>
    <t>Notre organisation possède des actifs linéaires et ponctuels liés à ce sous-service.</t>
  </si>
  <si>
    <t>Notre organisation ne possède aucun actif lié à la collecte des eaux usées.</t>
  </si>
  <si>
    <t>Notre organisation ne possède aucun actif lié au traitement des eaux usées.</t>
  </si>
  <si>
    <t>Notre organisation ne possède aucun actif lié à la collecte des eaux pluviales.</t>
  </si>
  <si>
    <t>Notre organisation ne possède aucun actif lié au traitement des eaux pluviales.</t>
  </si>
  <si>
    <t>Notre organisation aimerait traiter l'ensemble de ses actifs en eaux pluviales dans le même sous-service "Collecte".</t>
  </si>
  <si>
    <t>Notre organisation préfère distinguer ses ouvrages de traitement et de rétention des eaux pluviales dans le sous-service "Traitement".</t>
  </si>
  <si>
    <t>46005</t>
  </si>
  <si>
    <t>48028</t>
  </si>
  <si>
    <t>31056</t>
  </si>
  <si>
    <t>98030</t>
  </si>
  <si>
    <t>99125</t>
  </si>
  <si>
    <t>53072</t>
  </si>
  <si>
    <t>51020</t>
  </si>
  <si>
    <t>40017</t>
  </si>
  <si>
    <t>42088</t>
  </si>
  <si>
    <t>99070</t>
  </si>
  <si>
    <t>92030</t>
  </si>
  <si>
    <t>93042</t>
  </si>
  <si>
    <t>49040</t>
  </si>
  <si>
    <t>66032</t>
  </si>
  <si>
    <t>41065</t>
  </si>
  <si>
    <t>77060</t>
  </si>
  <si>
    <t>76035</t>
  </si>
  <si>
    <t>99050</t>
  </si>
  <si>
    <t>41098</t>
  </si>
  <si>
    <t>44080</t>
  </si>
  <si>
    <t>84050</t>
  </si>
  <si>
    <t>78070</t>
  </si>
  <si>
    <t>55008</t>
  </si>
  <si>
    <t>47025</t>
  </si>
  <si>
    <t>99010</t>
  </si>
  <si>
    <t>99035</t>
  </si>
  <si>
    <t>39077</t>
  </si>
  <si>
    <t>47030</t>
  </si>
  <si>
    <t>84070</t>
  </si>
  <si>
    <t>32085</t>
  </si>
  <si>
    <t>85025</t>
  </si>
  <si>
    <t>39062</t>
  </si>
  <si>
    <t>59025</t>
  </si>
  <si>
    <t>56005</t>
  </si>
  <si>
    <t>71090</t>
  </si>
  <si>
    <t>19037</t>
  </si>
  <si>
    <t>78060</t>
  </si>
  <si>
    <t>41055</t>
  </si>
  <si>
    <t>50013</t>
  </si>
  <si>
    <t>13045</t>
  </si>
  <si>
    <t>30055</t>
  </si>
  <si>
    <t>83090</t>
  </si>
  <si>
    <t>99105</t>
  </si>
  <si>
    <t>87050</t>
  </si>
  <si>
    <t>45085</t>
  </si>
  <si>
    <t>87100</t>
  </si>
  <si>
    <t>45035</t>
  </si>
  <si>
    <t>96020</t>
  </si>
  <si>
    <t>50100</t>
  </si>
  <si>
    <t>66112</t>
  </si>
  <si>
    <t>98035</t>
  </si>
  <si>
    <t>15065</t>
  </si>
  <si>
    <t>16013</t>
  </si>
  <si>
    <t>96005</t>
  </si>
  <si>
    <t>78050</t>
  </si>
  <si>
    <t>44045</t>
  </si>
  <si>
    <t>88022</t>
  </si>
  <si>
    <t>37210</t>
  </si>
  <si>
    <t>66107</t>
  </si>
  <si>
    <t>85020</t>
  </si>
  <si>
    <t>70022</t>
  </si>
  <si>
    <t>27028</t>
  </si>
  <si>
    <t>31008</t>
  </si>
  <si>
    <t>19105</t>
  </si>
  <si>
    <t>21025</t>
  </si>
  <si>
    <t>38010</t>
  </si>
  <si>
    <t>46035</t>
  </si>
  <si>
    <t>46040</t>
  </si>
  <si>
    <t>94250</t>
  </si>
  <si>
    <t>89050</t>
  </si>
  <si>
    <t>85065</t>
  </si>
  <si>
    <t>57040</t>
  </si>
  <si>
    <t>88070</t>
  </si>
  <si>
    <t>18065</t>
  </si>
  <si>
    <t>52035</t>
  </si>
  <si>
    <t>48005</t>
  </si>
  <si>
    <t>13055</t>
  </si>
  <si>
    <t>73015</t>
  </si>
  <si>
    <t>98005</t>
  </si>
  <si>
    <t>83045</t>
  </si>
  <si>
    <t>80115</t>
  </si>
  <si>
    <t>73005</t>
  </si>
  <si>
    <t>21045</t>
  </si>
  <si>
    <t>73030</t>
  </si>
  <si>
    <t>83085</t>
  </si>
  <si>
    <t>45095</t>
  </si>
  <si>
    <t>46065</t>
  </si>
  <si>
    <t>98010</t>
  </si>
  <si>
    <t>42040</t>
  </si>
  <si>
    <t>58033</t>
  </si>
  <si>
    <t>83050</t>
  </si>
  <si>
    <t>80145</t>
  </si>
  <si>
    <t>46090</t>
  </si>
  <si>
    <t>84005</t>
  </si>
  <si>
    <t>78075</t>
  </si>
  <si>
    <t>46070</t>
  </si>
  <si>
    <t>71083</t>
  </si>
  <si>
    <t>59020</t>
  </si>
  <si>
    <t>87105</t>
  </si>
  <si>
    <t>30015</t>
  </si>
  <si>
    <t>78005</t>
  </si>
  <si>
    <t>26015</t>
  </si>
  <si>
    <t>42095</t>
  </si>
  <si>
    <t>89008</t>
  </si>
  <si>
    <t>40043</t>
  </si>
  <si>
    <t>82015</t>
  </si>
  <si>
    <t>78100</t>
  </si>
  <si>
    <t>80140</t>
  </si>
  <si>
    <t>78010</t>
  </si>
  <si>
    <t>42060</t>
  </si>
  <si>
    <t>42055</t>
  </si>
  <si>
    <t>33070</t>
  </si>
  <si>
    <t>48038</t>
  </si>
  <si>
    <t>99080</t>
  </si>
  <si>
    <t>42078</t>
  </si>
  <si>
    <t>37067</t>
  </si>
  <si>
    <t>35055</t>
  </si>
  <si>
    <t>11040</t>
  </si>
  <si>
    <t>27060</t>
  </si>
  <si>
    <t>69030</t>
  </si>
  <si>
    <t>71125</t>
  </si>
  <si>
    <t>88075</t>
  </si>
  <si>
    <t>17035</t>
  </si>
  <si>
    <t>39025</t>
  </si>
  <si>
    <t>80050</t>
  </si>
  <si>
    <t>84045</t>
  </si>
  <si>
    <t>31084</t>
  </si>
  <si>
    <t>64008</t>
  </si>
  <si>
    <t>71075</t>
  </si>
  <si>
    <t>13073</t>
  </si>
  <si>
    <t>85005</t>
  </si>
  <si>
    <t>99100</t>
  </si>
  <si>
    <t>87042</t>
  </si>
  <si>
    <t>95005</t>
  </si>
  <si>
    <t>46058</t>
  </si>
  <si>
    <t>45105</t>
  </si>
  <si>
    <t>30110</t>
  </si>
  <si>
    <t>30105</t>
  </si>
  <si>
    <t>22035</t>
  </si>
  <si>
    <t>42005</t>
  </si>
  <si>
    <t>44050</t>
  </si>
  <si>
    <t>45025</t>
  </si>
  <si>
    <t>45008</t>
  </si>
  <si>
    <t>46030</t>
  </si>
  <si>
    <t>46045</t>
  </si>
  <si>
    <t>53052</t>
  </si>
  <si>
    <t>43027</t>
  </si>
  <si>
    <t>47035</t>
  </si>
  <si>
    <t>84095</t>
  </si>
  <si>
    <t>84010</t>
  </si>
  <si>
    <t>36033</t>
  </si>
  <si>
    <t>22020</t>
  </si>
  <si>
    <t>97007</t>
  </si>
  <si>
    <t>66127</t>
  </si>
  <si>
    <t>89045</t>
  </si>
  <si>
    <t>89040</t>
  </si>
  <si>
    <t>26048</t>
  </si>
  <si>
    <t>41080</t>
  </si>
  <si>
    <t>97040</t>
  </si>
  <si>
    <t>99135</t>
  </si>
  <si>
    <t>70052</t>
  </si>
  <si>
    <t>71025</t>
  </si>
  <si>
    <t>50090</t>
  </si>
  <si>
    <t>62080</t>
  </si>
  <si>
    <t>28005</t>
  </si>
  <si>
    <t>50023</t>
  </si>
  <si>
    <t>27008</t>
  </si>
  <si>
    <t>44005</t>
  </si>
  <si>
    <t>19117</t>
  </si>
  <si>
    <t>54065</t>
  </si>
  <si>
    <t>10060</t>
  </si>
  <si>
    <t>39135</t>
  </si>
  <si>
    <t>56030</t>
  </si>
  <si>
    <t>70005</t>
  </si>
  <si>
    <t>16055</t>
  </si>
  <si>
    <t>34090</t>
  </si>
  <si>
    <t>21005</t>
  </si>
  <si>
    <t>35027</t>
  </si>
  <si>
    <t>34085</t>
  </si>
  <si>
    <t>92045</t>
  </si>
  <si>
    <t>61027</t>
  </si>
  <si>
    <t>29005</t>
  </si>
  <si>
    <t>48045</t>
  </si>
  <si>
    <t>71015</t>
  </si>
  <si>
    <t>33007</t>
  </si>
  <si>
    <t>38005</t>
  </si>
  <si>
    <t>60020</t>
  </si>
  <si>
    <t>70040</t>
  </si>
  <si>
    <t>92070</t>
  </si>
  <si>
    <t>37245</t>
  </si>
  <si>
    <t>39005</t>
  </si>
  <si>
    <t>80070</t>
  </si>
  <si>
    <t>29125</t>
  </si>
  <si>
    <t>11055</t>
  </si>
  <si>
    <t>54090</t>
  </si>
  <si>
    <t>15058</t>
  </si>
  <si>
    <t>35020</t>
  </si>
  <si>
    <t>27070</t>
  </si>
  <si>
    <t>51030</t>
  </si>
  <si>
    <t>56050</t>
  </si>
  <si>
    <t>30085</t>
  </si>
  <si>
    <t>77043</t>
  </si>
  <si>
    <t>26010</t>
  </si>
  <si>
    <t>39130</t>
  </si>
  <si>
    <t>39145</t>
  </si>
  <si>
    <t>30100</t>
  </si>
  <si>
    <t>63040</t>
  </si>
  <si>
    <t>17065</t>
  </si>
  <si>
    <t>53040</t>
  </si>
  <si>
    <t>35045</t>
  </si>
  <si>
    <t>63035</t>
  </si>
  <si>
    <t>30070</t>
  </si>
  <si>
    <t>53020</t>
  </si>
  <si>
    <t>29050</t>
  </si>
  <si>
    <t>39020</t>
  </si>
  <si>
    <t>68055</t>
  </si>
  <si>
    <t>34128</t>
  </si>
  <si>
    <t>19082</t>
  </si>
  <si>
    <t>37250</t>
  </si>
  <si>
    <t>28020</t>
  </si>
  <si>
    <t>91035</t>
  </si>
  <si>
    <t>71020</t>
  </si>
  <si>
    <t>72043</t>
  </si>
  <si>
    <t>38065</t>
  </si>
  <si>
    <t>20025</t>
  </si>
  <si>
    <t>18055</t>
  </si>
  <si>
    <t>13075</t>
  </si>
  <si>
    <t>31135</t>
  </si>
  <si>
    <t>32050</t>
  </si>
  <si>
    <t>61020</t>
  </si>
  <si>
    <t>49130</t>
  </si>
  <si>
    <t>54008</t>
  </si>
  <si>
    <t>14060</t>
  </si>
  <si>
    <t>67010</t>
  </si>
  <si>
    <t>29065</t>
  </si>
  <si>
    <t>19005</t>
  </si>
  <si>
    <t>51060</t>
  </si>
  <si>
    <t>18030</t>
  </si>
  <si>
    <t>56035</t>
  </si>
  <si>
    <t>12035</t>
  </si>
  <si>
    <t>55015</t>
  </si>
  <si>
    <t>61005</t>
  </si>
  <si>
    <t>68025</t>
  </si>
  <si>
    <t>33025</t>
  </si>
  <si>
    <t>14018</t>
  </si>
  <si>
    <t>17010</t>
  </si>
  <si>
    <t>14070</t>
  </si>
  <si>
    <t>53032</t>
  </si>
  <si>
    <t>17005</t>
  </si>
  <si>
    <t>27035</t>
  </si>
  <si>
    <t>39043</t>
  </si>
  <si>
    <t>52070</t>
  </si>
  <si>
    <t>19045</t>
  </si>
  <si>
    <t>19015</t>
  </si>
  <si>
    <t>48050</t>
  </si>
  <si>
    <t>93045</t>
  </si>
  <si>
    <t>10015</t>
  </si>
  <si>
    <t>33030</t>
  </si>
  <si>
    <t>37240</t>
  </si>
  <si>
    <t>12020</t>
  </si>
  <si>
    <t>13065</t>
  </si>
  <si>
    <t>46078</t>
  </si>
  <si>
    <t>58007</t>
  </si>
  <si>
    <t>76043</t>
  </si>
  <si>
    <t>84025</t>
  </si>
  <si>
    <t>41070</t>
  </si>
  <si>
    <t>12057</t>
  </si>
  <si>
    <t>59030</t>
  </si>
  <si>
    <t>84030</t>
  </si>
  <si>
    <t>67020</t>
  </si>
  <si>
    <t>18045</t>
  </si>
  <si>
    <t>34030</t>
  </si>
  <si>
    <t>57010</t>
  </si>
  <si>
    <t>83040</t>
  </si>
  <si>
    <t>57005</t>
  </si>
  <si>
    <t>91020</t>
  </si>
  <si>
    <t>37220</t>
  </si>
  <si>
    <t>88005</t>
  </si>
  <si>
    <t>99020</t>
  </si>
  <si>
    <t>51080</t>
  </si>
  <si>
    <t>60005</t>
  </si>
  <si>
    <t>41020</t>
  </si>
  <si>
    <t>67050</t>
  </si>
  <si>
    <t>21035</t>
  </si>
  <si>
    <t>87095</t>
  </si>
  <si>
    <t>82025</t>
  </si>
  <si>
    <t>80103</t>
  </si>
  <si>
    <t>62047</t>
  </si>
  <si>
    <t>39030</t>
  </si>
  <si>
    <t>99025</t>
  </si>
  <si>
    <t>84090</t>
  </si>
  <si>
    <t>99055</t>
  </si>
  <si>
    <t>96035</t>
  </si>
  <si>
    <t>79065</t>
  </si>
  <si>
    <t>56010</t>
  </si>
  <si>
    <t>84015</t>
  </si>
  <si>
    <t>15035</t>
  </si>
  <si>
    <t>87110</t>
  </si>
  <si>
    <t>87075</t>
  </si>
  <si>
    <t>42110</t>
  </si>
  <si>
    <t>44037</t>
  </si>
  <si>
    <t>95050</t>
  </si>
  <si>
    <t>44071</t>
  </si>
  <si>
    <t>59035</t>
  </si>
  <si>
    <t>41038</t>
  </si>
  <si>
    <t>71040</t>
  </si>
  <si>
    <t>98015</t>
  </si>
  <si>
    <t>66058</t>
  </si>
  <si>
    <t>11025</t>
  </si>
  <si>
    <t>68050</t>
  </si>
  <si>
    <t>19110</t>
  </si>
  <si>
    <t>62085</t>
  </si>
  <si>
    <t>37230</t>
  </si>
  <si>
    <t>51070</t>
  </si>
  <si>
    <t>88050</t>
  </si>
  <si>
    <t>11050</t>
  </si>
  <si>
    <t>57045</t>
  </si>
  <si>
    <t>67005</t>
  </si>
  <si>
    <t>55065</t>
  </si>
  <si>
    <t>29045</t>
  </si>
  <si>
    <t>57050</t>
  </si>
  <si>
    <t>10025</t>
  </si>
  <si>
    <t>54125</t>
  </si>
  <si>
    <t>17020</t>
  </si>
  <si>
    <t>13020</t>
  </si>
  <si>
    <t>34065</t>
  </si>
  <si>
    <t>88040</t>
  </si>
  <si>
    <t>44003</t>
  </si>
  <si>
    <t>19025</t>
  </si>
  <si>
    <t>49095</t>
  </si>
  <si>
    <t>28075</t>
  </si>
  <si>
    <t>93080</t>
  </si>
  <si>
    <t>30072</t>
  </si>
  <si>
    <t>49030</t>
  </si>
  <si>
    <t>37225</t>
  </si>
  <si>
    <t>28060</t>
  </si>
  <si>
    <t>13080</t>
  </si>
  <si>
    <t>21015</t>
  </si>
  <si>
    <t>70035</t>
  </si>
  <si>
    <t>28035</t>
  </si>
  <si>
    <t>39170</t>
  </si>
  <si>
    <t>54120</t>
  </si>
  <si>
    <t>63048</t>
  </si>
  <si>
    <t>63065</t>
  </si>
  <si>
    <t>54072</t>
  </si>
  <si>
    <t>51035</t>
  </si>
  <si>
    <t>19020</t>
  </si>
  <si>
    <t>34115</t>
  </si>
  <si>
    <t>50042</t>
  </si>
  <si>
    <t>19050</t>
  </si>
  <si>
    <t>71105</t>
  </si>
  <si>
    <t>20020</t>
  </si>
  <si>
    <t>26070</t>
  </si>
  <si>
    <t>87120</t>
  </si>
  <si>
    <t>58012</t>
  </si>
  <si>
    <t>51045</t>
  </si>
  <si>
    <t>13040</t>
  </si>
  <si>
    <t>18005</t>
  </si>
  <si>
    <t>31035</t>
  </si>
  <si>
    <t>27055</t>
  </si>
  <si>
    <t>54110</t>
  </si>
  <si>
    <t>72025</t>
  </si>
  <si>
    <t>53050</t>
  </si>
  <si>
    <t>27050</t>
  </si>
  <si>
    <t>14030</t>
  </si>
  <si>
    <t>31045</t>
  </si>
  <si>
    <t>27043</t>
  </si>
  <si>
    <t>47040</t>
  </si>
  <si>
    <t>21020</t>
  </si>
  <si>
    <t>75017</t>
  </si>
  <si>
    <t>56083</t>
  </si>
  <si>
    <t>17070</t>
  </si>
  <si>
    <t>62015</t>
  </si>
  <si>
    <t>20015</t>
  </si>
  <si>
    <t>13010</t>
  </si>
  <si>
    <t>11010</t>
  </si>
  <si>
    <t>31100</t>
  </si>
  <si>
    <t>57033</t>
  </si>
  <si>
    <t>33065</t>
  </si>
  <si>
    <t>68040</t>
  </si>
  <si>
    <t>31025</t>
  </si>
  <si>
    <t>31140</t>
  </si>
  <si>
    <t>63013</t>
  </si>
  <si>
    <t>41012</t>
  </si>
  <si>
    <t>67040</t>
  </si>
  <si>
    <t>26063</t>
  </si>
  <si>
    <t>15005</t>
  </si>
  <si>
    <t>46095</t>
  </si>
  <si>
    <t>52045</t>
  </si>
  <si>
    <t>54048</t>
  </si>
  <si>
    <t>54100</t>
  </si>
  <si>
    <t>12010</t>
  </si>
  <si>
    <t>13090</t>
  </si>
  <si>
    <t>29038</t>
  </si>
  <si>
    <t>94240</t>
  </si>
  <si>
    <t>75045</t>
  </si>
  <si>
    <t>16050</t>
  </si>
  <si>
    <t>29020</t>
  </si>
  <si>
    <t>44015</t>
  </si>
  <si>
    <t>93070</t>
  </si>
  <si>
    <t>19068</t>
  </si>
  <si>
    <t>49113</t>
  </si>
  <si>
    <t>33035</t>
  </si>
  <si>
    <t>34060</t>
  </si>
  <si>
    <t>19075</t>
  </si>
  <si>
    <t>14045</t>
  </si>
  <si>
    <t>49048</t>
  </si>
  <si>
    <t>53085</t>
  </si>
  <si>
    <t>40032</t>
  </si>
  <si>
    <t>29073</t>
  </si>
  <si>
    <t>29013</t>
  </si>
  <si>
    <t>93035</t>
  </si>
  <si>
    <t>14075</t>
  </si>
  <si>
    <t>22025</t>
  </si>
  <si>
    <t>52085</t>
  </si>
  <si>
    <t>52080</t>
  </si>
  <si>
    <t>94235</t>
  </si>
  <si>
    <t>27065</t>
  </si>
  <si>
    <t>12025</t>
  </si>
  <si>
    <t>42020</t>
  </si>
  <si>
    <t>50128</t>
  </si>
  <si>
    <t>91015</t>
  </si>
  <si>
    <t>20005</t>
  </si>
  <si>
    <t>18060</t>
  </si>
  <si>
    <t>82020</t>
  </si>
  <si>
    <t>46080</t>
  </si>
  <si>
    <t>61013</t>
  </si>
  <si>
    <t>40047</t>
  </si>
  <si>
    <t>39152</t>
  </si>
  <si>
    <t>13005</t>
  </si>
  <si>
    <t>83070</t>
  </si>
  <si>
    <t>67025</t>
  </si>
  <si>
    <t>83005</t>
  </si>
  <si>
    <t>93005</t>
  </si>
  <si>
    <t>38070</t>
  </si>
  <si>
    <t>34058</t>
  </si>
  <si>
    <t>72010</t>
  </si>
  <si>
    <t>31015</t>
  </si>
  <si>
    <t>31020</t>
  </si>
  <si>
    <t>44023</t>
  </si>
  <si>
    <t>92022</t>
  </si>
  <si>
    <t>66142</t>
  </si>
  <si>
    <t>34025</t>
  </si>
  <si>
    <t>66087</t>
  </si>
  <si>
    <t>33040</t>
  </si>
  <si>
    <t>49058</t>
  </si>
  <si>
    <t>41117</t>
  </si>
  <si>
    <t>80135</t>
  </si>
  <si>
    <t>85030</t>
  </si>
  <si>
    <t>69075</t>
  </si>
  <si>
    <t>46050</t>
  </si>
  <si>
    <t>87005</t>
  </si>
  <si>
    <t>87085</t>
  </si>
  <si>
    <t>49015</t>
  </si>
  <si>
    <t>41060</t>
  </si>
  <si>
    <t>31122</t>
  </si>
  <si>
    <t>46085</t>
  </si>
  <si>
    <t>44010</t>
  </si>
  <si>
    <t>99045</t>
  </si>
  <si>
    <t>45093</t>
  </si>
  <si>
    <t>99060</t>
  </si>
  <si>
    <t>83075</t>
  </si>
  <si>
    <t>69050</t>
  </si>
  <si>
    <t>62053</t>
  </si>
  <si>
    <t>10005</t>
  </si>
  <si>
    <t>77011</t>
  </si>
  <si>
    <t>46112</t>
  </si>
  <si>
    <t>80005</t>
  </si>
  <si>
    <t>94220</t>
  </si>
  <si>
    <t>79097</t>
  </si>
  <si>
    <t>97035</t>
  </si>
  <si>
    <t>95045</t>
  </si>
  <si>
    <t>84060</t>
  </si>
  <si>
    <t>38047</t>
  </si>
  <si>
    <t>22010</t>
  </si>
  <si>
    <t>26005</t>
  </si>
  <si>
    <t>69010</t>
  </si>
  <si>
    <t>96015</t>
  </si>
  <si>
    <t>46010</t>
  </si>
  <si>
    <t>30025</t>
  </si>
  <si>
    <t>85055</t>
  </si>
  <si>
    <t>87020</t>
  </si>
  <si>
    <t>81017</t>
  </si>
  <si>
    <t>92055</t>
  </si>
  <si>
    <t>96010</t>
  </si>
  <si>
    <t>69060</t>
  </si>
  <si>
    <t>76025</t>
  </si>
  <si>
    <t>83032</t>
  </si>
  <si>
    <t>47017</t>
  </si>
  <si>
    <t>35040</t>
  </si>
  <si>
    <t>83095</t>
  </si>
  <si>
    <t>50065</t>
  </si>
  <si>
    <t>76055</t>
  </si>
  <si>
    <t>76052</t>
  </si>
  <si>
    <t>98014</t>
  </si>
  <si>
    <t>85095</t>
  </si>
  <si>
    <t>39010</t>
  </si>
  <si>
    <t>41075</t>
  </si>
  <si>
    <t>66062</t>
  </si>
  <si>
    <t>40005</t>
  </si>
  <si>
    <t>76065</t>
  </si>
  <si>
    <t>45043</t>
  </si>
  <si>
    <t>45055</t>
  </si>
  <si>
    <t>69005</t>
  </si>
  <si>
    <t>98040</t>
  </si>
  <si>
    <t>93020</t>
  </si>
  <si>
    <t>93025</t>
  </si>
  <si>
    <t>68010</t>
  </si>
  <si>
    <t>68015</t>
  </si>
  <si>
    <t>56042</t>
  </si>
  <si>
    <t>35035</t>
  </si>
  <si>
    <t>69045</t>
  </si>
  <si>
    <t>19070</t>
  </si>
  <si>
    <t>69025</t>
  </si>
  <si>
    <t>78065</t>
  </si>
  <si>
    <t>71100</t>
  </si>
  <si>
    <t>69055</t>
  </si>
  <si>
    <t>99085</t>
  </si>
  <si>
    <t>32058</t>
  </si>
  <si>
    <t>31040</t>
  </si>
  <si>
    <t>78042</t>
  </si>
  <si>
    <t>99140</t>
  </si>
  <si>
    <t>61025</t>
  </si>
  <si>
    <t>14050</t>
  </si>
  <si>
    <t>99090</t>
  </si>
  <si>
    <t>31030</t>
  </si>
  <si>
    <t>33052</t>
  </si>
  <si>
    <t>21010</t>
  </si>
  <si>
    <t>32013</t>
  </si>
  <si>
    <t>94225</t>
  </si>
  <si>
    <t>62007</t>
  </si>
  <si>
    <t>49005</t>
  </si>
  <si>
    <t>91042</t>
  </si>
  <si>
    <t>18015</t>
  </si>
  <si>
    <t>10070</t>
  </si>
  <si>
    <t>53025</t>
  </si>
  <si>
    <t>72005</t>
  </si>
  <si>
    <t>13030</t>
  </si>
  <si>
    <t>51040</t>
  </si>
  <si>
    <t>10075</t>
  </si>
  <si>
    <t>85085</t>
  </si>
  <si>
    <t>92065</t>
  </si>
  <si>
    <t>49105</t>
  </si>
  <si>
    <t>51090</t>
  </si>
  <si>
    <t>45100</t>
  </si>
  <si>
    <t>70030</t>
  </si>
  <si>
    <t>83055</t>
  </si>
  <si>
    <t>73010</t>
  </si>
  <si>
    <t>35050</t>
  </si>
  <si>
    <t>63030</t>
  </si>
  <si>
    <t>32023</t>
  </si>
  <si>
    <t>38040</t>
  </si>
  <si>
    <t>75028</t>
  </si>
  <si>
    <t>39105</t>
  </si>
  <si>
    <t>46105</t>
  </si>
  <si>
    <t>28065</t>
  </si>
  <si>
    <t>94230</t>
  </si>
  <si>
    <t>28030</t>
  </si>
  <si>
    <t>11015</t>
  </si>
  <si>
    <t>31050</t>
  </si>
  <si>
    <t>12030</t>
  </si>
  <si>
    <t>29112</t>
  </si>
  <si>
    <t>20030</t>
  </si>
  <si>
    <t>50050</t>
  </si>
  <si>
    <t>17030</t>
  </si>
  <si>
    <t>93075</t>
  </si>
  <si>
    <t>50057</t>
  </si>
  <si>
    <t>80125</t>
  </si>
  <si>
    <t>61050</t>
  </si>
  <si>
    <t>70012</t>
  </si>
  <si>
    <t>72015</t>
  </si>
  <si>
    <t>71110</t>
  </si>
  <si>
    <t>63005</t>
  </si>
  <si>
    <t>54030</t>
  </si>
  <si>
    <t>38015</t>
  </si>
  <si>
    <t>26030</t>
  </si>
  <si>
    <t>77012</t>
  </si>
  <si>
    <t>26035</t>
  </si>
  <si>
    <t>62030</t>
  </si>
  <si>
    <t>54025</t>
  </si>
  <si>
    <t>13085</t>
  </si>
  <si>
    <t>26022</t>
  </si>
  <si>
    <t>78020</t>
  </si>
  <si>
    <t>18020</t>
  </si>
  <si>
    <t>50095</t>
  </si>
  <si>
    <t>17060</t>
  </si>
  <si>
    <t>11035</t>
  </si>
  <si>
    <t>51075</t>
  </si>
  <si>
    <t>71115</t>
  </si>
  <si>
    <t>28045</t>
  </si>
  <si>
    <t>63060</t>
  </si>
  <si>
    <t>59010</t>
  </si>
  <si>
    <t>92015</t>
  </si>
  <si>
    <t>26040</t>
  </si>
  <si>
    <t>87070</t>
  </si>
  <si>
    <t>14025</t>
  </si>
  <si>
    <t>39035</t>
  </si>
  <si>
    <t>54095</t>
  </si>
  <si>
    <t>91030</t>
  </si>
  <si>
    <t>88085</t>
  </si>
  <si>
    <t>87030</t>
  </si>
  <si>
    <t>52040</t>
  </si>
  <si>
    <t>37215</t>
  </si>
  <si>
    <t>38035</t>
  </si>
  <si>
    <t>11030</t>
  </si>
  <si>
    <t>17025</t>
  </si>
  <si>
    <t>20010</t>
  </si>
  <si>
    <t>18035</t>
  </si>
  <si>
    <t>50005</t>
  </si>
  <si>
    <t>62070</t>
  </si>
  <si>
    <t>39090</t>
  </si>
  <si>
    <t>52030</t>
  </si>
  <si>
    <t>44055</t>
  </si>
  <si>
    <t>51050</t>
  </si>
  <si>
    <t>33080</t>
  </si>
  <si>
    <t>85015</t>
  </si>
  <si>
    <t>68045</t>
  </si>
  <si>
    <t>92050</t>
  </si>
  <si>
    <t>49100</t>
  </si>
  <si>
    <t>33102</t>
  </si>
  <si>
    <t>39117</t>
  </si>
  <si>
    <t>31060</t>
  </si>
  <si>
    <t>68020</t>
  </si>
  <si>
    <t>19055</t>
  </si>
  <si>
    <t>34105</t>
  </si>
  <si>
    <t>48020</t>
  </si>
  <si>
    <t>30050</t>
  </si>
  <si>
    <t>47055</t>
  </si>
  <si>
    <t>38060</t>
  </si>
  <si>
    <t>22005</t>
  </si>
  <si>
    <t>45060</t>
  </si>
  <si>
    <t>67030</t>
  </si>
  <si>
    <t>49085</t>
  </si>
  <si>
    <t>22045</t>
  </si>
  <si>
    <t>56105</t>
  </si>
  <si>
    <t>62020</t>
  </si>
  <si>
    <t>69065</t>
  </si>
  <si>
    <t>28015</t>
  </si>
  <si>
    <t>18025</t>
  </si>
  <si>
    <t>79115</t>
  </si>
  <si>
    <t>73035</t>
  </si>
  <si>
    <t>53065</t>
  </si>
  <si>
    <t>77035</t>
  </si>
  <si>
    <t>56060</t>
  </si>
  <si>
    <t>42050</t>
  </si>
  <si>
    <t>37205</t>
  </si>
  <si>
    <t>66117</t>
  </si>
  <si>
    <t>21030</t>
  </si>
  <si>
    <t>51055</t>
  </si>
  <si>
    <t>55030</t>
  </si>
  <si>
    <t>78032</t>
  </si>
  <si>
    <t>33017</t>
  </si>
  <si>
    <t>77022</t>
  </si>
  <si>
    <t>62060</t>
  </si>
  <si>
    <t>88065</t>
  </si>
  <si>
    <t>54060</t>
  </si>
  <si>
    <t>52090</t>
  </si>
  <si>
    <t>57068</t>
  </si>
  <si>
    <t>42025</t>
  </si>
  <si>
    <t>14055</t>
  </si>
  <si>
    <t>94245</t>
  </si>
  <si>
    <t>53005</t>
  </si>
  <si>
    <t>19030</t>
  </si>
  <si>
    <t>62075</t>
  </si>
  <si>
    <t>17040</t>
  </si>
  <si>
    <t>54017</t>
  </si>
  <si>
    <t>49070</t>
  </si>
  <si>
    <t>17045</t>
  </si>
  <si>
    <t>68035</t>
  </si>
  <si>
    <t>28040</t>
  </si>
  <si>
    <t>12005</t>
  </si>
  <si>
    <t>52062</t>
  </si>
  <si>
    <t>67035</t>
  </si>
  <si>
    <t>29057</t>
  </si>
  <si>
    <t>62065</t>
  </si>
  <si>
    <t>75005</t>
  </si>
  <si>
    <t>71045</t>
  </si>
  <si>
    <t>52075</t>
  </si>
  <si>
    <t>11005</t>
  </si>
  <si>
    <t>42100</t>
  </si>
  <si>
    <t>69017</t>
  </si>
  <si>
    <t>39060</t>
  </si>
  <si>
    <t>57057</t>
  </si>
  <si>
    <t>94260</t>
  </si>
  <si>
    <t>19097</t>
  </si>
  <si>
    <t>61035</t>
  </si>
  <si>
    <t>55023</t>
  </si>
  <si>
    <t>50035</t>
  </si>
  <si>
    <t>50030</t>
  </si>
  <si>
    <t>34078</t>
  </si>
  <si>
    <t>28070</t>
  </si>
  <si>
    <t>40025</t>
  </si>
  <si>
    <t>63055</t>
  </si>
  <si>
    <t>58037</t>
  </si>
  <si>
    <t>14010</t>
  </si>
  <si>
    <t>85045</t>
  </si>
  <si>
    <t>93030</t>
  </si>
  <si>
    <t>51085</t>
  </si>
  <si>
    <t>49125</t>
  </si>
  <si>
    <t>56065</t>
  </si>
  <si>
    <t>54115</t>
  </si>
  <si>
    <t>68005</t>
  </si>
  <si>
    <t>26055</t>
  </si>
  <si>
    <t>29100</t>
  </si>
  <si>
    <t>45080</t>
  </si>
  <si>
    <t>28025</t>
  </si>
  <si>
    <t>57020</t>
  </si>
  <si>
    <t>34038</t>
  </si>
  <si>
    <t>52055</t>
  </si>
  <si>
    <t>54105</t>
  </si>
  <si>
    <t>51025</t>
  </si>
  <si>
    <t>30005</t>
  </si>
  <si>
    <t>23072</t>
  </si>
  <si>
    <t>98012</t>
  </si>
  <si>
    <t>92005</t>
  </si>
  <si>
    <t>17055</t>
  </si>
  <si>
    <t>13100</t>
  </si>
  <si>
    <t>12065</t>
  </si>
  <si>
    <t>46017</t>
  </si>
  <si>
    <t>33090</t>
  </si>
  <si>
    <t>12015</t>
  </si>
  <si>
    <t>57075</t>
  </si>
  <si>
    <t>33095</t>
  </si>
  <si>
    <t>18070</t>
  </si>
  <si>
    <t>19062</t>
  </si>
  <si>
    <t>69070</t>
  </si>
  <si>
    <t>91010</t>
  </si>
  <si>
    <t>14040</t>
  </si>
  <si>
    <t>76008</t>
  </si>
  <si>
    <t>80027</t>
  </si>
  <si>
    <t>10030</t>
  </si>
  <si>
    <t>61040</t>
  </si>
  <si>
    <t>94255</t>
  </si>
  <si>
    <t>59015</t>
  </si>
  <si>
    <t>62025</t>
  </si>
  <si>
    <t>47010</t>
  </si>
  <si>
    <t>27015</t>
  </si>
  <si>
    <t>51065</t>
  </si>
  <si>
    <t>63023</t>
  </si>
  <si>
    <t>14035</t>
  </si>
  <si>
    <t>56055</t>
  </si>
  <si>
    <t>39085</t>
  </si>
  <si>
    <t>34097</t>
  </si>
  <si>
    <t>79022</t>
  </si>
  <si>
    <t>15030</t>
  </si>
  <si>
    <t>53015</t>
  </si>
  <si>
    <t>33045</t>
  </si>
  <si>
    <t>31095</t>
  </si>
  <si>
    <t>40010</t>
  </si>
  <si>
    <t>77065</t>
  </si>
  <si>
    <t>35015</t>
  </si>
  <si>
    <t>17015</t>
  </si>
  <si>
    <t>94068</t>
  </si>
  <si>
    <t>31130</t>
  </si>
  <si>
    <t>95010</t>
  </si>
  <si>
    <t>47047</t>
  </si>
  <si>
    <t>48010</t>
  </si>
  <si>
    <t>48015</t>
  </si>
  <si>
    <t>86042</t>
  </si>
  <si>
    <t>55037</t>
  </si>
  <si>
    <t>73020</t>
  </si>
  <si>
    <t>87015</t>
  </si>
  <si>
    <t>91025</t>
  </si>
  <si>
    <t>98050</t>
  </si>
  <si>
    <t>79037</t>
  </si>
  <si>
    <t>14065</t>
  </si>
  <si>
    <t>89010</t>
  </si>
  <si>
    <t>94215</t>
  </si>
  <si>
    <t>12072</t>
  </si>
  <si>
    <t>13025</t>
  </si>
  <si>
    <t>71005</t>
  </si>
  <si>
    <t>98055</t>
  </si>
  <si>
    <t>34135</t>
  </si>
  <si>
    <t>80078</t>
  </si>
  <si>
    <t>10043</t>
  </si>
  <si>
    <t>71133</t>
  </si>
  <si>
    <t>42098</t>
  </si>
  <si>
    <t>55057</t>
  </si>
  <si>
    <t>60013</t>
  </si>
  <si>
    <t>85105</t>
  </si>
  <si>
    <t>62037</t>
  </si>
  <si>
    <t>84100</t>
  </si>
  <si>
    <t>87010</t>
  </si>
  <si>
    <t>99130</t>
  </si>
  <si>
    <t>99110</t>
  </si>
  <si>
    <t>99065</t>
  </si>
  <si>
    <t>83015</t>
  </si>
  <si>
    <t>79025</t>
  </si>
  <si>
    <t>42070</t>
  </si>
  <si>
    <t>39097</t>
  </si>
  <si>
    <t>31105</t>
  </si>
  <si>
    <t>85010</t>
  </si>
  <si>
    <t>66102</t>
  </si>
  <si>
    <t>99095</t>
  </si>
  <si>
    <t>90017</t>
  </si>
  <si>
    <t>99075</t>
  </si>
  <si>
    <t>78115</t>
  </si>
  <si>
    <t>88030</t>
  </si>
  <si>
    <t>91050</t>
  </si>
  <si>
    <t>19090</t>
  </si>
  <si>
    <t>29030</t>
  </si>
  <si>
    <t>79047</t>
  </si>
  <si>
    <t>15013</t>
  </si>
  <si>
    <t>78130</t>
  </si>
  <si>
    <t>88012</t>
  </si>
  <si>
    <t>88045</t>
  </si>
  <si>
    <t>41027</t>
  </si>
  <si>
    <t>82035</t>
  </si>
  <si>
    <t>67015</t>
  </si>
  <si>
    <t>54035</t>
  </si>
  <si>
    <t>87080</t>
  </si>
  <si>
    <t>87090</t>
  </si>
  <si>
    <t>10010</t>
  </si>
  <si>
    <t>90012</t>
  </si>
  <si>
    <t>52050</t>
  </si>
  <si>
    <t>50085</t>
  </si>
  <si>
    <t>78120</t>
  </si>
  <si>
    <t>93055</t>
  </si>
  <si>
    <t>35010</t>
  </si>
  <si>
    <t>22040</t>
  </si>
  <si>
    <t>91005</t>
  </si>
  <si>
    <t>46075</t>
  </si>
  <si>
    <t>22030</t>
  </si>
  <si>
    <t>79078</t>
  </si>
  <si>
    <t>80130</t>
  </si>
  <si>
    <t>77055</t>
  </si>
  <si>
    <t>30080</t>
  </si>
  <si>
    <t>79015</t>
  </si>
  <si>
    <t>90027</t>
  </si>
  <si>
    <t>28053</t>
  </si>
  <si>
    <t>18010</t>
  </si>
  <si>
    <t>76020</t>
  </si>
  <si>
    <t>30030</t>
  </si>
  <si>
    <t>56023</t>
  </si>
  <si>
    <t>29095</t>
  </si>
  <si>
    <t>79060</t>
  </si>
  <si>
    <t>83020</t>
  </si>
  <si>
    <t>22015</t>
  </si>
  <si>
    <t>79105</t>
  </si>
  <si>
    <t>34120</t>
  </si>
  <si>
    <t>80095</t>
  </si>
  <si>
    <t>78095</t>
  </si>
  <si>
    <t>78127</t>
  </si>
  <si>
    <t>85070</t>
  </si>
  <si>
    <t>93060</t>
  </si>
  <si>
    <t>30095</t>
  </si>
  <si>
    <t>23057</t>
  </si>
  <si>
    <t>88035</t>
  </si>
  <si>
    <t>21040</t>
  </si>
  <si>
    <t>82005</t>
  </si>
  <si>
    <t>52017</t>
  </si>
  <si>
    <t>94210</t>
  </si>
  <si>
    <t>78015</t>
  </si>
  <si>
    <t>94265</t>
  </si>
  <si>
    <t>79050</t>
  </si>
  <si>
    <t>93065</t>
  </si>
  <si>
    <t>60028</t>
  </si>
  <si>
    <t>85060</t>
  </si>
  <si>
    <t>88080</t>
  </si>
  <si>
    <t>33060</t>
  </si>
  <si>
    <t>32072</t>
  </si>
  <si>
    <t>65005</t>
  </si>
  <si>
    <t>52007</t>
  </si>
  <si>
    <t>49025</t>
  </si>
  <si>
    <t>85052</t>
  </si>
  <si>
    <t>42045</t>
  </si>
  <si>
    <t>99005</t>
  </si>
  <si>
    <t>49020</t>
  </si>
  <si>
    <t>13050</t>
  </si>
  <si>
    <t>38020</t>
  </si>
  <si>
    <t>33123</t>
  </si>
  <si>
    <t>60037</t>
  </si>
  <si>
    <t>67055</t>
  </si>
  <si>
    <t>96040</t>
  </si>
  <si>
    <t>42032</t>
  </si>
  <si>
    <t>23027</t>
  </si>
  <si>
    <t>99115</t>
  </si>
  <si>
    <t>99120</t>
  </si>
  <si>
    <t>32033</t>
  </si>
  <si>
    <t>75040</t>
  </si>
  <si>
    <t>88090</t>
  </si>
  <si>
    <t>87035</t>
  </si>
  <si>
    <t>45030</t>
  </si>
  <si>
    <t>95040</t>
  </si>
  <si>
    <t>34048</t>
  </si>
  <si>
    <t>97022</t>
  </si>
  <si>
    <t>84020</t>
  </si>
  <si>
    <t>34017</t>
  </si>
  <si>
    <t>82030</t>
  </si>
  <si>
    <t>96025</t>
  </si>
  <si>
    <t>71140</t>
  </si>
  <si>
    <t>71055</t>
  </si>
  <si>
    <t>66097</t>
  </si>
  <si>
    <t>72020</t>
  </si>
  <si>
    <t>96030</t>
  </si>
  <si>
    <t>13095</t>
  </si>
  <si>
    <t>95018</t>
  </si>
  <si>
    <t>71050</t>
  </si>
  <si>
    <t>71033</t>
  </si>
  <si>
    <t>16048</t>
  </si>
  <si>
    <t>95025</t>
  </si>
  <si>
    <t>25213</t>
  </si>
  <si>
    <t>71095</t>
  </si>
  <si>
    <t>98020</t>
  </si>
  <si>
    <t>66092</t>
  </si>
  <si>
    <t>84035</t>
  </si>
  <si>
    <t>71060</t>
  </si>
  <si>
    <t>41085</t>
  </si>
  <si>
    <t>84082</t>
  </si>
  <si>
    <t>16023</t>
  </si>
  <si>
    <t>17078</t>
  </si>
  <si>
    <t>12043</t>
  </si>
  <si>
    <t>84040</t>
  </si>
  <si>
    <t>80055</t>
  </si>
  <si>
    <t>80060</t>
  </si>
  <si>
    <t>98045</t>
  </si>
  <si>
    <t>95032</t>
  </si>
  <si>
    <t>58227</t>
  </si>
  <si>
    <t>73025</t>
  </si>
  <si>
    <t>85037</t>
  </si>
  <si>
    <t>33115</t>
  </si>
  <si>
    <t>51015</t>
  </si>
  <si>
    <t>83010</t>
  </si>
  <si>
    <t>32065</t>
  </si>
  <si>
    <t>87058</t>
  </si>
  <si>
    <t>39165</t>
  </si>
  <si>
    <t>45072</t>
  </si>
  <si>
    <t>89015</t>
  </si>
  <si>
    <t>52095</t>
  </si>
  <si>
    <t>83065</t>
  </si>
  <si>
    <t>38028</t>
  </si>
  <si>
    <t>84065</t>
  </si>
  <si>
    <t>42065</t>
  </si>
  <si>
    <t>55048</t>
  </si>
  <si>
    <t>30035</t>
  </si>
  <si>
    <t>44060</t>
  </si>
  <si>
    <t>64015</t>
  </si>
  <si>
    <t>51008</t>
  </si>
  <si>
    <t>53010</t>
  </si>
  <si>
    <t>99015</t>
  </si>
  <si>
    <t>80065</t>
  </si>
  <si>
    <t>57025</t>
  </si>
  <si>
    <t>42075</t>
  </si>
  <si>
    <t>67045</t>
  </si>
  <si>
    <t>83060</t>
  </si>
  <si>
    <t>93012</t>
  </si>
  <si>
    <t>30040</t>
  </si>
  <si>
    <t>76030</t>
  </si>
  <si>
    <t>74005</t>
  </si>
  <si>
    <t>99030</t>
  </si>
  <si>
    <t>85075</t>
  </si>
  <si>
    <t>78047</t>
  </si>
  <si>
    <t>78055</t>
  </si>
  <si>
    <t>14005</t>
  </si>
  <si>
    <t>83088</t>
  </si>
  <si>
    <t>80010</t>
  </si>
  <si>
    <t>79088</t>
  </si>
  <si>
    <t>18050</t>
  </si>
  <si>
    <t>80090</t>
  </si>
  <si>
    <t>66023</t>
  </si>
  <si>
    <t>66007</t>
  </si>
  <si>
    <t>66047</t>
  </si>
  <si>
    <t>56097</t>
  </si>
  <si>
    <t>79110</t>
  </si>
  <si>
    <t>78102</t>
  </si>
  <si>
    <t>77050</t>
  </si>
  <si>
    <t>80085</t>
  </si>
  <si>
    <t>80110</t>
  </si>
  <si>
    <t>30045</t>
  </si>
  <si>
    <t>68030</t>
  </si>
  <si>
    <t>98025</t>
  </si>
  <si>
    <t>85100</t>
  </si>
  <si>
    <t>99040</t>
  </si>
  <si>
    <t>34007</t>
  </si>
  <si>
    <t>41037</t>
  </si>
  <si>
    <t>50072</t>
  </si>
  <si>
    <t>79030</t>
  </si>
  <si>
    <t>92040</t>
  </si>
  <si>
    <t>87115</t>
  </si>
  <si>
    <t>45050</t>
  </si>
  <si>
    <t>19010</t>
  </si>
  <si>
    <t>80015</t>
  </si>
  <si>
    <t>39015</t>
  </si>
  <si>
    <t>62055</t>
  </si>
  <si>
    <t>80020</t>
  </si>
  <si>
    <t>80087</t>
  </si>
  <si>
    <t>71065</t>
  </si>
  <si>
    <t>92060</t>
  </si>
  <si>
    <t>32080</t>
  </si>
  <si>
    <t>61045</t>
  </si>
  <si>
    <t>35005</t>
  </si>
  <si>
    <t>79010</t>
  </si>
  <si>
    <t>23015</t>
  </si>
  <si>
    <t>15025</t>
  </si>
  <si>
    <t>30010</t>
  </si>
  <si>
    <t>11045</t>
  </si>
  <si>
    <t>29120</t>
  </si>
  <si>
    <t>80045</t>
  </si>
  <si>
    <t>30020</t>
  </si>
  <si>
    <t>71070</t>
  </si>
  <si>
    <t>46025</t>
  </si>
  <si>
    <t>66072</t>
  </si>
  <si>
    <t>57035</t>
  </si>
  <si>
    <t>61030</t>
  </si>
  <si>
    <t>12045</t>
  </si>
  <si>
    <t>46100</t>
  </si>
  <si>
    <t>49075</t>
  </si>
  <si>
    <t>49080</t>
  </si>
  <si>
    <t>79005</t>
  </si>
  <si>
    <t>37235</t>
  </si>
  <si>
    <t>85090</t>
  </si>
  <si>
    <t>12080</t>
  </si>
  <si>
    <t>18040</t>
  </si>
  <si>
    <t>33085</t>
  </si>
  <si>
    <t>56015</t>
  </si>
  <si>
    <t>45020</t>
  </si>
  <si>
    <t>72032</t>
  </si>
  <si>
    <t>45115</t>
  </si>
  <si>
    <t>69037</t>
  </si>
  <si>
    <t>84055</t>
  </si>
  <si>
    <t>57030</t>
  </si>
  <si>
    <t>13015</t>
  </si>
  <si>
    <t>87025</t>
  </si>
  <si>
    <t>80037</t>
  </si>
  <si>
    <t>38055</t>
  </si>
  <si>
    <t>92010</t>
  </si>
  <si>
    <t>16005</t>
  </si>
  <si>
    <t>94205</t>
  </si>
  <si>
    <t>77030</t>
  </si>
  <si>
    <t>50113</t>
  </si>
  <si>
    <t>ORGANISATION ET RÉPONDANT</t>
  </si>
  <si>
    <r>
      <rPr>
        <sz val="10.5"/>
        <color theme="1"/>
        <rFont val="Webdings"/>
        <family val="1"/>
        <charset val="2"/>
      </rPr>
      <t xml:space="preserve">  </t>
    </r>
    <r>
      <rPr>
        <sz val="10.5"/>
        <color theme="1"/>
        <rFont val="Calibri"/>
        <family val="2"/>
        <scheme val="minor"/>
      </rPr>
      <t>que notre organisation remet au MAMH.</t>
    </r>
  </si>
  <si>
    <r>
      <t>&gt;&gt; Inscrivez les informations demandées</t>
    </r>
    <r>
      <rPr>
        <sz val="11"/>
        <rFont val="Calibri"/>
        <family val="2"/>
        <scheme val="minor"/>
      </rPr>
      <t xml:space="preserve"> en lien avec les actifs en eau potable.</t>
    </r>
  </si>
  <si>
    <r>
      <t>Indiquez quels types d'actifs possède vous possédez pour l'approvisionnement et le traitement de l'eau potable:</t>
    </r>
    <r>
      <rPr>
        <sz val="10"/>
        <color theme="1"/>
        <rFont val="Webdings"/>
        <family val="1"/>
        <charset val="2"/>
      </rPr>
      <t xml:space="preserve"> 6</t>
    </r>
  </si>
  <si>
    <r>
      <t>Indiquez quels types d'actifs vous possédez
pour la distribution de l'eau potable:</t>
    </r>
    <r>
      <rPr>
        <sz val="10"/>
        <color theme="1"/>
        <rFont val="Webdings"/>
        <family val="1"/>
        <charset val="2"/>
      </rPr>
      <t xml:space="preserve"> 6</t>
    </r>
  </si>
  <si>
    <t>Aller à la partie 7 pour déterminer maintenant le niveau de confiance de votre organisation pour cette partie du PGA</t>
  </si>
  <si>
    <t>Aller à la partie 7 pour déterminer maintenant le niveau de progression de votre organisation pour cette partie du PGA</t>
  </si>
  <si>
    <r>
      <t xml:space="preserve">&gt;&gt; Est-ce que vous avez entamé une réflexion concernant les niveaux de service qu'elle offre actuellement en eau potable et ceux qu'elle souhaite offrir dans le futur? </t>
    </r>
    <r>
      <rPr>
        <i/>
        <sz val="11"/>
        <rFont val="Webdings"/>
        <family val="1"/>
        <charset val="2"/>
      </rPr>
      <t>6</t>
    </r>
  </si>
  <si>
    <t>&gt;&gt; Répondez aux questions suivantes en lien avec les niveaux de service.</t>
  </si>
  <si>
    <t>&gt;&gt; Indiquez les exigences ou les mises aux normes que doit rencontrer votre organisation relativement à son service d'eau potable et qui auront un impact sur la planification des coûts dans les prochaines années.</t>
  </si>
  <si>
    <t xml:space="preserve">Indiquez ensuite à quel critère et catégorie ces indicateurs sont associés, et inscrivez la tendance actuelle de performance liée à cet indicateur ainsi que 
votre objectif général en terme de performance pour les prochaines années. </t>
  </si>
  <si>
    <t>&gt;&gt; Répondez aux questions suivantes en lien avec la gestion des risques,</t>
  </si>
  <si>
    <r>
      <t xml:space="preserve">&gt;&gt; Est-ce que vous avez entamé une réflexion concernant 
la gestion des risques en lien avec le service d'eau potable ? </t>
    </r>
    <r>
      <rPr>
        <i/>
        <sz val="11"/>
        <rFont val="Webdings"/>
        <family val="1"/>
        <charset val="2"/>
      </rPr>
      <t>6</t>
    </r>
  </si>
  <si>
    <t xml:space="preserve">&gt;&gt;  Pour chacune des catégories de risques énumérées, indiquez si votre organisation considère devoir gérer certains risques ou non, et si ceux-ci sont plutôt de niveau très élevé, élevé, ou seulement modéré ou faible. </t>
  </si>
  <si>
    <t>&gt;&gt; Répondez aux questions suivantes en lien avec la gestion de la demande à venir.</t>
  </si>
  <si>
    <r>
      <t xml:space="preserve">&gt;&gt; Est-ce que vous avez entamé une réflexion concernant la
gestion de la demande à venir en lien avec le service d'eau potable ? </t>
    </r>
    <r>
      <rPr>
        <i/>
        <sz val="11"/>
        <rFont val="Webdings"/>
        <family val="1"/>
        <charset val="2"/>
      </rPr>
      <t>6</t>
    </r>
  </si>
  <si>
    <t xml:space="preserve">&gt;&gt; Pour chacune des catégories de changement énumérées, indiquez si votre organisation anticipe des changements à court terme (1-4 ans), moyen terme (5-7 ans) ou long terme (8-10 ans). </t>
  </si>
  <si>
    <t>***  À noter qu'il se peut qu'il n'y ait pas de budget associé à certaines phases du cycle de vie, mais vous devez tout de même inscrire un montant dans toutes les cases prioritaires, même s'il est de 0$.</t>
  </si>
  <si>
    <t xml:space="preserve">Les coûts additionnels totaux, c'est-à-dire l'ensemble des coûts supplémentaires anticipés pour gérer ce qui s'en vient dans l'organisation au cours des prochaines années. </t>
  </si>
  <si>
    <t xml:space="preserve">Revenus générés </t>
  </si>
  <si>
    <t xml:space="preserve">Budget total planifié </t>
  </si>
  <si>
    <t>&gt;&gt; Déterminez votre niveau de confiance en chaque type de donnée requise pour réaliser le PGA, pour chaque sous-service indépendamment, en remplissant la colonne "cote de confiance".</t>
  </si>
  <si>
    <t>&gt;&gt; Déterminez votre niveau de progression pour la réalisation de chaque partie du PGA, pour chaque sous-service indépendamment, en remplissant la colonne "cote de progression".</t>
  </si>
  <si>
    <r>
      <rPr>
        <b/>
        <sz val="14"/>
        <rFont val="Bahnschrift Light SemiCondensed"/>
        <family val="2"/>
      </rPr>
      <t>Notes et commentaires</t>
    </r>
    <r>
      <rPr>
        <b/>
        <sz val="11"/>
        <rFont val="Bahnschrift Light SemiCondensed"/>
        <family val="2"/>
      </rPr>
      <t xml:space="preserve">
</t>
    </r>
    <r>
      <rPr>
        <sz val="11"/>
        <rFont val="Bahnschrift Light SemiCondensed"/>
        <family val="2"/>
      </rPr>
      <t>(si besoin; pour historique et suivi 
au sein de l'organisation)</t>
    </r>
  </si>
  <si>
    <r>
      <t>&gt;&gt; Inscrivez les informations demandées</t>
    </r>
    <r>
      <rPr>
        <sz val="11"/>
        <rFont val="Calibri"/>
        <family val="2"/>
        <scheme val="minor"/>
      </rPr>
      <t xml:space="preserve"> en lien avec les actifs en eaux usées.</t>
    </r>
  </si>
  <si>
    <r>
      <t>Indiquez quels types d'actifs que vous possédez
pour la collecte des eaux usées:</t>
    </r>
    <r>
      <rPr>
        <sz val="10"/>
        <color theme="1"/>
        <rFont val="Webdings"/>
        <family val="1"/>
        <charset val="2"/>
      </rPr>
      <t xml:space="preserve"> 6</t>
    </r>
  </si>
  <si>
    <r>
      <t>Indiquez quels types d'actifs que vous possédez
pour le traitement des eaux usées:</t>
    </r>
    <r>
      <rPr>
        <sz val="10"/>
        <color theme="1"/>
        <rFont val="Webdings"/>
        <family val="1"/>
        <charset val="2"/>
      </rPr>
      <t xml:space="preserve"> 6</t>
    </r>
  </si>
  <si>
    <r>
      <t xml:space="preserve">&gt;&gt; Est-ce que vous avez entamé une réflexion concernant les niveaux de service qu'elle offre actuellement en eaux usées et ceux qu'elle souhaite offrir dans le futur? </t>
    </r>
    <r>
      <rPr>
        <i/>
        <sz val="11"/>
        <rFont val="Webdings"/>
        <family val="1"/>
        <charset val="2"/>
      </rPr>
      <t>6</t>
    </r>
  </si>
  <si>
    <t>&gt;&gt; Indiquez les exigences ou les mises aux normes que doit rencontrer votre organisation relativement à son service des eaux usées et qui auront un impact sur la planification des coûts dans les prochaines années.</t>
  </si>
  <si>
    <t>&gt;&gt; Répondez aux questions suivantes en lien avec la gestion des risques.</t>
  </si>
  <si>
    <r>
      <t xml:space="preserve">&gt;&gt; Est-ce que vous avez entamé une réflexion concernant 
la gestion des risques en lien avec le service des eaux usées ? </t>
    </r>
    <r>
      <rPr>
        <i/>
        <sz val="11"/>
        <rFont val="Webdings"/>
        <family val="1"/>
        <charset val="2"/>
      </rPr>
      <t>6</t>
    </r>
  </si>
  <si>
    <r>
      <t xml:space="preserve">&gt;&gt; Est-ce que vous avez entamé une réflexion concernant la
gestion de la demande à venir en lien avec le service des eaux usées ? </t>
    </r>
    <r>
      <rPr>
        <i/>
        <sz val="11"/>
        <rFont val="Webdings"/>
        <family val="1"/>
        <charset val="2"/>
      </rPr>
      <t>6</t>
    </r>
  </si>
  <si>
    <t>Notes et commentaires
(si besoin; pour historique et suivi 
au sein de l'organisation)</t>
  </si>
  <si>
    <t xml:space="preserve">  que notre organisation remet au MAMH.</t>
  </si>
  <si>
    <r>
      <t>&gt;&gt; Inscrivez les informations demandées</t>
    </r>
    <r>
      <rPr>
        <sz val="11"/>
        <rFont val="Calibri"/>
        <family val="2"/>
        <scheme val="minor"/>
      </rPr>
      <t xml:space="preserve"> en lien avec les actifs en eaux pluviales.</t>
    </r>
  </si>
  <si>
    <r>
      <t>Indiquez quels types d'actifs vous possédez
pour la collecte des eaux pluviales:</t>
    </r>
    <r>
      <rPr>
        <sz val="10"/>
        <color theme="1"/>
        <rFont val="Webdings"/>
        <family val="1"/>
        <charset val="2"/>
      </rPr>
      <t xml:space="preserve"> 6</t>
    </r>
  </si>
  <si>
    <r>
      <t>Indiquez quels types d'actifs vous possédez
pour le traitement des eaux pluviales:</t>
    </r>
    <r>
      <rPr>
        <sz val="10"/>
        <color theme="1"/>
        <rFont val="Webdings"/>
        <family val="1"/>
        <charset val="2"/>
      </rPr>
      <t xml:space="preserve"> 6</t>
    </r>
  </si>
  <si>
    <r>
      <t xml:space="preserve">&gt;&gt; Est-ce que vous avez entamé une réflexion concernant les niveaux de service qu'elle offre actuellement en eaux pluviales et ceux qu'elle souhaite offrir dans le futur? </t>
    </r>
    <r>
      <rPr>
        <i/>
        <sz val="11"/>
        <rFont val="Webdings"/>
        <family val="1"/>
        <charset val="2"/>
      </rPr>
      <t>6</t>
    </r>
  </si>
  <si>
    <t>&gt;&gt; Indiquez les exigences ou les mises aux normes que doit rencontrer votre organisation relativement à son service d'eaux pluviales et qui auront un impact sur la planification des coûts dans les prochaines années.</t>
  </si>
  <si>
    <t xml:space="preserve">Indiquez ensuite à quel critère et catégorie ces indicateurs sont associés, et inscrivez la tendance actuelle de performance liée à cet indicateur  ainsi que 
votre objectif général en terme de performance pour les prochaines années. </t>
  </si>
  <si>
    <r>
      <t xml:space="preserve">&gt;&gt; Est-ce que vous avez entamé une réflexion concernant 
la gestion des risques en lien avec le service des eaux pluviales ? </t>
    </r>
    <r>
      <rPr>
        <i/>
        <sz val="11"/>
        <rFont val="Webdings"/>
        <family val="1"/>
        <charset val="2"/>
      </rPr>
      <t>6</t>
    </r>
  </si>
  <si>
    <r>
      <t xml:space="preserve">&gt;&gt; Est-ce que vous avez entamé une réflexion concernant la
gestion de la demande à venir en lien avec le service des eaux pluviales ? </t>
    </r>
    <r>
      <rPr>
        <i/>
        <sz val="11"/>
        <rFont val="Webdings"/>
        <family val="1"/>
        <charset val="2"/>
      </rPr>
      <t>6</t>
    </r>
  </si>
  <si>
    <t>Revenus générés</t>
  </si>
  <si>
    <t>Budget total planifié</t>
  </si>
  <si>
    <t>Acceptable (C)</t>
  </si>
  <si>
    <t xml:space="preserve">Acceptable (C) </t>
  </si>
  <si>
    <t>Informations à importer dans la BD du MAMH</t>
  </si>
  <si>
    <t>Description 1</t>
  </si>
  <si>
    <t>PARTIE 0 IDENTIFICATION</t>
  </si>
  <si>
    <t>Description 2</t>
  </si>
  <si>
    <t>Description 3</t>
  </si>
  <si>
    <t>Type d'infrastructure d'eau</t>
  </si>
  <si>
    <t>Services fournis par organisation</t>
  </si>
  <si>
    <t>Choix du PGA</t>
  </si>
  <si>
    <t>ANNÉE DU PGA</t>
  </si>
  <si>
    <t>Version PGA</t>
  </si>
  <si>
    <t>DATE DE COMPLÉTION DU FORMULAIRE</t>
  </si>
  <si>
    <t>ATTENTION: RÉPONSE DE l'organisme À LA 1ERE QUESTION / SOUS-SERVICE</t>
  </si>
  <si>
    <t xml:space="preserve"> ACTIFS EN MODE PARTAGÉ</t>
  </si>
  <si>
    <t>Sous-service 1</t>
  </si>
  <si>
    <t>Sous-service 2</t>
  </si>
  <si>
    <t>Priorité de performance</t>
  </si>
  <si>
    <t>Description 4</t>
  </si>
  <si>
    <t>Indicateur de performance 1</t>
  </si>
  <si>
    <t>Critère 1</t>
  </si>
  <si>
    <t>Catégorie 1</t>
  </si>
  <si>
    <t>Indicateur de performance 2</t>
  </si>
  <si>
    <t>Critère 2</t>
  </si>
  <si>
    <t>Catégorie 2</t>
  </si>
  <si>
    <t>Indicateur de performance 3</t>
  </si>
  <si>
    <t>Critère 3</t>
  </si>
  <si>
    <t>Catégorie 3</t>
  </si>
  <si>
    <t>Indicateur performance 1</t>
  </si>
  <si>
    <t>Tendance 1</t>
  </si>
  <si>
    <t>Objectif 1</t>
  </si>
  <si>
    <t>Indicateur performance 2</t>
  </si>
  <si>
    <t>Tendance 2</t>
  </si>
  <si>
    <t>Objectif 2</t>
  </si>
  <si>
    <t>Indicateur performance 3</t>
  </si>
  <si>
    <t>Tendance 3</t>
  </si>
  <si>
    <t>Objectif 3</t>
  </si>
  <si>
    <t>Sous-Service 1</t>
  </si>
  <si>
    <t>Sous-Service 2</t>
  </si>
  <si>
    <t>Coûts pour maintenir le service au niveau actuel</t>
  </si>
  <si>
    <t>Description 5</t>
  </si>
  <si>
    <t>Autres actifs KM</t>
  </si>
  <si>
    <t>Autres actifs ouvrages</t>
  </si>
  <si>
    <t>Exigence 1</t>
  </si>
  <si>
    <t>Exigence 2</t>
  </si>
  <si>
    <t>Exigence 3</t>
  </si>
  <si>
    <t>Actifs concernés 1</t>
  </si>
  <si>
    <t>Actifs concernés 2</t>
  </si>
  <si>
    <t>Actifs concernés 3</t>
  </si>
  <si>
    <t>Revenus générés par l'organisme</t>
  </si>
  <si>
    <t>Budget total planifié par l'organisme</t>
  </si>
  <si>
    <t>Abréviation 1</t>
  </si>
  <si>
    <t>p0</t>
  </si>
  <si>
    <t>p1</t>
  </si>
  <si>
    <t>p2</t>
  </si>
  <si>
    <t>p3</t>
  </si>
  <si>
    <t>p4</t>
  </si>
  <si>
    <t>p5</t>
  </si>
  <si>
    <t>p6</t>
  </si>
  <si>
    <t>p7</t>
  </si>
  <si>
    <t>Abréviation 2</t>
  </si>
  <si>
    <t>pd</t>
  </si>
  <si>
    <t>pv1</t>
  </si>
  <si>
    <t>pv25</t>
  </si>
  <si>
    <t>pv2</t>
  </si>
  <si>
    <t>pv3</t>
  </si>
  <si>
    <t>pvd1</t>
  </si>
  <si>
    <t>pvr1</t>
  </si>
  <si>
    <t>pv4</t>
  </si>
  <si>
    <t>Abréviation 3</t>
  </si>
  <si>
    <t>vr</t>
  </si>
  <si>
    <t>inv</t>
  </si>
  <si>
    <t>cvi</t>
  </si>
  <si>
    <t>rq1</t>
  </si>
  <si>
    <t>amp</t>
  </si>
  <si>
    <t>ss1</t>
  </si>
  <si>
    <t>ss2</t>
  </si>
  <si>
    <t>iperf</t>
  </si>
  <si>
    <t>prioperf</t>
  </si>
  <si>
    <t>catchg</t>
  </si>
  <si>
    <t>catrisq</t>
  </si>
  <si>
    <t>nca</t>
  </si>
  <si>
    <t>rb10</t>
  </si>
  <si>
    <t>fonc</t>
  </si>
  <si>
    <t>immo</t>
  </si>
  <si>
    <t>conf</t>
  </si>
  <si>
    <t>Abréviation 4</t>
  </si>
  <si>
    <t>line</t>
  </si>
  <si>
    <t>ponc</t>
  </si>
  <si>
    <t>emns</t>
  </si>
  <si>
    <t>iperf1</t>
  </si>
  <si>
    <t>crit1</t>
  </si>
  <si>
    <t>cat1</t>
  </si>
  <si>
    <t>iperf2</t>
  </si>
  <si>
    <t>crit2</t>
  </si>
  <si>
    <t>cat2</t>
  </si>
  <si>
    <t>iperf3</t>
  </si>
  <si>
    <t>crit3</t>
  </si>
  <si>
    <t>cat3</t>
  </si>
  <si>
    <t>tend1</t>
  </si>
  <si>
    <t>obj1</t>
  </si>
  <si>
    <t>tend2</t>
  </si>
  <si>
    <t>obj2</t>
  </si>
  <si>
    <t>tend3</t>
  </si>
  <si>
    <t>obj3</t>
  </si>
  <si>
    <t>demograph</t>
  </si>
  <si>
    <t>climat</t>
  </si>
  <si>
    <t>cadre</t>
  </si>
  <si>
    <t>econom</t>
  </si>
  <si>
    <t>techno</t>
  </si>
  <si>
    <t>manqinfo</t>
  </si>
  <si>
    <t>chgclimat</t>
  </si>
  <si>
    <t>sousfin</t>
  </si>
  <si>
    <t>dotperso</t>
  </si>
  <si>
    <t>actcritiq</t>
  </si>
  <si>
    <t>cmaint</t>
  </si>
  <si>
    <t>crattra</t>
  </si>
  <si>
    <t>cadd</t>
  </si>
  <si>
    <t>finestfonc</t>
  </si>
  <si>
    <t>cexplor</t>
  </si>
  <si>
    <t>finestrenouvl</t>
  </si>
  <si>
    <t>crenouvl</t>
  </si>
  <si>
    <t>finestacqdisp</t>
  </si>
  <si>
    <t>cacqdisp</t>
  </si>
  <si>
    <t>nbobj</t>
  </si>
  <si>
    <t>cote5</t>
  </si>
  <si>
    <t>Abréviation 5</t>
  </si>
  <si>
    <t>type_infra_eau</t>
  </si>
  <si>
    <t>serv_fournis</t>
  </si>
  <si>
    <t>choix_pga</t>
  </si>
  <si>
    <t>an_pga</t>
  </si>
  <si>
    <t>version_pga</t>
  </si>
  <si>
    <t>d_completion</t>
  </si>
  <si>
    <t>lineaire</t>
  </si>
  <si>
    <t>ponctuel</t>
  </si>
  <si>
    <t>autre_actif</t>
  </si>
  <si>
    <t>autre_actif_km</t>
  </si>
  <si>
    <t>autre_actif_ouvrg</t>
  </si>
  <si>
    <t>tres_bon</t>
  </si>
  <si>
    <t>bon</t>
  </si>
  <si>
    <t>satisfaisant</t>
  </si>
  <si>
    <t>mauvais</t>
  </si>
  <si>
    <t>tres_mauvais</t>
  </si>
  <si>
    <t>inconnu</t>
  </si>
  <si>
    <t>confiance</t>
  </si>
  <si>
    <t>exigence1</t>
  </si>
  <si>
    <t>exigence2</t>
  </si>
  <si>
    <t>exigence3</t>
  </si>
  <si>
    <t>actif1</t>
  </si>
  <si>
    <t>actif2</t>
  </si>
  <si>
    <t>actif3</t>
  </si>
  <si>
    <t>fonc_budget</t>
  </si>
  <si>
    <t>immo_budget</t>
  </si>
  <si>
    <t>fonc_expl_entr</t>
  </si>
  <si>
    <t>immo_renouvl</t>
  </si>
  <si>
    <t>immo_acq_dispo</t>
  </si>
  <si>
    <t>ges_niv_serv</t>
  </si>
  <si>
    <t>ges_risque</t>
  </si>
  <si>
    <t>ges_dem_avenir</t>
  </si>
  <si>
    <t>def_maint_act</t>
  </si>
  <si>
    <t>fonc_supp_acq</t>
  </si>
  <si>
    <t>c_prev_totaux</t>
  </si>
  <si>
    <t>recv_gouv_prov</t>
  </si>
  <si>
    <t>rev_mun</t>
  </si>
  <si>
    <t>budg_mun</t>
  </si>
  <si>
    <t>deficit_fin</t>
  </si>
  <si>
    <t>exced_fonct</t>
  </si>
  <si>
    <t>fin_gouv_prov</t>
  </si>
  <si>
    <t>autr_type_fin</t>
  </si>
  <si>
    <t>portrait</t>
  </si>
  <si>
    <t>niv_service</t>
  </si>
  <si>
    <t>risque</t>
  </si>
  <si>
    <t>demande</t>
  </si>
  <si>
    <t>ccv_immo</t>
  </si>
  <si>
    <t>ccv_fonc</t>
  </si>
  <si>
    <t>finance</t>
  </si>
  <si>
    <t>golbal</t>
  </si>
  <si>
    <t>cumul</t>
  </si>
  <si>
    <t>Nom champ</t>
  </si>
  <si>
    <t>Validation unicité nom champ</t>
  </si>
  <si>
    <t>Validation nom champ</t>
  </si>
  <si>
    <t>Format champ</t>
  </si>
  <si>
    <t>standard</t>
  </si>
  <si>
    <t>date</t>
  </si>
  <si>
    <t>millier 0 décimale</t>
  </si>
  <si>
    <t>millier 3 décimales</t>
  </si>
  <si>
    <t>4 décimales</t>
  </si>
  <si>
    <t>Standard</t>
  </si>
  <si>
    <t>Texte saisi</t>
  </si>
  <si>
    <t>code_geo</t>
  </si>
  <si>
    <t>p0_pd_type_infra_eau</t>
  </si>
  <si>
    <t>p0_pd_serv_fournis</t>
  </si>
  <si>
    <t>p0_pd_choix_pga</t>
  </si>
  <si>
    <t>p0_an_pga</t>
  </si>
  <si>
    <t>p0_version_pga</t>
  </si>
  <si>
    <t>p1_d_completion</t>
  </si>
  <si>
    <t>p2_pv1_vr_ss1_lineaire</t>
  </si>
  <si>
    <t>p2_pv1_vr_ss1_ponctuel</t>
  </si>
  <si>
    <t>p2_pv1_vr_ss1_autre_actif</t>
  </si>
  <si>
    <t>p2_pv1_vr_ss2_lineaire</t>
  </si>
  <si>
    <t>p2_pv1_vr_ss2_ponctuel</t>
  </si>
  <si>
    <t>p2_pv1_vr_ss2_autre_actif</t>
  </si>
  <si>
    <t>p2_pv1_inv_ss1_lineaire</t>
  </si>
  <si>
    <t>p2_pv1_inv_ss1_ponctuel</t>
  </si>
  <si>
    <t>p2_pv1_inv_ss1_autre_actif_km</t>
  </si>
  <si>
    <t>p2_pv1_inv_ss1_autre_actif_ouvrg</t>
  </si>
  <si>
    <t>p2_pv1_inv_ss2_lineaire</t>
  </si>
  <si>
    <t>p2_pv1_inv_ss2_ponctuel</t>
  </si>
  <si>
    <t>p2_pv1_inv_ss2_autre_actif</t>
  </si>
  <si>
    <t>p2_pv1_inv_ss2_autre_actif_ouvrg</t>
  </si>
  <si>
    <t>p2_pv1_cvi_ss1_lineaire</t>
  </si>
  <si>
    <t>p2_pv1_cvi_ss1_ponctuel</t>
  </si>
  <si>
    <t>p2_pv1_cvi_ss2_lineaire</t>
  </si>
  <si>
    <t>p2_pv1_cvi_ss2_ponctuel</t>
  </si>
  <si>
    <t>p2_pv1_rq1_ss1</t>
  </si>
  <si>
    <t>p2_pv1_rq1_ss2</t>
  </si>
  <si>
    <t>p2_pv1_amp_ss1_lineaire</t>
  </si>
  <si>
    <t>p2_pv1_amp_ss1_ponctuel</t>
  </si>
  <si>
    <t>p2_pv1_amp_ss1_autre_actif</t>
  </si>
  <si>
    <t>p2_pv1_amp_ss2_lineaire</t>
  </si>
  <si>
    <t>p2_pv1_amp_ss2_ponctuel</t>
  </si>
  <si>
    <t>p2_pv1_amp_ss2_autre_actif</t>
  </si>
  <si>
    <t>p2_pv25_ss1_line_tres_bon</t>
  </si>
  <si>
    <t>p2_pv25_ss1_line_bon</t>
  </si>
  <si>
    <t>p2_pv25_ss1_line_satisfaisant</t>
  </si>
  <si>
    <t>p2_pv25_ss1_line_mauvais</t>
  </si>
  <si>
    <t>p2_pv25_ss1_line_tres_mauvais</t>
  </si>
  <si>
    <t>p2_pv25_ss1_line_inconnu</t>
  </si>
  <si>
    <t>p2_pv25_ss1_line_confiance</t>
  </si>
  <si>
    <t>p2_pv25_ss1_ponc_tres_bon</t>
  </si>
  <si>
    <t>p2_pv25_ss1_ponc_bon</t>
  </si>
  <si>
    <t>p2_pv25_ss1_ponc_satisfaisant</t>
  </si>
  <si>
    <t>p2_pv25_ss1_ponc_mauvais</t>
  </si>
  <si>
    <t>p2_pv25_ss1_ponc_tres_mauvais</t>
  </si>
  <si>
    <t>p2_pv25_ss1_ponc_inconnu</t>
  </si>
  <si>
    <t>p2_pv25_ss1_ponc_confiance</t>
  </si>
  <si>
    <t>p2_pv25_ss2_line_tres_bon</t>
  </si>
  <si>
    <t>p2_pv25_ss2_line_bon</t>
  </si>
  <si>
    <t>p2_pv25_ss2_line_satisfaisant</t>
  </si>
  <si>
    <t>p2_pv25_ss2_line_mauvais</t>
  </si>
  <si>
    <t>p2_pv25_ss2_line_tres_mauvais</t>
  </si>
  <si>
    <t>p2_pv25_ss2_line_inconnu</t>
  </si>
  <si>
    <t>p2_pv25_ss2_line_confiance</t>
  </si>
  <si>
    <t>p2_pv25_ss2_ponc_tres_bon</t>
  </si>
  <si>
    <t>p2_pv25_ss2_ponc_bon</t>
  </si>
  <si>
    <t>p2_pv25_ss2_ponc_satisfaisant</t>
  </si>
  <si>
    <t>p2_pv25_ss2_ponc_mauvais</t>
  </si>
  <si>
    <t>p2_pv25_ss2_ponc_tres_mauvais</t>
  </si>
  <si>
    <t>p2_pv25_ss2_ponc_inconnu</t>
  </si>
  <si>
    <t>p2_pv25_ss2_ponc_confiance</t>
  </si>
  <si>
    <t>p3_pv1_emns_exigence1</t>
  </si>
  <si>
    <t>p3_pv1_emns_exigence2</t>
  </si>
  <si>
    <t>p3_pv1_emns_exigence3</t>
  </si>
  <si>
    <t>p3_pv1_emns_actif1</t>
  </si>
  <si>
    <t>p3_pv1_emns_actif2</t>
  </si>
  <si>
    <t>p3_pv1_emns_actif3</t>
  </si>
  <si>
    <t>p3_pv1_conf</t>
  </si>
  <si>
    <t>p3_pv2_iperf_iperf1</t>
  </si>
  <si>
    <t>p3_pv2_iperf_crit1</t>
  </si>
  <si>
    <t>p3_pv2_iperf_cat1</t>
  </si>
  <si>
    <t>p3_pv2_iperf_iperf2</t>
  </si>
  <si>
    <t>p3_pv2_iperf_crit2</t>
  </si>
  <si>
    <t>p3_pv2_iperf_cat2</t>
  </si>
  <si>
    <t>p3_pv2_iperf_iperf3</t>
  </si>
  <si>
    <t>p3_pv2_iperf_crit3</t>
  </si>
  <si>
    <t>p3_pv2_iperf_cat3</t>
  </si>
  <si>
    <t>p3_pv2_iperf_conf</t>
  </si>
  <si>
    <t>p3_pv3_prioperf_iperf1</t>
  </si>
  <si>
    <t>p3_pv3_prioperf_tend1</t>
  </si>
  <si>
    <t>p3_pv3_prioperf_obj1</t>
  </si>
  <si>
    <t>p3_pv3_prioperf_iperf2</t>
  </si>
  <si>
    <t>p3_pv3_prioperf_tend2</t>
  </si>
  <si>
    <t>p3_pv3_prioperf_obj2</t>
  </si>
  <si>
    <t>p3_pv3_prioperf_iperf3</t>
  </si>
  <si>
    <t>p3_pv3_prioperf_tend3</t>
  </si>
  <si>
    <t>p3_pv3_prioperf_obj3</t>
  </si>
  <si>
    <t>p3_pv3_prioperf_conf</t>
  </si>
  <si>
    <t>p4_pvd1_catchg_demograph</t>
  </si>
  <si>
    <t>p4_pvd1_catchg_climat</t>
  </si>
  <si>
    <t>p4_pvd1_catchg_cadre</t>
  </si>
  <si>
    <t>p4_pvd1_catchg_econom</t>
  </si>
  <si>
    <t>p4_pvd1_catchg_techno</t>
  </si>
  <si>
    <t xml:space="preserve">p4_pvd1_catchg_Autre </t>
  </si>
  <si>
    <t>p4_pvd1_catchg_conf</t>
  </si>
  <si>
    <t xml:space="preserve">p4_pvr1_catrisq_Autre </t>
  </si>
  <si>
    <t>p4_pvr1_catrisq_manqinfo</t>
  </si>
  <si>
    <t>p4_pvr1_catrisq_chgclimat</t>
  </si>
  <si>
    <t>p4_pvr1_catrisq_sousfin</t>
  </si>
  <si>
    <t>p4_pvr1_catrisq_dotperso</t>
  </si>
  <si>
    <t>p4_pvr1_catrisq_actcritiq</t>
  </si>
  <si>
    <t>p4_pvr1_catrisq_conf</t>
  </si>
  <si>
    <t>p5_pv1_nca_ss1_fonc_budget</t>
  </si>
  <si>
    <t>p5_pv1_nca_ss1_immo_budget</t>
  </si>
  <si>
    <t>p5_pv1_nca_ss1_fonc_expl_entr</t>
  </si>
  <si>
    <t>p5_pv1_nca_ss1_immo_renouvl</t>
  </si>
  <si>
    <t>p5_pv1_nca_ss1_immo_acq_dispo</t>
  </si>
  <si>
    <t>p5_pv1_nca_ss1_ges_niv_serv</t>
  </si>
  <si>
    <t>p5_pv1_nca_ss1_ges_risque</t>
  </si>
  <si>
    <t>p5_pv1_nca_ss1_ges_dem_avenir</t>
  </si>
  <si>
    <t>p5_pv1_nca_ss2_fonc_budget</t>
  </si>
  <si>
    <t>p5_pv1_nca_ss2_immo_budget</t>
  </si>
  <si>
    <t>p5_pv1_nca_ss2_fonc_expl_entr</t>
  </si>
  <si>
    <t>p5_pv1_nca_ss2_immo_renouvl</t>
  </si>
  <si>
    <t>p5_pv1_nca_ss2_immo_acq_dispo</t>
  </si>
  <si>
    <t>p5_pv1_nca_ss2_ges_niv_serv</t>
  </si>
  <si>
    <t>p5_pv1_nca_ss2_ges_risque</t>
  </si>
  <si>
    <t>p5_pv1_nca_ss2_ges_dem_avenir</t>
  </si>
  <si>
    <t>p5_pv4_rb10_cmaint_fonc</t>
  </si>
  <si>
    <t>p5_pv4_rb10_cmaint_immo</t>
  </si>
  <si>
    <t>p5_pv4_rb10_crattra_def_maint_act</t>
  </si>
  <si>
    <t>p5_pv4_rb10_cadd_fonc_supp_acq</t>
  </si>
  <si>
    <t>p5_pv4_rb10_cadd_ges_dem_avenir</t>
  </si>
  <si>
    <t>p5_pv4_fonc_ss1_ges_niv_serv</t>
  </si>
  <si>
    <t>p5_pv4_fonc_ss1_ges_risque</t>
  </si>
  <si>
    <t>p5_pv4_fonc_ss1_ges_dem_avenir</t>
  </si>
  <si>
    <t>p5_pv4_fonc_ss2_ges_niv_serv</t>
  </si>
  <si>
    <t>p5_pv4_fonc_ss2_ges_risque</t>
  </si>
  <si>
    <t>p5_pv4_fonc_ss2_ges_dem_avenir</t>
  </si>
  <si>
    <t>p5_pv4_immo_ss1_ges_niv_serv</t>
  </si>
  <si>
    <t>p5_pv4_immo_ss1_ges_risque</t>
  </si>
  <si>
    <t>p5_pv4_immo_ss1_ges_dem_avenir</t>
  </si>
  <si>
    <t>p5_pv4_immo_ss2_ges_niv_serv</t>
  </si>
  <si>
    <t>p5_pv4_immo_ss2_ges_risque</t>
  </si>
  <si>
    <t>p5_pv4_immo_ss2_ges_dem_avenir</t>
  </si>
  <si>
    <t>p6_pv1_ss1_c_prev_totaux</t>
  </si>
  <si>
    <t>p6_pv1_0_ss1_recv_gouv_prov</t>
  </si>
  <si>
    <t>p6_pv1_0_ss1_rev_mun</t>
  </si>
  <si>
    <t>p6_pv1_0_ss1_budg_mun</t>
  </si>
  <si>
    <t>p6_pv1_0_ss1_deficit_fin</t>
  </si>
  <si>
    <t>p6_pv1_0_ss2_c_prev_totaux</t>
  </si>
  <si>
    <t>p6_pv1_0_ss2_recv_gouv_prov</t>
  </si>
  <si>
    <t>p6_pv1_0_ss2_rev_mun</t>
  </si>
  <si>
    <t>p6_pv1_0_ss2_budg_mun</t>
  </si>
  <si>
    <t>p6_pv1_0_ss2_deficit_fin</t>
  </si>
  <si>
    <t>p6_pv1_conf_finestfonc_ss1</t>
  </si>
  <si>
    <t>p6_pv1_conf_finestfonc_ss2</t>
  </si>
  <si>
    <t>p6_pv1_conf_cexplor_ss1</t>
  </si>
  <si>
    <t>p6_pv1_conf_cexplor_ss2</t>
  </si>
  <si>
    <t>p6_pv2_ss1_c_prev_totaux</t>
  </si>
  <si>
    <t>p6_pv2_ss1_exced_fonct</t>
  </si>
  <si>
    <t>p6_pv2_ss1_fin_gouv_prov</t>
  </si>
  <si>
    <t>p6_pv2_ss1_autr_type_fin</t>
  </si>
  <si>
    <t>p6_pv2_ss1_budg_mun</t>
  </si>
  <si>
    <t>p6_pv2_ss1_deficit_fin</t>
  </si>
  <si>
    <t>p6_pv2_ss2_c_prev_totaux</t>
  </si>
  <si>
    <t>p6_pv2_ss2_exced_fonct</t>
  </si>
  <si>
    <t>p6_pv2_ss2_fin_gouv_prov</t>
  </si>
  <si>
    <t>p6_pv2_ss2_autr_type_fin</t>
  </si>
  <si>
    <t>p6_pv2_ss2_budg_mun</t>
  </si>
  <si>
    <t>p6_pv2_ss2_deficit_fin</t>
  </si>
  <si>
    <t>p6_pv2_conf_finestrenouvl_ss1</t>
  </si>
  <si>
    <t>p6_pv2_conf_finestrenouvl_ss2</t>
  </si>
  <si>
    <t>p6_pv2_conf_crenouvl_ss1</t>
  </si>
  <si>
    <t>p6_pv2_conf_crenouvl_ss2</t>
  </si>
  <si>
    <t>p6_pv3_ss1_c_prev_totaux</t>
  </si>
  <si>
    <t>p6_pv3_ss1_fin_gouv_prov</t>
  </si>
  <si>
    <t>p6_pv3_ss1_autr_type_fin</t>
  </si>
  <si>
    <t>p6_pv3_ss1_budg_mun</t>
  </si>
  <si>
    <t>p6_pv3_ss1_deficit_fin</t>
  </si>
  <si>
    <t>p6_pv3_ss2_c_prev_totaux</t>
  </si>
  <si>
    <t>p6_pv3_ss2_fin_gouv_prov</t>
  </si>
  <si>
    <t>p6_pv3_ss2_autr_type_fin</t>
  </si>
  <si>
    <t>p6_pv3_ss2_budg_mun</t>
  </si>
  <si>
    <t>p6_pv3_ss2_deficit_fin</t>
  </si>
  <si>
    <t>p6_pv3_conf_finestacqdisp_ss1</t>
  </si>
  <si>
    <t>p6_pv3_conf_finestacqdisp_ss2</t>
  </si>
  <si>
    <t>p6_pv3_conf_cacqdisp_ss1</t>
  </si>
  <si>
    <t>p6_pv3_conf_cacqdisp_ss2</t>
  </si>
  <si>
    <t>p7_pv1_ss1_nbobj_portrait</t>
  </si>
  <si>
    <t>p7_pv1_ss1_nbobj_niv_service</t>
  </si>
  <si>
    <t>p7_pv1_ss1_nbobj_risque</t>
  </si>
  <si>
    <t>p7_pv1_ss1_nbobj_demande</t>
  </si>
  <si>
    <t>p7_pv1_ss1_nbobj_ccv_immo</t>
  </si>
  <si>
    <t>p7_pv1_ss1_nbobj_ccv_fonc</t>
  </si>
  <si>
    <t>p7_pv1_ss1_nbobj_finance</t>
  </si>
  <si>
    <t>p7_pv1_ss1_nbobj_golbal</t>
  </si>
  <si>
    <t>p7_pv1_ss1_cote5_portrait</t>
  </si>
  <si>
    <t>p7_pv1_ss1_cote5_niv_service</t>
  </si>
  <si>
    <t>p7_pv1_ss1_cote5_risque</t>
  </si>
  <si>
    <t>p7_pv1_ss1_cote5_demande</t>
  </si>
  <si>
    <t>p7_pv1_ss1_cote5_ccv_immo</t>
  </si>
  <si>
    <t>p7_pv1_ss1_cote5_ccv_fonc</t>
  </si>
  <si>
    <t>p7_pv1_ss1_cote5_finance</t>
  </si>
  <si>
    <t>p7_pv1_ss1_cote5_golbal</t>
  </si>
  <si>
    <t>p7_pv1_ss2_nbobj_portrait</t>
  </si>
  <si>
    <t>p7_pv1_ss2_nbobj_niv_service</t>
  </si>
  <si>
    <t>p7_pv1_ss2_nbobj_risque</t>
  </si>
  <si>
    <t>p7_pv1_ss2_nbobj_demande</t>
  </si>
  <si>
    <t>p7_pv1_ss2_nbobj_ccv_immo</t>
  </si>
  <si>
    <t>p7_pv1_ss2_nbobj_ccv_fonc</t>
  </si>
  <si>
    <t>p7_pv1_ss2_nbobj_finance</t>
  </si>
  <si>
    <t>p7_pv1_ss2_nbobj_golbal</t>
  </si>
  <si>
    <t>p7_pv1_ss2_cote5_portrait</t>
  </si>
  <si>
    <t>p7_pv1_ss2_cote5_niv_service</t>
  </si>
  <si>
    <t>p7_pv1_ss2_cote5_risque</t>
  </si>
  <si>
    <t>p7_pv1_ss2_cote5_demande</t>
  </si>
  <si>
    <t>p7_pv1_ss2_cote5_ccv_immo</t>
  </si>
  <si>
    <t>p7_pv1_ss2_cote5_ccv_fonc</t>
  </si>
  <si>
    <t>p7_pv1_ss2_cote5_finance</t>
  </si>
  <si>
    <t>p7_pv1_ss2_cote5_golbal</t>
  </si>
  <si>
    <t>p7_pv1_ss1_cumul</t>
  </si>
  <si>
    <t>p7_pv1_ss2_cumul</t>
  </si>
  <si>
    <t>p7_pv2_ss1_nbobj_portrait</t>
  </si>
  <si>
    <t>p7_pv2_ss1_nbobj_niv_service</t>
  </si>
  <si>
    <t>p7_pv2_ss1_nbobj_risque</t>
  </si>
  <si>
    <t>p7_pv2_ss1_nbobj_demande</t>
  </si>
  <si>
    <t>p7_pv2_ss1_nbobj_ccv_immo</t>
  </si>
  <si>
    <t>p7_pv2_ss1_nbobj_ccv_fonc</t>
  </si>
  <si>
    <t>p7_pv2_ss1_nbobj_finance</t>
  </si>
  <si>
    <t>p7_pv2_ss1_nbobj_golbal</t>
  </si>
  <si>
    <t>p7_pv2_ss1_cote5_portrait</t>
  </si>
  <si>
    <t>p7_pv2_ss1_cote5_niv_service</t>
  </si>
  <si>
    <t>p7_pv2_ss1_cote5_risque</t>
  </si>
  <si>
    <t>p7_pv2_ss1_cote5_demande</t>
  </si>
  <si>
    <t>p7_pv2_ss1_cote5_ccv_immo</t>
  </si>
  <si>
    <t>p7_pv2_ss1_cote5_ccv_fonc</t>
  </si>
  <si>
    <t>p7_pv2_ss1_cote5_finance</t>
  </si>
  <si>
    <t>p7_pv2_ss1_cote5_golbal</t>
  </si>
  <si>
    <t>p7_pv2_ss2_nbobj_portrait</t>
  </si>
  <si>
    <t>p7_pv2_ss2_nbobj_niv_service</t>
  </si>
  <si>
    <t>p7_pv2_ss2_nbobj_risque</t>
  </si>
  <si>
    <t>p7_pv2_ss2_nbobj_demande</t>
  </si>
  <si>
    <t>p7_pv2_ss2_nbobj_ccv_immo</t>
  </si>
  <si>
    <t>p7_pv2_ss2_nbobj_ccv_fonc</t>
  </si>
  <si>
    <t>p7_pv2_ss2_nbobj_finance</t>
  </si>
  <si>
    <t>p7_pv2_ss2_nbobj_golbal</t>
  </si>
  <si>
    <t>p7_pv2_ss2_cote5_portrait</t>
  </si>
  <si>
    <t>p7_pv2_ss2_cote5_niv_service</t>
  </si>
  <si>
    <t>p7_pv2_ss2_cote5_risque</t>
  </si>
  <si>
    <t>p7_pv2_ss2_cote5_demande</t>
  </si>
  <si>
    <t>p7_pv2_ss2_cote5_ccv_immo</t>
  </si>
  <si>
    <t>p7_pv2_ss2_cote5_ccv_fonc</t>
  </si>
  <si>
    <t>p7_pv2_ss2_cote5_finance</t>
  </si>
  <si>
    <t>p7_pv2_ss2_cote5_golbal</t>
  </si>
  <si>
    <t>p7_pv2_ss1_cumul</t>
  </si>
  <si>
    <t>p7_pv2_ss2_cumul</t>
  </si>
  <si>
    <t>Nombre de section "À compléter"</t>
  </si>
  <si>
    <t>Services fournis :</t>
  </si>
  <si>
    <t>Choix PGA :</t>
  </si>
  <si>
    <t>Sommaire de complétion des onglets :</t>
  </si>
  <si>
    <t>Section</t>
  </si>
  <si>
    <t xml:space="preserve">FORMULAIRE PGA Eaux pluviales </t>
  </si>
  <si>
    <t>Informations des COÛTS à importer dans la BD du MAMH</t>
  </si>
  <si>
    <t>Coût</t>
  </si>
  <si>
    <t>Type d'infra eau</t>
  </si>
  <si>
    <t>Sous-service</t>
  </si>
  <si>
    <t>Année</t>
  </si>
  <si>
    <t>cout</t>
  </si>
  <si>
    <t>sous_service</t>
  </si>
  <si>
    <t>annee</t>
  </si>
  <si>
    <t>budget_actuel</t>
  </si>
  <si>
    <t>exploitation</t>
  </si>
  <si>
    <t>entretien</t>
  </si>
  <si>
    <t>renouvellement</t>
  </si>
  <si>
    <t>acquisition</t>
  </si>
  <si>
    <t>disposition</t>
  </si>
  <si>
    <t>p5_pv3_cout_type_infra_eau</t>
  </si>
  <si>
    <t>p5_pv3_cout_sous_service</t>
  </si>
  <si>
    <t>p5_pv3_cout_annee</t>
  </si>
  <si>
    <t>p5_pv3_cout_budget_actuel</t>
  </si>
  <si>
    <t>p5_pv3_cout_exploitation</t>
  </si>
  <si>
    <t>p5_pv3_cout_entretien</t>
  </si>
  <si>
    <t>p5_pv3_cout_renouvellement</t>
  </si>
  <si>
    <t>p5_pv3_cout_acquisition</t>
  </si>
  <si>
    <t>p5_pv3_cout_disposition</t>
  </si>
  <si>
    <t>Approvisionnement</t>
  </si>
  <si>
    <t>Liste régies</t>
  </si>
  <si>
    <t>CODE UNIQUE</t>
  </si>
  <si>
    <t>R1001</t>
  </si>
  <si>
    <t>R1002</t>
  </si>
  <si>
    <t>R1003</t>
  </si>
  <si>
    <t>R1004</t>
  </si>
  <si>
    <t>R1005</t>
  </si>
  <si>
    <t>R1006</t>
  </si>
  <si>
    <t>R1008</t>
  </si>
  <si>
    <t>R1009</t>
  </si>
  <si>
    <t>R1010</t>
  </si>
  <si>
    <t>R1011</t>
  </si>
  <si>
    <t>R1016</t>
  </si>
  <si>
    <t>R1017</t>
  </si>
  <si>
    <t>R1018</t>
  </si>
  <si>
    <t>R1100</t>
  </si>
  <si>
    <t>R1303</t>
  </si>
  <si>
    <t>R1305</t>
  </si>
  <si>
    <t>R1306</t>
  </si>
  <si>
    <t>R1315</t>
  </si>
  <si>
    <t>R1319</t>
  </si>
  <si>
    <t>R1322</t>
  </si>
  <si>
    <t>R1323</t>
  </si>
  <si>
    <t>R1324</t>
  </si>
  <si>
    <t>R1326</t>
  </si>
  <si>
    <t>R1327</t>
  </si>
  <si>
    <t>R1329</t>
  </si>
  <si>
    <t>R1330</t>
  </si>
  <si>
    <t>R1331</t>
  </si>
  <si>
    <t>R1332</t>
  </si>
  <si>
    <t>R1333</t>
  </si>
  <si>
    <t>R1335</t>
  </si>
  <si>
    <t>R4903</t>
  </si>
  <si>
    <t>R7101</t>
  </si>
  <si>
    <t>R7102</t>
  </si>
  <si>
    <t>R8001</t>
  </si>
  <si>
    <t>Régie d'aqueduc Richelieu-Centre</t>
  </si>
  <si>
    <t>Régie de l'eau de L'Île-Perrot</t>
  </si>
  <si>
    <t>Régie intermunicipale de l'eau potable Varennes, Sainte-Julie, Saint-Amable</t>
  </si>
  <si>
    <t>Régie intermunicipale d'aqueduc de la vallée de Châteauguay</t>
  </si>
  <si>
    <t>Régie intermunicipale d'aqueduc du Bas-Richelieu</t>
  </si>
  <si>
    <t>Régie intermunicipale d'aqueduc Richelieu-Yamaska</t>
  </si>
  <si>
    <t>Régie intermunicipale d'approvisionnement en eau potable Henryville-Venise</t>
  </si>
  <si>
    <t>Régie intermunicipale d'alimentation en eau potable du Bas-Saint-François</t>
  </si>
  <si>
    <t>Régie d'aqueduc intermunicipale des Moulins</t>
  </si>
  <si>
    <t>Régie intermunicipale de l'eau de la Vallée du Richelieu</t>
  </si>
  <si>
    <t>Régie d'aqueduc de Grand-Pré</t>
  </si>
  <si>
    <t>Régie intermunicipale de l'eau - Tracy - Saint-Joseph - Saint-Roch</t>
  </si>
  <si>
    <t>Régie intermunicipale des eaux Massawippi</t>
  </si>
  <si>
    <t>Régie intermunicipale d'aqueduc et d'égout de Lotbinière-Centre</t>
  </si>
  <si>
    <t>Régie d'assainissement des eaux du bassin de Laprairie</t>
  </si>
  <si>
    <t>Régie intermunicipale d'assainissement du canton de Metgermette</t>
  </si>
  <si>
    <t>Régie intermunicipale d'assainissement des eaux usées de Rougemont/Saint-Césaire</t>
  </si>
  <si>
    <t>Régie d'assainissement des eaux de Richelieu/Saint-Laurent</t>
  </si>
  <si>
    <t>Régie d'assainissement des eaux usées de Boischatel, l'Ange-Gardien, Château-Richer</t>
  </si>
  <si>
    <t>Régie d'assainissement des eaux usées de Piedmont, St-Sauveur et Saint-Sauveur-des-Monts</t>
  </si>
  <si>
    <t>Régie d'assainissement des Coteaux</t>
  </si>
  <si>
    <t>Régie d'assainissement des eaux de la Vallée du Richelieu</t>
  </si>
  <si>
    <t>Régie d'assainissement des eaux Terrebonne-Mascouche</t>
  </si>
  <si>
    <t>Régie intermunicipale d'assainissement des eaux de Sainte-Thérèse et Blainville</t>
  </si>
  <si>
    <t>Régie de traitement des eaux usées de Deux-Montagnes</t>
  </si>
  <si>
    <t>Régie d'assainissement des eaux usées de Chatham/Lachute</t>
  </si>
  <si>
    <t>Régie intermunicipale d'assainissement des eaux usées de Saint-Bruno-de-Montarville et de Saint-Basile-le-Grand</t>
  </si>
  <si>
    <t>Régie intermunicipale d'assainissement des eaux de Rosemère et de Lorraine</t>
  </si>
  <si>
    <t>Régie d'assainissement des eaux Sainte-Madeleine - Sainte-Marie-Madeleine</t>
  </si>
  <si>
    <t>Régie d'assainissement des eaux du Grand Joliette</t>
  </si>
  <si>
    <t>Régie intermunicipale Géant</t>
  </si>
  <si>
    <t>Régie intermunipale des infrastructures portuaires de Trois-Pistoles et Les Escoumins</t>
  </si>
  <si>
    <t>Régie intermunicipale des infrastructures portuaires du lac Témiscouata</t>
  </si>
  <si>
    <t>S.Expl.Cent.traitement eau Chambly-Marieville-Richelieu</t>
  </si>
  <si>
    <t>Code de 
l'organisation</t>
  </si>
  <si>
    <t>DATE DE COMPLÉTION DU FORMULAIRE :</t>
  </si>
  <si>
    <t xml:space="preserve">ANNÉE DU PGA :  </t>
  </si>
  <si>
    <t>En date du :</t>
  </si>
  <si>
    <t xml:space="preserve">Dans le cas où vous ne trouvez pas votre code unique, il est suggéré de vous identifier comme "Autre" dans la sélection de l'onglet "Identification". </t>
  </si>
  <si>
    <t>Source : https://www.donneesquebec.ca/recherche/dataset/repertoire-des-municipalites-du-quebec/resource/19385b4e-5503-4330-9e59-f998f5918363</t>
  </si>
  <si>
    <t xml:space="preserve">&gt;&gt;  Sélectionnez le code unique de la régie et indiquez la ou les municipalités ayant une quote part dans les actifs gérés par la régie en indiquant leur code géographique (les autres informations apparaitront automatiquement). </t>
  </si>
  <si>
    <t>Saguenay-Lac-Saint-Jean (02)</t>
  </si>
  <si>
    <t>Gaspésie-Îles-de-la-Madeleine (11)</t>
  </si>
  <si>
    <t>Note "particularités" dans "portrait" pour les Régies</t>
  </si>
  <si>
    <r>
      <t xml:space="preserve">Quote-part </t>
    </r>
    <r>
      <rPr>
        <sz val="8"/>
        <rFont val="Calibri"/>
        <family val="2"/>
        <scheme val="minor"/>
      </rPr>
      <t xml:space="preserve"> </t>
    </r>
    <r>
      <rPr>
        <sz val="9"/>
        <rFont val="Bahnschrift Light Condensed"/>
        <family val="2"/>
      </rPr>
      <t>(en % de la valeur de remplacement)</t>
    </r>
  </si>
  <si>
    <t>Version 1.3 : Août 2025</t>
  </si>
  <si>
    <t>Version 1.3     © CERIU, 2025</t>
  </si>
  <si>
    <t>Version 1.3    © CERIU, 2025</t>
  </si>
  <si>
    <t xml:space="preserve"> Gestion des 
 niveaux de service</t>
  </si>
  <si>
    <t>des besoins pour le Service des eaux usées</t>
  </si>
  <si>
    <t>des besoins pour le Service des eaux pluviales</t>
  </si>
  <si>
    <r>
      <rPr>
        <sz val="11"/>
        <rFont val="Calibri"/>
        <family val="2"/>
        <scheme val="minor"/>
      </rPr>
      <t>Ce chiffrier qui vous est proposé en est à sa troisième</t>
    </r>
    <r>
      <rPr>
        <u/>
        <sz val="11"/>
        <rFont val="Calibri"/>
        <family val="2"/>
        <scheme val="minor"/>
      </rPr>
      <t xml:space="preserve"> version officielle</t>
    </r>
    <r>
      <rPr>
        <sz val="11"/>
        <rFont val="Calibri"/>
        <family val="2"/>
        <scheme val="minor"/>
      </rPr>
      <t xml:space="preserve">. </t>
    </r>
    <r>
      <rPr>
        <sz val="11"/>
        <color theme="1"/>
        <rFont val="Calibri"/>
        <family val="2"/>
        <scheme val="minor"/>
      </rPr>
      <t xml:space="preserve">
Assurez-vous de travailler avec la version la plus récente du chiffrier. </t>
    </r>
    <r>
      <rPr>
        <b/>
        <sz val="11"/>
        <color theme="1"/>
        <rFont val="Calibri"/>
        <family val="2"/>
        <scheme val="minor"/>
      </rPr>
      <t>Pour être avisé lorsqu'une nouvelle version est disponible</t>
    </r>
    <r>
      <rPr>
        <sz val="11"/>
        <color theme="1"/>
        <rFont val="Calibri"/>
        <family val="2"/>
        <scheme val="minor"/>
      </rPr>
      <t xml:space="preserve">, veuillez remplir ce court formulaire en ligne: </t>
    </r>
  </si>
  <si>
    <r>
      <t>Indiquez le choix de votre organisation concernant la catégorisation de ses actifs en eaux pluviales:</t>
    </r>
    <r>
      <rPr>
        <sz val="10"/>
        <color theme="3" tint="-0.249977111117893"/>
        <rFont val="Webdings"/>
        <family val="1"/>
        <charset val="2"/>
      </rPr>
      <t xml:space="preserve"> 6</t>
    </r>
  </si>
  <si>
    <t>32043</t>
  </si>
  <si>
    <t>25027</t>
  </si>
  <si>
    <t>Courcelles-Saint-Évariste</t>
  </si>
  <si>
    <t>13062</t>
  </si>
  <si>
    <t>88057</t>
  </si>
  <si>
    <t>14082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</si>
</sst>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0\ &quot;$&quot;_);\(#,##0\ &quot;$&quot;\)"/>
    <numFmt numFmtId="6" formatCode="#,##0\ &quot;$&quot;_);[Red]\(#,##0\ &quot;$&quot;\)"/>
    <numFmt numFmtId="43" formatCode="_ * #,##0.00_)_ ;_ * \(#,##0.00\)_ ;_ * &quot;-&quot;??_)_ ;_ @_ "/>
    <numFmt numFmtId="164" formatCode="#,##0\ &quot;$&quot;"/>
    <numFmt numFmtId="165" formatCode="0.0%"/>
    <numFmt numFmtId="166" formatCode="0.0"/>
    <numFmt numFmtId="167" formatCode="General&quot; km&quot;"/>
    <numFmt numFmtId="168" formatCode="General&quot; ouvrages&quot;"/>
    <numFmt numFmtId="169" formatCode="yyyy/mm/dd;@"/>
    <numFmt numFmtId="170" formatCode="0.000"/>
    <numFmt numFmtId="171" formatCode="#,##0.000"/>
    <numFmt numFmtId="172" formatCode="0.0000"/>
  </numFmts>
  <fonts count="368">
    <font>
      <sz val="11"/>
      <color theme="1"/>
      <name val="Calibri"/>
      <family val="2"/>
      <scheme val="minor"/>
    </font>
    <font>
      <b/>
      <sz val="14"/>
      <color theme="0"/>
      <name val="Calibri"/>
      <family val="2"/>
      <scheme val="minor"/>
    </font>
    <font>
      <b/>
      <sz val="12"/>
      <color theme="0"/>
      <name val="Calibri"/>
      <family val="2"/>
      <scheme val="minor"/>
    </font>
    <font>
      <i/>
      <sz val="10"/>
      <color theme="1"/>
      <name val="Calibri"/>
      <family val="2"/>
      <scheme val="minor"/>
    </font>
    <font>
      <sz val="9"/>
      <color theme="1"/>
      <name val="Calibri"/>
      <family val="2"/>
      <scheme val="minor"/>
    </font>
    <font>
      <sz val="10"/>
      <color theme="1"/>
      <name val="Calibri"/>
      <family val="2"/>
      <scheme val="minor"/>
    </font>
    <font>
      <sz val="10"/>
      <name val="Calibri"/>
      <family val="2"/>
      <scheme val="minor"/>
    </font>
    <font>
      <b/>
      <sz val="16"/>
      <color theme="0"/>
      <name val="Calibri"/>
      <family val="2"/>
      <scheme val="minor"/>
    </font>
    <font>
      <sz val="10"/>
      <color rgb="FFFF0000"/>
      <name val="Calibri"/>
      <family val="2"/>
      <scheme val="minor"/>
    </font>
    <font>
      <i/>
      <sz val="11"/>
      <name val="Calibri"/>
      <family val="2"/>
      <scheme val="minor"/>
    </font>
    <font>
      <sz val="11"/>
      <color theme="0"/>
      <name val="Calibri"/>
      <family val="2"/>
      <scheme val="minor"/>
    </font>
    <font>
      <sz val="12"/>
      <color theme="0"/>
      <name val="Calibri"/>
      <family val="2"/>
      <scheme val="minor"/>
    </font>
    <font>
      <sz val="11"/>
      <color theme="4" tint="-0.499984740745262"/>
      <name val="Calibri"/>
      <family val="2"/>
      <scheme val="minor"/>
    </font>
    <font>
      <b/>
      <sz val="14"/>
      <color theme="4" tint="-0.499984740745262"/>
      <name val="Calibri"/>
      <family val="2"/>
      <scheme val="minor"/>
    </font>
    <font>
      <sz val="10"/>
      <color theme="4" tint="-0.499984740745262"/>
      <name val="Calibri"/>
      <family val="2"/>
      <scheme val="minor"/>
    </font>
    <font>
      <sz val="9"/>
      <color theme="4" tint="-0.499984740745262"/>
      <name val="Calibri"/>
      <family val="2"/>
      <scheme val="minor"/>
    </font>
    <font>
      <b/>
      <sz val="10"/>
      <color theme="4" tint="-0.499984740745262"/>
      <name val="Calibri"/>
      <family val="2"/>
      <scheme val="minor"/>
    </font>
    <font>
      <b/>
      <sz val="11"/>
      <color theme="8" tint="-0.499984740745262"/>
      <name val="Calibri"/>
      <family val="2"/>
      <scheme val="minor"/>
    </font>
    <font>
      <sz val="11"/>
      <color theme="8" tint="-0.499984740745262"/>
      <name val="Calibri"/>
      <family val="2"/>
      <scheme val="minor"/>
    </font>
    <font>
      <sz val="10"/>
      <color theme="8" tint="-0.499984740745262"/>
      <name val="Calibri"/>
      <family val="2"/>
      <scheme val="minor"/>
    </font>
    <font>
      <sz val="9"/>
      <color theme="8" tint="-0.499984740745262"/>
      <name val="Calibri"/>
      <family val="2"/>
      <scheme val="minor"/>
    </font>
    <font>
      <b/>
      <sz val="13"/>
      <color theme="0"/>
      <name val="Calibri"/>
      <family val="2"/>
      <scheme val="minor"/>
    </font>
    <font>
      <sz val="10"/>
      <color theme="9" tint="-0.249977111117893"/>
      <name val="Calibri"/>
      <family val="2"/>
      <scheme val="minor"/>
    </font>
    <font>
      <i/>
      <sz val="9"/>
      <color theme="1"/>
      <name val="Calibri"/>
      <family val="2"/>
      <scheme val="minor"/>
    </font>
    <font>
      <sz val="10"/>
      <color rgb="FF002060"/>
      <name val="Calibri"/>
      <family val="2"/>
      <scheme val="minor"/>
    </font>
    <font>
      <b/>
      <sz val="11"/>
      <color rgb="FF002060"/>
      <name val="Calibri"/>
      <family val="2"/>
      <scheme val="minor"/>
    </font>
    <font>
      <sz val="11"/>
      <color rgb="FF002060"/>
      <name val="Calibri"/>
      <family val="2"/>
      <scheme val="minor"/>
    </font>
    <font>
      <b/>
      <sz val="10"/>
      <color rgb="FF002060"/>
      <name val="Calibri"/>
      <family val="2"/>
      <scheme val="minor"/>
    </font>
    <font>
      <b/>
      <sz val="11"/>
      <color theme="0"/>
      <name val="Calibri"/>
      <family val="2"/>
      <scheme val="minor"/>
    </font>
    <font>
      <b/>
      <sz val="11"/>
      <color theme="4" tint="-0.499984740745262"/>
      <name val="Calibri"/>
      <family val="2"/>
      <scheme val="minor"/>
    </font>
    <font>
      <sz val="15"/>
      <name val="Calibri"/>
      <family val="2"/>
      <scheme val="minor"/>
    </font>
    <font>
      <sz val="10"/>
      <color theme="0"/>
      <name val="Calibri"/>
      <family val="2"/>
      <scheme val="minor"/>
    </font>
    <font>
      <b/>
      <sz val="14"/>
      <color theme="8" tint="-0.499984740745262"/>
      <name val="Calibri"/>
      <family val="2"/>
      <scheme val="minor"/>
    </font>
    <font>
      <sz val="9"/>
      <color rgb="FF002060"/>
      <name val="Calibri"/>
      <family val="2"/>
      <scheme val="minor"/>
    </font>
    <font>
      <sz val="11"/>
      <color rgb="FF9C0006"/>
      <name val="Calibri"/>
      <family val="2"/>
      <scheme val="minor"/>
    </font>
    <font>
      <b/>
      <sz val="11"/>
      <color theme="1"/>
      <name val="Calibri"/>
      <family val="2"/>
      <scheme val="minor"/>
    </font>
    <font>
      <b/>
      <sz val="12"/>
      <color theme="1"/>
      <name val="Calibri"/>
      <family val="2"/>
      <scheme val="minor"/>
    </font>
    <font>
      <b/>
      <sz val="10"/>
      <color theme="1"/>
      <name val="Calibri"/>
      <family val="2"/>
      <scheme val="minor"/>
    </font>
    <font>
      <i/>
      <sz val="11"/>
      <color theme="1"/>
      <name val="Calibri"/>
      <family val="2"/>
      <scheme val="minor"/>
    </font>
    <font>
      <b/>
      <sz val="10"/>
      <color rgb="FFFF0000"/>
      <name val="Calibri"/>
      <family val="2"/>
      <scheme val="minor"/>
    </font>
    <font>
      <sz val="8"/>
      <color theme="1"/>
      <name val="Calibri"/>
      <family val="2"/>
      <scheme val="minor"/>
    </font>
    <font>
      <b/>
      <sz val="8"/>
      <color theme="1"/>
      <name val="Calibri"/>
      <family val="2"/>
      <scheme val="minor"/>
    </font>
    <font>
      <b/>
      <sz val="14"/>
      <color rgb="FFC00000"/>
      <name val="Calibri"/>
      <family val="2"/>
      <scheme val="minor"/>
    </font>
    <font>
      <i/>
      <sz val="10"/>
      <name val="Calibri"/>
      <family val="2"/>
      <scheme val="minor"/>
    </font>
    <font>
      <sz val="11"/>
      <name val="Calibri"/>
      <family val="2"/>
      <scheme val="minor"/>
    </font>
    <font>
      <sz val="11"/>
      <color theme="5"/>
      <name val="Calibri"/>
      <family val="2"/>
      <scheme val="minor"/>
    </font>
    <font>
      <sz val="9"/>
      <color rgb="FF002060"/>
      <name val="Calibri Light"/>
      <family val="2"/>
      <scheme val="major"/>
    </font>
    <font>
      <b/>
      <sz val="9"/>
      <color theme="8" tint="-0.499984740745262"/>
      <name val="Calibri"/>
      <family val="2"/>
      <scheme val="minor"/>
    </font>
    <font>
      <b/>
      <sz val="9"/>
      <color theme="4" tint="-0.499984740745262"/>
      <name val="Calibri"/>
      <family val="2"/>
      <scheme val="minor"/>
    </font>
    <font>
      <sz val="9"/>
      <color theme="1" tint="0.499984740745262"/>
      <name val="Calibri"/>
      <family val="2"/>
      <scheme val="minor"/>
    </font>
    <font>
      <sz val="8"/>
      <color theme="1" tint="0.499984740745262"/>
      <name val="Calibri"/>
      <family val="2"/>
      <scheme val="minor"/>
    </font>
    <font>
      <sz val="9"/>
      <color theme="1"/>
      <name val="Calibri Light"/>
      <family val="2"/>
      <scheme val="major"/>
    </font>
    <font>
      <sz val="12"/>
      <color theme="9" tint="-0.249977111117893"/>
      <name val="Wingdings 3"/>
      <family val="1"/>
      <charset val="2"/>
    </font>
    <font>
      <sz val="9"/>
      <color theme="8" tint="-0.499984740745262"/>
      <name val="Calibri Light"/>
      <family val="2"/>
      <scheme val="major"/>
    </font>
    <font>
      <sz val="14"/>
      <color theme="1"/>
      <name val="Calibri"/>
      <family val="2"/>
      <scheme val="minor"/>
    </font>
    <font>
      <sz val="16"/>
      <color theme="0"/>
      <name val="Calibri"/>
      <family val="2"/>
      <scheme val="minor"/>
    </font>
    <font>
      <sz val="16"/>
      <color theme="1"/>
      <name val="Calibri"/>
      <family val="2"/>
      <scheme val="minor"/>
    </font>
    <font>
      <sz val="12"/>
      <color theme="4" tint="-0.499984740745262"/>
      <name val="Calibri"/>
      <family val="2"/>
      <scheme val="minor"/>
    </font>
    <font>
      <sz val="9"/>
      <color rgb="FFFF0000"/>
      <name val="Calibri"/>
      <family val="2"/>
      <scheme val="minor"/>
    </font>
    <font>
      <u/>
      <sz val="10"/>
      <color rgb="FFFF0000"/>
      <name val="Calibri"/>
      <family val="2"/>
      <scheme val="minor"/>
    </font>
    <font>
      <i/>
      <sz val="9"/>
      <color theme="4" tint="-0.499984740745262"/>
      <name val="Calibri"/>
      <family val="2"/>
      <scheme val="minor"/>
    </font>
    <font>
      <sz val="11"/>
      <color rgb="FFFF0000"/>
      <name val="Calibri"/>
      <family val="2"/>
      <scheme val="minor"/>
    </font>
    <font>
      <sz val="10"/>
      <color rgb="FF9C0006"/>
      <name val="Calibri"/>
      <family val="2"/>
      <scheme val="minor"/>
    </font>
    <font>
      <i/>
      <u/>
      <sz val="9"/>
      <color rgb="FF0070C0"/>
      <name val="Calibri"/>
      <family val="2"/>
      <scheme val="minor"/>
    </font>
    <font>
      <i/>
      <sz val="10"/>
      <color rgb="FFFF0000"/>
      <name val="Calibri"/>
      <family val="2"/>
      <scheme val="minor"/>
    </font>
    <font>
      <sz val="10"/>
      <color theme="1"/>
      <name val="Webdings"/>
      <family val="1"/>
      <charset val="2"/>
    </font>
    <font>
      <sz val="11"/>
      <color theme="1"/>
      <name val="Webdings"/>
      <family val="1"/>
      <charset val="2"/>
    </font>
    <font>
      <sz val="9"/>
      <color theme="1"/>
      <name val="Webdings"/>
      <family val="1"/>
      <charset val="2"/>
    </font>
    <font>
      <b/>
      <sz val="10"/>
      <color theme="1"/>
      <name val="Webdings"/>
      <family val="1"/>
      <charset val="2"/>
    </font>
    <font>
      <b/>
      <sz val="9"/>
      <color rgb="FFFF0000"/>
      <name val="Calibri"/>
      <family val="2"/>
      <scheme val="minor"/>
    </font>
    <font>
      <sz val="10"/>
      <color theme="4" tint="-0.499984740745262"/>
      <name val="Bahnschrift Light Condensed"/>
      <family val="2"/>
    </font>
    <font>
      <sz val="16"/>
      <color theme="4" tint="-0.499984740745262"/>
      <name val="Calibri"/>
      <family val="2"/>
      <scheme val="minor"/>
    </font>
    <font>
      <b/>
      <sz val="14"/>
      <color theme="1"/>
      <name val="Calibri"/>
      <family val="2"/>
      <scheme val="minor"/>
    </font>
    <font>
      <b/>
      <sz val="18"/>
      <color theme="0"/>
      <name val="Calibri"/>
      <family val="2"/>
      <scheme val="minor"/>
    </font>
    <font>
      <sz val="10"/>
      <color theme="4" tint="-0.499984740745262"/>
      <name val="Bahnschrift Light SemiCondensed"/>
      <family val="2"/>
    </font>
    <font>
      <sz val="10"/>
      <color theme="1"/>
      <name val="Bahnschrift Light SemiCondensed"/>
      <family val="2"/>
    </font>
    <font>
      <sz val="11"/>
      <color theme="1"/>
      <name val="Bahnschrift Light SemiCondensed"/>
      <family val="2"/>
    </font>
    <font>
      <i/>
      <sz val="11"/>
      <color theme="1" tint="0.499984740745262"/>
      <name val="Calibri"/>
      <family val="2"/>
      <scheme val="minor"/>
    </font>
    <font>
      <i/>
      <sz val="10"/>
      <color theme="1" tint="0.499984740745262"/>
      <name val="Calibri"/>
      <family val="2"/>
      <scheme val="minor"/>
    </font>
    <font>
      <sz val="9"/>
      <color theme="4" tint="-0.499984740745262"/>
      <name val="Bahnschrift Light SemiCondensed"/>
      <family val="2"/>
    </font>
    <font>
      <sz val="11"/>
      <color theme="4" tint="-0.499984740745262"/>
      <name val="Bahnschrift Light SemiCondensed"/>
      <family val="2"/>
    </font>
    <font>
      <b/>
      <sz val="11"/>
      <color rgb="FF002060"/>
      <name val="Bahnschrift Light SemiCondensed"/>
      <family val="2"/>
    </font>
    <font>
      <sz val="11"/>
      <color rgb="FF002060"/>
      <name val="Bahnschrift Light SemiCondensed"/>
      <family val="2"/>
    </font>
    <font>
      <sz val="10"/>
      <color rgb="FF002060"/>
      <name val="Bahnschrift Light SemiCondensed"/>
      <family val="2"/>
    </font>
    <font>
      <b/>
      <sz val="11"/>
      <color theme="8" tint="-0.499984740745262"/>
      <name val="Bahnschrift Light SemiCondensed"/>
      <family val="2"/>
    </font>
    <font>
      <sz val="11"/>
      <color rgb="FF006100"/>
      <name val="Calibri"/>
      <family val="2"/>
      <scheme val="minor"/>
    </font>
    <font>
      <sz val="11"/>
      <color theme="8" tint="-0.499984740745262"/>
      <name val="Bahnschrift Light SemiCondensed"/>
      <family val="2"/>
    </font>
    <font>
      <sz val="10"/>
      <color theme="8" tint="-0.499984740745262"/>
      <name val="Bahnschrift Light SemiCondensed"/>
      <family val="2"/>
    </font>
    <font>
      <sz val="10"/>
      <name val="Webdings"/>
      <family val="1"/>
      <charset val="2"/>
    </font>
    <font>
      <sz val="10"/>
      <color rgb="FF006100"/>
      <name val="Calibri"/>
      <family val="2"/>
      <scheme val="minor"/>
    </font>
    <font>
      <i/>
      <u/>
      <sz val="11"/>
      <color rgb="FF0070C0"/>
      <name val="Calibri"/>
      <family val="2"/>
      <scheme val="minor"/>
    </font>
    <font>
      <b/>
      <sz val="10"/>
      <color rgb="FFFF0000"/>
      <name val="Webdings"/>
      <family val="1"/>
      <charset val="2"/>
    </font>
    <font>
      <b/>
      <sz val="11"/>
      <color rgb="FFFF0000"/>
      <name val="Calibri"/>
      <family val="2"/>
      <scheme val="minor"/>
    </font>
    <font>
      <b/>
      <sz val="9"/>
      <name val="Calibri"/>
      <family val="2"/>
      <scheme val="minor"/>
    </font>
    <font>
      <b/>
      <sz val="10"/>
      <name val="Calibri"/>
      <family val="2"/>
      <scheme val="minor"/>
    </font>
    <font>
      <i/>
      <sz val="9"/>
      <name val="Calibri"/>
      <family val="2"/>
      <scheme val="minor"/>
    </font>
    <font>
      <sz val="12"/>
      <color theme="1"/>
      <name val="Calibri"/>
      <family val="2"/>
      <scheme val="minor"/>
    </font>
    <font>
      <sz val="13"/>
      <color theme="8" tint="-0.499984740745262"/>
      <name val="Bahnschrift Light SemiCondensed"/>
      <family val="2"/>
    </font>
    <font>
      <sz val="12"/>
      <color theme="8" tint="-0.499984740745262"/>
      <name val="Bahnschrift Light SemiCondensed"/>
      <family val="2"/>
    </font>
    <font>
      <sz val="14"/>
      <color theme="8" tint="-0.499984740745262"/>
      <name val="Bahnschrift Light SemiCondensed"/>
      <family val="2"/>
    </font>
    <font>
      <sz val="8"/>
      <color theme="1"/>
      <name val="Bahnschrift Light SemiCondensed"/>
      <family val="2"/>
    </font>
    <font>
      <sz val="9"/>
      <color theme="1" tint="0.499984740745262"/>
      <name val="Bahnschrift Light SemiCondensed"/>
      <family val="2"/>
    </font>
    <font>
      <sz val="8"/>
      <color theme="1" tint="0.499984740745262"/>
      <name val="Bahnschrift Light SemiCondensed"/>
      <family val="2"/>
    </font>
    <font>
      <i/>
      <sz val="9"/>
      <color theme="1"/>
      <name val="Bahnschrift Light SemiCondensed"/>
      <family val="2"/>
    </font>
    <font>
      <sz val="12"/>
      <color theme="4"/>
      <name val="Wingdings 3"/>
      <family val="1"/>
      <charset val="2"/>
    </font>
    <font>
      <sz val="10"/>
      <color theme="4"/>
      <name val="Calibri"/>
      <family val="2"/>
      <scheme val="minor"/>
    </font>
    <font>
      <sz val="14"/>
      <name val="Webdings"/>
      <family val="1"/>
      <charset val="2"/>
    </font>
    <font>
      <i/>
      <sz val="9"/>
      <color rgb="FFFF0000"/>
      <name val="Calibri"/>
      <family val="2"/>
      <scheme val="minor"/>
    </font>
    <font>
      <u/>
      <sz val="11"/>
      <color theme="1"/>
      <name val="Calibri"/>
      <family val="2"/>
      <scheme val="minor"/>
    </font>
    <font>
      <i/>
      <sz val="11"/>
      <color theme="0"/>
      <name val="Calibri"/>
      <family val="2"/>
      <scheme val="minor"/>
    </font>
    <font>
      <sz val="8"/>
      <name val="Calibri"/>
      <family val="2"/>
      <scheme val="minor"/>
    </font>
    <font>
      <u/>
      <sz val="11"/>
      <name val="Calibri"/>
      <family val="2"/>
      <scheme val="minor"/>
    </font>
    <font>
      <sz val="10"/>
      <name val="Wingdings 3"/>
      <family val="1"/>
      <charset val="2"/>
    </font>
    <font>
      <sz val="9"/>
      <name val="Wingdings 3"/>
      <family val="1"/>
      <charset val="2"/>
    </font>
    <font>
      <sz val="9"/>
      <color rgb="FF006100"/>
      <name val="Wingdings 3"/>
      <family val="1"/>
      <charset val="2"/>
    </font>
    <font>
      <b/>
      <sz val="16"/>
      <color rgb="FFC00000"/>
      <name val="Calibri"/>
      <family val="2"/>
      <scheme val="minor"/>
    </font>
    <font>
      <sz val="14"/>
      <color theme="1"/>
      <name val="Wingdings 3"/>
      <family val="1"/>
      <charset val="2"/>
    </font>
    <font>
      <sz val="11"/>
      <name val="Wingdings"/>
      <charset val="2"/>
    </font>
    <font>
      <sz val="10"/>
      <name val="Bahnschrift Light SemiCondensed"/>
      <family val="2"/>
    </font>
    <font>
      <sz val="12"/>
      <name val="Wingdings"/>
      <charset val="2"/>
    </font>
    <font>
      <sz val="10"/>
      <color theme="1"/>
      <name val="Bahnschrift SemiLight SemiConde"/>
      <family val="2"/>
    </font>
    <font>
      <i/>
      <u/>
      <sz val="11"/>
      <color theme="8" tint="-0.249977111117893"/>
      <name val="Calibri"/>
      <family val="2"/>
      <scheme val="minor"/>
    </font>
    <font>
      <u/>
      <sz val="11"/>
      <color theme="10"/>
      <name val="Calibri"/>
      <family val="2"/>
      <scheme val="minor"/>
    </font>
    <font>
      <sz val="9"/>
      <name val="Calibri"/>
      <family val="2"/>
      <scheme val="minor"/>
    </font>
    <font>
      <i/>
      <u/>
      <sz val="9"/>
      <color theme="10"/>
      <name val="Calibri"/>
      <family val="2"/>
      <scheme val="minor"/>
    </font>
    <font>
      <b/>
      <sz val="10"/>
      <color theme="8" tint="-0.499984740745262"/>
      <name val="Calibri"/>
      <family val="2"/>
      <scheme val="minor"/>
    </font>
    <font>
      <u/>
      <sz val="12"/>
      <color theme="1"/>
      <name val="Calibri"/>
      <family val="2"/>
      <scheme val="minor"/>
    </font>
    <font>
      <sz val="11"/>
      <color theme="1"/>
      <name val="Bahnschrift SemiLight SemiConde"/>
      <family val="2"/>
    </font>
    <font>
      <b/>
      <sz val="12"/>
      <color theme="4" tint="-0.499984740745262"/>
      <name val="Wingdings 2"/>
      <family val="1"/>
      <charset val="2"/>
    </font>
    <font>
      <b/>
      <sz val="12"/>
      <color theme="1"/>
      <name val="Wingdings 2"/>
      <family val="1"/>
      <charset val="2"/>
    </font>
    <font>
      <sz val="16"/>
      <color theme="4" tint="-0.499984740745262"/>
      <name val="Webdings"/>
      <family val="1"/>
      <charset val="2"/>
    </font>
    <font>
      <sz val="14"/>
      <color theme="4" tint="-0.499984740745262"/>
      <name val="Wingdings 3"/>
      <family val="1"/>
      <charset val="2"/>
    </font>
    <font>
      <sz val="11"/>
      <color theme="5" tint="-0.249977111117893"/>
      <name val="Calibri"/>
      <family val="2"/>
      <scheme val="minor"/>
    </font>
    <font>
      <b/>
      <sz val="12"/>
      <color rgb="FFFF0000"/>
      <name val="Calibri"/>
      <family val="2"/>
      <scheme val="minor"/>
    </font>
    <font>
      <b/>
      <sz val="14"/>
      <color rgb="FFFF0000"/>
      <name val="Calibri"/>
      <family val="2"/>
      <scheme val="minor"/>
    </font>
    <font>
      <b/>
      <sz val="12"/>
      <color theme="8" tint="-0.499984740745262"/>
      <name val="Calibri"/>
      <family val="2"/>
      <scheme val="minor"/>
    </font>
    <font>
      <b/>
      <u/>
      <sz val="11"/>
      <color theme="1"/>
      <name val="Calibri"/>
      <family val="2"/>
      <scheme val="minor"/>
    </font>
    <font>
      <b/>
      <sz val="11"/>
      <color theme="0"/>
      <name val="Bahnschrift Light SemiCondensed"/>
      <family val="2"/>
    </font>
    <font>
      <b/>
      <sz val="20"/>
      <color theme="0"/>
      <name val="Calibri"/>
      <family val="2"/>
      <scheme val="minor"/>
    </font>
    <font>
      <sz val="9"/>
      <color theme="1"/>
      <name val="Calibri Light"/>
      <family val="2"/>
    </font>
    <font>
      <sz val="9"/>
      <name val="Calibri Light"/>
      <family val="2"/>
    </font>
    <font>
      <sz val="9"/>
      <name val="Calibri Light"/>
      <family val="2"/>
      <scheme val="major"/>
    </font>
    <font>
      <b/>
      <sz val="11"/>
      <name val="Bahnschrift Light SemiCondensed"/>
      <family val="2"/>
    </font>
    <font>
      <b/>
      <sz val="14"/>
      <name val="Bahnschrift Light SemiCondensed"/>
      <family val="2"/>
    </font>
    <font>
      <sz val="11"/>
      <name val="Bahnschrift Light SemiCondensed"/>
      <family val="2"/>
    </font>
    <font>
      <b/>
      <sz val="11"/>
      <name val="Calibri"/>
      <family val="2"/>
      <scheme val="minor"/>
    </font>
    <font>
      <b/>
      <sz val="14"/>
      <color theme="5"/>
      <name val="Calibri"/>
      <family val="2"/>
      <scheme val="minor"/>
    </font>
    <font>
      <b/>
      <sz val="10"/>
      <color theme="0"/>
      <name val="Calibri"/>
      <family val="2"/>
      <scheme val="minor"/>
    </font>
    <font>
      <b/>
      <sz val="8"/>
      <color theme="0"/>
      <name val="Calibri"/>
      <family val="2"/>
      <scheme val="minor"/>
    </font>
    <font>
      <i/>
      <sz val="11"/>
      <color theme="9"/>
      <name val="Calibri"/>
      <family val="2"/>
      <scheme val="minor"/>
    </font>
    <font>
      <i/>
      <sz val="11"/>
      <name val="Webdings"/>
      <family val="1"/>
      <charset val="2"/>
    </font>
    <font>
      <sz val="11"/>
      <color theme="9"/>
      <name val="Calibri"/>
      <family val="2"/>
      <scheme val="minor"/>
    </font>
    <font>
      <b/>
      <sz val="14"/>
      <name val="Calibri"/>
      <family val="2"/>
      <scheme val="minor"/>
    </font>
    <font>
      <sz val="14"/>
      <color theme="0"/>
      <name val="Calibri"/>
      <family val="2"/>
      <scheme val="minor"/>
    </font>
    <font>
      <sz val="18"/>
      <color theme="0"/>
      <name val="Calibri"/>
      <family val="2"/>
      <scheme val="minor"/>
    </font>
    <font>
      <b/>
      <sz val="18"/>
      <color theme="3" tint="-0.249977111117893"/>
      <name val="Calibri"/>
      <family val="2"/>
      <scheme val="minor"/>
    </font>
    <font>
      <b/>
      <sz val="24"/>
      <color theme="3" tint="-0.249977111117893"/>
      <name val="Calibri"/>
      <family val="2"/>
      <scheme val="minor"/>
    </font>
    <font>
      <b/>
      <u/>
      <sz val="12"/>
      <color theme="1"/>
      <name val="Calibri"/>
      <family val="2"/>
      <scheme val="minor"/>
    </font>
    <font>
      <b/>
      <sz val="11"/>
      <color theme="7" tint="-0.499984740745262"/>
      <name val="Calibri"/>
      <family val="2"/>
      <scheme val="minor"/>
    </font>
    <font>
      <sz val="10.5"/>
      <name val="Calibri"/>
      <family val="2"/>
      <scheme val="minor"/>
    </font>
    <font>
      <sz val="10.5"/>
      <color theme="1"/>
      <name val="Calibri"/>
      <family val="2"/>
      <scheme val="minor"/>
    </font>
    <font>
      <i/>
      <sz val="10.5"/>
      <color theme="1"/>
      <name val="Calibri"/>
      <family val="2"/>
      <scheme val="minor"/>
    </font>
    <font>
      <b/>
      <i/>
      <sz val="11"/>
      <name val="Calibri"/>
      <family val="2"/>
      <scheme val="minor"/>
    </font>
    <font>
      <sz val="10.5"/>
      <name val="Calibri Light"/>
      <family val="2"/>
      <scheme val="major"/>
    </font>
    <font>
      <sz val="10.5"/>
      <color theme="1"/>
      <name val="Webdings"/>
      <family val="1"/>
      <charset val="2"/>
    </font>
    <font>
      <i/>
      <u/>
      <sz val="11"/>
      <name val="Calibri"/>
      <family val="2"/>
      <scheme val="minor"/>
    </font>
    <font>
      <b/>
      <sz val="12"/>
      <color rgb="FF002060"/>
      <name val="Calibri"/>
      <family val="2"/>
      <scheme val="minor"/>
    </font>
    <font>
      <sz val="11"/>
      <color theme="1"/>
      <name val="Calibri"/>
      <family val="2"/>
    </font>
    <font>
      <sz val="18"/>
      <color theme="1"/>
      <name val="Calibri"/>
      <family val="2"/>
      <scheme val="minor"/>
    </font>
    <font>
      <b/>
      <sz val="18"/>
      <color theme="1"/>
      <name val="Calibri"/>
      <family val="2"/>
      <scheme val="minor"/>
    </font>
    <font>
      <b/>
      <sz val="12"/>
      <name val="Calibri"/>
      <family val="2"/>
      <scheme val="minor"/>
    </font>
    <font>
      <sz val="11"/>
      <name val="Bahnschrift SemiLight SemiConde"/>
      <family val="2"/>
    </font>
    <font>
      <i/>
      <sz val="10"/>
      <color rgb="FF00B0F0"/>
      <name val="Calibri"/>
      <family val="2"/>
      <scheme val="minor"/>
    </font>
    <font>
      <b/>
      <sz val="14"/>
      <color rgb="FFFFC000"/>
      <name val="Calibri"/>
      <family val="2"/>
      <scheme val="minor"/>
    </font>
    <font>
      <sz val="16"/>
      <color theme="8" tint="-0.499984740745262"/>
      <name val="Bahnschrift Light SemiCondensed"/>
      <family val="2"/>
    </font>
    <font>
      <sz val="12"/>
      <color rgb="FF002060"/>
      <name val="Bahnschrift Light SemiCondensed"/>
      <family val="2"/>
    </font>
    <font>
      <sz val="18"/>
      <color rgb="FFB7C2D1"/>
      <name val="Wingdings"/>
      <charset val="2"/>
    </font>
    <font>
      <sz val="18"/>
      <color theme="3" tint="0.39997558519241921"/>
      <name val="Wingdings"/>
      <charset val="2"/>
    </font>
    <font>
      <sz val="18"/>
      <color theme="4" tint="0.39997558519241921"/>
      <name val="Wingdings"/>
      <charset val="2"/>
    </font>
    <font>
      <sz val="18"/>
      <color theme="4"/>
      <name val="Wingdings"/>
      <charset val="2"/>
    </font>
    <font>
      <sz val="18"/>
      <color theme="8" tint="-0.249977111117893"/>
      <name val="Wingdings"/>
      <charset val="2"/>
    </font>
    <font>
      <sz val="18"/>
      <color theme="3" tint="-0.249977111117893"/>
      <name val="Wingdings"/>
      <charset val="2"/>
    </font>
    <font>
      <b/>
      <u/>
      <sz val="24"/>
      <color theme="3" tint="-0.249977111117893"/>
      <name val="Calibri"/>
      <family val="2"/>
      <scheme val="minor"/>
    </font>
    <font>
      <sz val="10"/>
      <color theme="0"/>
      <name val="Bahnschrift Light SemiCondensed"/>
      <family val="2"/>
    </font>
    <font>
      <sz val="11"/>
      <color theme="0"/>
      <name val="Bahnschrift Light SemiCondensed"/>
      <family val="2"/>
    </font>
    <font>
      <sz val="9.5"/>
      <color theme="0"/>
      <name val="Bahnschrift Light SemiCondensed"/>
      <family val="2"/>
    </font>
    <font>
      <b/>
      <sz val="10.5"/>
      <color theme="8" tint="-0.499984740745262"/>
      <name val="Bahnschrift Light SemiCondensed"/>
      <family val="2"/>
    </font>
    <font>
      <sz val="10.5"/>
      <color theme="8" tint="-0.499984740745262"/>
      <name val="Bahnschrift Light SemiCondensed"/>
      <family val="2"/>
    </font>
    <font>
      <i/>
      <sz val="8"/>
      <color theme="4" tint="-0.499984740745262"/>
      <name val="Bahnschrift Light SemiCondensed"/>
      <family val="2"/>
    </font>
    <font>
      <i/>
      <sz val="10"/>
      <color theme="0"/>
      <name val="Calibri"/>
      <family val="2"/>
      <scheme val="minor"/>
    </font>
    <font>
      <u/>
      <sz val="16"/>
      <color theme="1"/>
      <name val="Calibri"/>
      <family val="2"/>
      <scheme val="minor"/>
    </font>
    <font>
      <i/>
      <sz val="9"/>
      <color theme="1" tint="0.499984740745262"/>
      <name val="Calibri"/>
      <family val="2"/>
      <scheme val="minor"/>
    </font>
    <font>
      <sz val="18"/>
      <color rgb="FF00B0F0"/>
      <name val="Wingdings"/>
      <charset val="2"/>
    </font>
    <font>
      <sz val="18"/>
      <color theme="5"/>
      <name val="Wingdings"/>
      <charset val="2"/>
    </font>
    <font>
      <sz val="18"/>
      <color theme="7" tint="-0.499984740745262"/>
      <name val="Wingdings"/>
      <charset val="2"/>
    </font>
    <font>
      <sz val="18"/>
      <color theme="7"/>
      <name val="Wingdings"/>
      <charset val="2"/>
    </font>
    <font>
      <b/>
      <i/>
      <sz val="10"/>
      <color theme="1" tint="0.499984740745262"/>
      <name val="Calibri"/>
      <family val="2"/>
      <scheme val="minor"/>
    </font>
    <font>
      <sz val="14"/>
      <name val="Calibri"/>
      <family val="2"/>
      <scheme val="minor"/>
    </font>
    <font>
      <sz val="18"/>
      <color rgb="FF0070C0"/>
      <name val="Wingdings"/>
      <charset val="2"/>
    </font>
    <font>
      <sz val="9.5"/>
      <color theme="4" tint="-0.499984740745262"/>
      <name val="Bahnschrift Light SemiCondensed"/>
      <family val="2"/>
    </font>
    <font>
      <sz val="9.5"/>
      <color theme="1"/>
      <name val="Bahnschrift Light SemiCondensed"/>
      <family val="2"/>
    </font>
    <font>
      <sz val="9.5"/>
      <color theme="8" tint="-0.499984740745262"/>
      <name val="Bahnschrift Light SemiCondensed"/>
      <family val="2"/>
    </font>
    <font>
      <b/>
      <sz val="8.5"/>
      <color theme="4" tint="-0.499984740745262"/>
      <name val="Calibri"/>
      <family val="2"/>
      <scheme val="minor"/>
    </font>
    <font>
      <b/>
      <sz val="8.5"/>
      <color theme="8" tint="-0.499984740745262"/>
      <name val="Calibri"/>
      <family val="2"/>
      <scheme val="minor"/>
    </font>
    <font>
      <b/>
      <sz val="9"/>
      <color theme="0"/>
      <name val="Calibri"/>
      <family val="2"/>
      <scheme val="minor"/>
    </font>
    <font>
      <sz val="8"/>
      <color rgb="FF002060"/>
      <name val="Bahnschrift Light SemiCondensed"/>
      <family val="2"/>
    </font>
    <font>
      <sz val="12"/>
      <name val="Calibri"/>
      <family val="2"/>
      <scheme val="minor"/>
    </font>
    <font>
      <sz val="12"/>
      <color rgb="FF002060"/>
      <name val="Calibri"/>
      <family val="2"/>
      <scheme val="minor"/>
    </font>
    <font>
      <b/>
      <sz val="10"/>
      <color theme="8" tint="-0.499984740745262"/>
      <name val="Bahnschrift Light SemiCondensed"/>
      <family val="2"/>
    </font>
    <font>
      <b/>
      <sz val="11"/>
      <color rgb="FFF19D05"/>
      <name val="Calibri"/>
      <family val="2"/>
      <scheme val="minor"/>
    </font>
    <font>
      <sz val="12"/>
      <color theme="3" tint="-0.499984740745262"/>
      <name val="Bahnschrift Light SemiCondensed"/>
      <family val="2"/>
    </font>
    <font>
      <sz val="12"/>
      <color rgb="FF7CAFDE"/>
      <name val="Wingdings"/>
      <charset val="2"/>
    </font>
    <font>
      <sz val="9"/>
      <color theme="5"/>
      <name val="Calibri"/>
      <family val="2"/>
      <scheme val="minor"/>
    </font>
    <font>
      <sz val="12"/>
      <color rgb="FFDEC98E"/>
      <name val="Wingdings"/>
      <charset val="2"/>
    </font>
    <font>
      <sz val="12"/>
      <color theme="9" tint="0.59999389629810485"/>
      <name val="Wingdings"/>
      <charset val="2"/>
    </font>
    <font>
      <sz val="14"/>
      <color theme="3" tint="-0.499984740745262"/>
      <name val="Bahnschrift Light SemiCondensed"/>
      <family val="2"/>
    </font>
    <font>
      <sz val="9"/>
      <color rgb="FFC00000"/>
      <name val="Calibri"/>
      <family val="2"/>
      <scheme val="minor"/>
    </font>
    <font>
      <b/>
      <sz val="12"/>
      <color theme="0"/>
      <name val="Bahnschrift SemiLight Condensed"/>
      <family val="2"/>
    </font>
    <font>
      <sz val="15"/>
      <color theme="4" tint="-0.499984740745262"/>
      <name val="Calibri"/>
      <family val="2"/>
      <scheme val="minor"/>
    </font>
    <font>
      <i/>
      <sz val="9"/>
      <color rgb="FF050607"/>
      <name val="Bahnschrift Light"/>
      <family val="2"/>
    </font>
    <font>
      <b/>
      <sz val="16"/>
      <color theme="3" tint="-0.499984740745262"/>
      <name val="Wingdings 2"/>
      <family val="1"/>
      <charset val="2"/>
    </font>
    <font>
      <b/>
      <sz val="12"/>
      <color theme="4" tint="-0.499984740745262"/>
      <name val="Calibri"/>
      <family val="2"/>
      <scheme val="minor"/>
    </font>
    <font>
      <b/>
      <sz val="12"/>
      <color theme="4" tint="-0.499984740745262"/>
      <name val="Bahnschrift Light SemiCondensed"/>
      <family val="2"/>
    </font>
    <font>
      <b/>
      <sz val="9.5"/>
      <color theme="4" tint="-0.499984740745262"/>
      <name val="Bahnschrift Light SemiCondensed"/>
      <family val="2"/>
    </font>
    <font>
      <sz val="10.5"/>
      <color theme="0"/>
      <name val="Bahnschrift Light SemiCondensed"/>
      <family val="2"/>
    </font>
    <font>
      <sz val="9"/>
      <color theme="0"/>
      <name val="Bahnschrift Light SemiCondensed"/>
      <family val="2"/>
    </font>
    <font>
      <sz val="22"/>
      <color theme="1"/>
      <name val="Calibri"/>
      <family val="2"/>
      <scheme val="minor"/>
    </font>
    <font>
      <sz val="12"/>
      <color theme="5" tint="-0.249977111117893"/>
      <name val="Wingdings"/>
      <charset val="2"/>
    </font>
    <font>
      <sz val="12"/>
      <color theme="7"/>
      <name val="Wingdings"/>
      <charset val="2"/>
    </font>
    <font>
      <i/>
      <sz val="11"/>
      <color rgb="FFFF0000"/>
      <name val="Calibri"/>
      <family val="2"/>
      <scheme val="minor"/>
    </font>
    <font>
      <b/>
      <sz val="12"/>
      <color theme="0"/>
      <name val="Bahnschrift Light SemiCondensed"/>
      <family val="2"/>
    </font>
    <font>
      <sz val="12"/>
      <color theme="0"/>
      <name val="Bahnschrift Light SemiCondensed"/>
      <family val="2"/>
    </font>
    <font>
      <i/>
      <sz val="10"/>
      <color theme="5"/>
      <name val="Calibri"/>
      <family val="2"/>
      <scheme val="minor"/>
    </font>
    <font>
      <sz val="11"/>
      <color theme="7" tint="-0.249977111117893"/>
      <name val="Calibri"/>
      <family val="2"/>
      <scheme val="minor"/>
    </font>
    <font>
      <sz val="12"/>
      <color rgb="FFEEB500"/>
      <name val="Wingdings"/>
      <charset val="2"/>
    </font>
    <font>
      <sz val="12"/>
      <color rgb="FF24988A"/>
      <name val="Wingdings"/>
      <charset val="2"/>
    </font>
    <font>
      <sz val="12"/>
      <color rgb="FF3484CC"/>
      <name val="Wingdings"/>
      <charset val="2"/>
    </font>
    <font>
      <sz val="12"/>
      <color rgb="FF967200"/>
      <name val="Wingdings"/>
      <charset val="2"/>
    </font>
    <font>
      <sz val="12"/>
      <color rgb="FFBDD7EE"/>
      <name val="Wingdings"/>
      <charset val="2"/>
    </font>
    <font>
      <sz val="12"/>
      <color theme="8" tint="-0.249977111117893"/>
      <name val="Wingdings"/>
      <charset val="2"/>
    </font>
    <font>
      <sz val="14"/>
      <color rgb="FF7CAFDE"/>
      <name val="Wingdings"/>
      <charset val="2"/>
    </font>
    <font>
      <sz val="14"/>
      <color theme="4" tint="-0.249977111117893"/>
      <name val="Wingdings"/>
      <charset val="2"/>
    </font>
    <font>
      <sz val="14"/>
      <color theme="4" tint="0.59999389629810485"/>
      <name val="Wingdings"/>
      <charset val="2"/>
    </font>
    <font>
      <sz val="14"/>
      <color rgb="FFDEC98E"/>
      <name val="Wingdings"/>
      <charset val="2"/>
    </font>
    <font>
      <sz val="16"/>
      <color theme="9"/>
      <name val="Wingdings"/>
      <charset val="2"/>
    </font>
    <font>
      <sz val="16"/>
      <color theme="9" tint="0.59999389629810485"/>
      <name val="Wingdings"/>
      <charset val="2"/>
    </font>
    <font>
      <sz val="16"/>
      <color theme="3" tint="0.39997558519241921"/>
      <name val="Wingdings"/>
      <charset val="2"/>
    </font>
    <font>
      <sz val="16"/>
      <color rgb="FFFF8181"/>
      <name val="Wingdings"/>
      <charset val="2"/>
    </font>
    <font>
      <sz val="16"/>
      <color rgb="FFFFCCCC"/>
      <name val="Wingdings"/>
      <charset val="2"/>
    </font>
    <font>
      <sz val="14"/>
      <color rgb="FF8FAADC"/>
      <name val="Wingdings"/>
      <charset val="2"/>
    </font>
    <font>
      <b/>
      <sz val="12"/>
      <color theme="3" tint="-0.249977111117893"/>
      <name val="Calibri"/>
      <family val="2"/>
      <scheme val="minor"/>
    </font>
    <font>
      <sz val="11"/>
      <color theme="3" tint="-0.249977111117893"/>
      <name val="Calibri"/>
      <family val="2"/>
      <scheme val="minor"/>
    </font>
    <font>
      <b/>
      <sz val="11"/>
      <color theme="3" tint="-0.249977111117893"/>
      <name val="Calibri"/>
      <family val="2"/>
      <scheme val="minor"/>
    </font>
    <font>
      <sz val="10"/>
      <color theme="3" tint="-0.249977111117893"/>
      <name val="Calibri"/>
      <family val="2"/>
      <scheme val="minor"/>
    </font>
    <font>
      <i/>
      <sz val="11"/>
      <color theme="3" tint="-0.249977111117893"/>
      <name val="Calibri"/>
      <family val="2"/>
      <scheme val="minor"/>
    </font>
    <font>
      <i/>
      <sz val="10"/>
      <color theme="3" tint="-0.249977111117893"/>
      <name val="Calibri"/>
      <family val="2"/>
      <scheme val="minor"/>
    </font>
    <font>
      <sz val="12"/>
      <color theme="8" tint="-0.499984740745262"/>
      <name val="Bahnschrift Light Condensed"/>
      <family val="2"/>
    </font>
    <font>
      <sz val="14"/>
      <color rgb="FFBF8F00"/>
      <name val="Wingdings"/>
      <charset val="2"/>
    </font>
    <font>
      <sz val="14"/>
      <color rgb="FF806000"/>
      <name val="Wingdings"/>
      <charset val="2"/>
    </font>
    <font>
      <sz val="11"/>
      <color theme="4" tint="-0.499984740745262"/>
      <name val="Bahnschrift SemiLight Condensed"/>
      <family val="2"/>
    </font>
    <font>
      <sz val="18"/>
      <color rgb="FFE4E4E0"/>
      <name val="Wingdings"/>
      <charset val="2"/>
    </font>
    <font>
      <sz val="18"/>
      <color rgb="FF737267"/>
      <name val="Wingdings"/>
      <charset val="2"/>
    </font>
    <font>
      <sz val="18"/>
      <color rgb="FFADACA1"/>
      <name val="Wingdings"/>
      <charset val="2"/>
    </font>
    <font>
      <sz val="18"/>
      <color rgb="FFDEC98E"/>
      <name val="Wingdings"/>
      <charset val="2"/>
    </font>
    <font>
      <sz val="18"/>
      <color rgb="FFBF8F00"/>
      <name val="Wingdings"/>
      <charset val="2"/>
    </font>
    <font>
      <sz val="18"/>
      <color rgb="FF806000"/>
      <name val="Wingdings"/>
      <charset val="2"/>
    </font>
    <font>
      <sz val="18"/>
      <color rgb="FF1B7369"/>
      <name val="Wingdings"/>
      <charset val="2"/>
    </font>
    <font>
      <sz val="18"/>
      <color rgb="FF2BB3A3"/>
      <name val="Wingdings"/>
      <charset val="2"/>
    </font>
    <font>
      <sz val="18"/>
      <color rgb="FFC6F2ED"/>
      <name val="Wingdings"/>
      <charset val="2"/>
    </font>
    <font>
      <sz val="18"/>
      <color rgb="FF3A4A47"/>
      <name val="Wingdings"/>
      <charset val="2"/>
    </font>
    <font>
      <sz val="18"/>
      <color rgb="FF87A19C"/>
      <name val="Wingdings"/>
      <charset val="2"/>
    </font>
    <font>
      <sz val="18"/>
      <color rgb="FFC7D3D1"/>
      <name val="Wingdings"/>
      <charset val="2"/>
    </font>
    <font>
      <b/>
      <sz val="14"/>
      <color theme="3" tint="-0.249977111117893"/>
      <name val="Calibri"/>
      <family val="2"/>
      <scheme val="minor"/>
    </font>
    <font>
      <sz val="11"/>
      <color theme="4" tint="-0.499984740745262"/>
      <name val="Bahnschrift Light Condensed"/>
      <family val="2"/>
    </font>
    <font>
      <b/>
      <i/>
      <sz val="11"/>
      <color theme="1"/>
      <name val="Calibri"/>
      <family val="2"/>
      <scheme val="minor"/>
    </font>
    <font>
      <sz val="11"/>
      <color theme="8" tint="-0.249977111117893"/>
      <name val="Calibri"/>
      <family val="2"/>
      <scheme val="minor"/>
    </font>
    <font>
      <i/>
      <sz val="11"/>
      <color theme="8" tint="-0.249977111117893"/>
      <name val="Calibri"/>
      <family val="2"/>
      <scheme val="minor"/>
    </font>
    <font>
      <b/>
      <sz val="12"/>
      <color theme="8" tint="-0.249977111117893"/>
      <name val="Calibri"/>
      <family val="2"/>
      <scheme val="minor"/>
    </font>
    <font>
      <b/>
      <u/>
      <sz val="11"/>
      <name val="Calibri"/>
      <family val="2"/>
      <scheme val="minor"/>
    </font>
    <font>
      <i/>
      <sz val="14"/>
      <name val="Calibri"/>
      <family val="2"/>
      <scheme val="minor"/>
    </font>
    <font>
      <b/>
      <sz val="11"/>
      <color theme="8" tint="-0.249977111117893"/>
      <name val="Calibri"/>
      <family val="2"/>
      <scheme val="minor"/>
    </font>
    <font>
      <b/>
      <sz val="10.5"/>
      <color theme="3" tint="-0.249977111117893"/>
      <name val="Calibri"/>
      <family val="2"/>
      <scheme val="minor"/>
    </font>
    <font>
      <b/>
      <sz val="11"/>
      <color theme="3" tint="-0.499984740745262"/>
      <name val="Calibri"/>
      <family val="2"/>
      <scheme val="minor"/>
    </font>
    <font>
      <sz val="10"/>
      <color theme="8" tint="-0.499984740745262"/>
      <name val="Bahnschrift Light Condensed"/>
      <family val="2"/>
    </font>
    <font>
      <b/>
      <u/>
      <sz val="14"/>
      <color rgb="FFFFC000"/>
      <name val="Calibri"/>
      <family val="2"/>
      <scheme val="minor"/>
    </font>
    <font>
      <sz val="10"/>
      <color rgb="FFDDF7F4"/>
      <name val="Calibri"/>
      <family val="2"/>
      <scheme val="minor"/>
    </font>
    <font>
      <i/>
      <sz val="10"/>
      <color rgb="FFDDF7F4"/>
      <name val="Calibri"/>
      <family val="2"/>
      <scheme val="minor"/>
    </font>
    <font>
      <u/>
      <sz val="11"/>
      <color theme="8" tint="-0.499984740745262"/>
      <name val="Bahnschrift Light Condensed"/>
      <family val="2"/>
    </font>
    <font>
      <b/>
      <u/>
      <sz val="11"/>
      <color theme="8" tint="-0.499984740745262"/>
      <name val="Calibri"/>
      <family val="2"/>
      <scheme val="minor"/>
    </font>
    <font>
      <sz val="9"/>
      <color theme="8" tint="-0.499984740745262"/>
      <name val="Bahnschrift Light Condensed"/>
      <family val="2"/>
    </font>
    <font>
      <sz val="10"/>
      <color theme="1"/>
      <name val="Bahnschrift Light Condensed"/>
      <family val="2"/>
    </font>
    <font>
      <sz val="9"/>
      <color rgb="FF002060"/>
      <name val="Bahnschrift Light Condensed"/>
      <family val="2"/>
    </font>
    <font>
      <sz val="12"/>
      <color theme="9"/>
      <name val="Wingdings"/>
      <charset val="2"/>
    </font>
    <font>
      <sz val="12"/>
      <color theme="3" tint="0.39997558519241921"/>
      <name val="Wingdings"/>
      <charset val="2"/>
    </font>
    <font>
      <sz val="12"/>
      <color rgb="FFFF8181"/>
      <name val="Wingdings"/>
      <charset val="2"/>
    </font>
    <font>
      <sz val="9.5"/>
      <color theme="4" tint="-0.499984740745262"/>
      <name val="Bahnschrift Light Condensed"/>
      <family val="2"/>
    </font>
    <font>
      <sz val="12"/>
      <color rgb="FFFFCCCC"/>
      <name val="Wingdings"/>
      <charset val="2"/>
    </font>
    <font>
      <sz val="8"/>
      <color theme="4" tint="-0.499984740745262"/>
      <name val="Bahnschrift Light SemiCondensed"/>
      <family val="2"/>
    </font>
    <font>
      <sz val="14"/>
      <color rgb="FFB7C2D1"/>
      <name val="Wingdings"/>
      <charset val="2"/>
    </font>
    <font>
      <sz val="14"/>
      <color theme="3" tint="0.39997558519241921"/>
      <name val="Wingdings"/>
      <charset val="2"/>
    </font>
    <font>
      <sz val="14"/>
      <color theme="4" tint="0.39997558519241921"/>
      <name val="Wingdings"/>
      <charset val="2"/>
    </font>
    <font>
      <sz val="14"/>
      <color theme="4"/>
      <name val="Wingdings"/>
      <charset val="2"/>
    </font>
    <font>
      <sz val="14"/>
      <color theme="8" tint="-0.249977111117893"/>
      <name val="Wingdings"/>
      <charset val="2"/>
    </font>
    <font>
      <sz val="14"/>
      <color theme="3" tint="-0.249977111117893"/>
      <name val="Wingdings"/>
      <charset val="2"/>
    </font>
    <font>
      <sz val="12"/>
      <color rgb="FF00B0F0"/>
      <name val="Wingdings"/>
      <charset val="2"/>
    </font>
    <font>
      <sz val="9"/>
      <color theme="4" tint="-0.499984740745262"/>
      <name val="Bahnschrift Light Condensed"/>
      <family val="2"/>
    </font>
    <font>
      <sz val="12"/>
      <color rgb="FF0070C0"/>
      <name val="Wingdings"/>
      <charset val="2"/>
    </font>
    <font>
      <sz val="12"/>
      <color theme="7" tint="-0.499984740745262"/>
      <name val="Wingdings"/>
      <charset val="2"/>
    </font>
    <font>
      <sz val="12"/>
      <color theme="5"/>
      <name val="Wingdings"/>
      <charset val="2"/>
    </font>
    <font>
      <sz val="10.5"/>
      <color theme="4" tint="-0.499984740745262"/>
      <name val="Bahnschrift Light Condensed"/>
      <family val="2"/>
    </font>
    <font>
      <sz val="10.5"/>
      <color rgb="FF002060"/>
      <name val="Bahnschrift Light SemiCondensed"/>
      <family val="2"/>
    </font>
    <font>
      <b/>
      <sz val="13"/>
      <color theme="4" tint="-0.499984740745262"/>
      <name val="Calibri"/>
      <family val="2"/>
      <scheme val="minor"/>
    </font>
    <font>
      <sz val="13"/>
      <color theme="4" tint="-0.499984740745262"/>
      <name val="Calibri"/>
      <family val="2"/>
      <scheme val="minor"/>
    </font>
    <font>
      <sz val="18"/>
      <color theme="8" tint="-0.499984740745262"/>
      <name val="Bahnschrift Light SemiCondensed"/>
      <family val="2"/>
    </font>
    <font>
      <sz val="10"/>
      <color theme="4" tint="-0.499984740745262"/>
      <name val="Bahnschrift SemiBold SemiConden"/>
      <family val="2"/>
    </font>
    <font>
      <sz val="10.5"/>
      <color theme="8" tint="-0.499984740745262"/>
      <name val="Bahnschrift SemiBold SemiConden"/>
      <family val="2"/>
    </font>
    <font>
      <sz val="12"/>
      <color rgb="FF806000"/>
      <name val="Wingdings"/>
      <charset val="2"/>
    </font>
    <font>
      <sz val="12"/>
      <color rgb="FFBF8F00"/>
      <name val="Wingdings"/>
      <charset val="2"/>
    </font>
    <font>
      <sz val="11"/>
      <color theme="8" tint="-0.499984740745262"/>
      <name val="Bahnschrift Light Condensed"/>
      <family val="2"/>
    </font>
    <font>
      <sz val="12"/>
      <color rgb="FF2F75B5"/>
      <name val="Wingdings"/>
      <charset val="2"/>
    </font>
    <font>
      <sz val="11"/>
      <color rgb="FF1B7369"/>
      <name val="Wingdings"/>
      <charset val="2"/>
    </font>
    <font>
      <sz val="11"/>
      <color rgb="FF2BB3A3"/>
      <name val="Wingdings"/>
      <charset val="2"/>
    </font>
    <font>
      <sz val="11"/>
      <color rgb="FFC6F2ED"/>
      <name val="Wingdings"/>
      <charset val="2"/>
    </font>
    <font>
      <b/>
      <sz val="16"/>
      <color theme="1"/>
      <name val="Calibri"/>
      <family val="2"/>
    </font>
    <font>
      <sz val="10"/>
      <color rgb="FFC00000"/>
      <name val="Wingdings"/>
      <charset val="2"/>
    </font>
    <font>
      <sz val="10"/>
      <color rgb="FF47618B"/>
      <name val="Wingdings"/>
      <charset val="2"/>
    </font>
    <font>
      <sz val="10"/>
      <color rgb="FF8FAADC"/>
      <name val="Wingdings"/>
      <charset val="2"/>
    </font>
    <font>
      <sz val="10"/>
      <color rgb="FFBDD7EE"/>
      <name val="Wingdings"/>
      <charset val="2"/>
    </font>
    <font>
      <sz val="10"/>
      <color rgb="FF7CAFDE"/>
      <name val="Wingdings"/>
      <charset val="2"/>
    </font>
    <font>
      <b/>
      <sz val="10"/>
      <color theme="4" tint="-0.499984740745262"/>
      <name val="Bahnschrift Light SemiCondensed"/>
      <family val="2"/>
    </font>
    <font>
      <sz val="10.5"/>
      <color theme="4" tint="-0.499984740745262"/>
      <name val="Bahnschrift SemiBold Condensed"/>
      <family val="2"/>
    </font>
    <font>
      <sz val="10"/>
      <color rgb="FFDEC98E"/>
      <name val="Wingdings"/>
      <charset val="2"/>
    </font>
    <font>
      <sz val="10"/>
      <color rgb="FFC6F2ED"/>
      <name val="Wingdings"/>
      <charset val="2"/>
    </font>
    <font>
      <sz val="10"/>
      <color theme="7" tint="-0.249977111117893"/>
      <name val="Wingdings"/>
      <charset val="2"/>
    </font>
    <font>
      <sz val="10"/>
      <color rgb="FF2BB3A3"/>
      <name val="Wingdings"/>
      <charset val="2"/>
    </font>
    <font>
      <b/>
      <sz val="10.5"/>
      <color theme="4" tint="-0.499984740745262"/>
      <name val="Calibri"/>
      <family val="2"/>
      <scheme val="minor"/>
    </font>
    <font>
      <sz val="10"/>
      <color rgb="FF47618B"/>
      <name val="Bahnschrift Light SemiCondensed"/>
      <family val="2"/>
    </font>
    <font>
      <sz val="10.5"/>
      <color rgb="FF47618B"/>
      <name val="Bahnschrift Light SemiCondensed"/>
      <family val="2"/>
    </font>
    <font>
      <b/>
      <sz val="10"/>
      <color theme="8" tint="-0.499984740745262"/>
      <name val="Bahnschrift SemiBold SemiConden"/>
      <family val="2"/>
    </font>
    <font>
      <b/>
      <sz val="10.5"/>
      <color theme="8" tint="-0.499984740745262"/>
      <name val="Calibri"/>
      <family val="2"/>
      <scheme val="minor"/>
    </font>
    <font>
      <sz val="13"/>
      <name val="Bahnschrift Light SemiCondensed"/>
      <family val="2"/>
    </font>
    <font>
      <b/>
      <sz val="10"/>
      <color theme="8" tint="-0.499984740745262"/>
      <name val="Bahnschrift Light Condensed"/>
      <family val="2"/>
    </font>
    <font>
      <sz val="11"/>
      <color rgb="FF00B050"/>
      <name val="Wingdings"/>
      <charset val="2"/>
    </font>
    <font>
      <sz val="11"/>
      <color rgb="FF007DDA"/>
      <name val="Wingdings"/>
      <charset val="2"/>
    </font>
    <font>
      <sz val="11"/>
      <color rgb="FFFFD347"/>
      <name val="Wingdings"/>
      <charset val="2"/>
    </font>
    <font>
      <sz val="11"/>
      <color rgb="FFF98007"/>
      <name val="Wingdings"/>
      <charset val="2"/>
    </font>
    <font>
      <sz val="11"/>
      <color rgb="FFD00000"/>
      <name val="Wingdings"/>
      <charset val="2"/>
    </font>
    <font>
      <sz val="11"/>
      <color theme="2" tint="-0.249977111117893"/>
      <name val="Wingdings"/>
      <charset val="2"/>
    </font>
    <font>
      <sz val="14"/>
      <color rgb="FFE4E4E0"/>
      <name val="Wingdings"/>
      <charset val="2"/>
    </font>
    <font>
      <sz val="14"/>
      <color rgb="FFADACA1"/>
      <name val="Wingdings"/>
      <charset val="2"/>
    </font>
    <font>
      <sz val="14"/>
      <color rgb="FF737267"/>
      <name val="Wingdings"/>
      <charset val="2"/>
    </font>
    <font>
      <sz val="14"/>
      <color rgb="FFC7D3D1"/>
      <name val="Wingdings"/>
      <charset val="2"/>
    </font>
    <font>
      <sz val="14"/>
      <color rgb="FF87A19C"/>
      <name val="Wingdings"/>
      <charset val="2"/>
    </font>
    <font>
      <sz val="14"/>
      <color rgb="FFC6F2ED"/>
      <name val="Wingdings"/>
      <charset val="2"/>
    </font>
    <font>
      <sz val="14"/>
      <color rgb="FF2BB3A3"/>
      <name val="Wingdings"/>
      <charset val="2"/>
    </font>
    <font>
      <sz val="14"/>
      <color rgb="FF1B7369"/>
      <name val="Wingdings"/>
      <charset val="2"/>
    </font>
    <font>
      <sz val="14"/>
      <color rgb="FF3A4A47"/>
      <name val="Wingdings"/>
      <charset val="2"/>
    </font>
    <font>
      <sz val="11"/>
      <color theme="1"/>
      <name val="Calibri"/>
      <family val="2"/>
      <scheme val="minor"/>
    </font>
    <font>
      <sz val="12"/>
      <color rgb="FF70AD47"/>
      <name val="Wingdings"/>
      <charset val="2"/>
    </font>
    <font>
      <sz val="12"/>
      <color rgb="FFC6E0B4"/>
      <name val="Wingdings"/>
      <charset val="2"/>
    </font>
    <font>
      <sz val="12"/>
      <color rgb="FF8497B0"/>
      <name val="Wingdings"/>
      <charset val="2"/>
    </font>
    <font>
      <b/>
      <sz val="18"/>
      <color rgb="FFFF0000"/>
      <name val="Calibri"/>
      <family val="2"/>
      <scheme val="minor"/>
    </font>
    <font>
      <sz val="10.5"/>
      <color theme="1"/>
      <name val="Calibri"/>
      <family val="1"/>
      <charset val="2"/>
      <scheme val="minor"/>
    </font>
    <font>
      <b/>
      <sz val="16"/>
      <color theme="1"/>
      <name val="Calibri"/>
      <family val="2"/>
      <scheme val="minor"/>
    </font>
    <font>
      <b/>
      <sz val="12"/>
      <color theme="9" tint="-0.499984740745262"/>
      <name val="Calibri"/>
      <family val="2"/>
      <scheme val="minor"/>
    </font>
    <font>
      <sz val="9"/>
      <color indexed="81"/>
      <name val="Tahoma"/>
      <family val="2"/>
    </font>
    <font>
      <sz val="9"/>
      <name val="Bahnschrift Light Condensed"/>
      <family val="2"/>
    </font>
    <font>
      <sz val="10"/>
      <color theme="3" tint="-0.249977111117893"/>
      <name val="Webdings"/>
      <family val="1"/>
      <charset val="2"/>
    </font>
  </fonts>
  <fills count="64">
    <fill>
      <patternFill patternType="none"/>
    </fill>
    <fill>
      <patternFill patternType="gray125"/>
    </fill>
    <fill>
      <patternFill patternType="solid">
        <fgColor rgb="FF0070C0"/>
        <bgColor indexed="64"/>
      </patternFill>
    </fill>
    <fill>
      <patternFill patternType="solid">
        <fgColor rgb="FF00B0F0"/>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5"/>
        <bgColor indexed="64"/>
      </patternFill>
    </fill>
    <fill>
      <patternFill patternType="solid">
        <fgColor theme="7" tint="-0.499984740745262"/>
        <bgColor indexed="64"/>
      </patternFill>
    </fill>
    <fill>
      <patternFill patternType="solid">
        <fgColor rgb="FF305496"/>
        <bgColor indexed="64"/>
      </patternFill>
    </fill>
    <fill>
      <patternFill patternType="solid">
        <fgColor rgb="FF428BCE"/>
        <bgColor indexed="64"/>
      </patternFill>
    </fill>
    <fill>
      <patternFill patternType="solid">
        <fgColor rgb="FF6FA8DB"/>
        <bgColor indexed="64"/>
      </patternFill>
    </fill>
    <fill>
      <patternFill patternType="solid">
        <fgColor rgb="FFC7DDF1"/>
        <bgColor indexed="64"/>
      </patternFill>
    </fill>
    <fill>
      <patternFill patternType="solid">
        <fgColor theme="9" tint="0.79998168889431442"/>
        <bgColor indexed="64"/>
      </patternFill>
    </fill>
    <fill>
      <patternFill patternType="solid">
        <fgColor rgb="FFB6D2EC"/>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bgColor indexed="64"/>
      </patternFill>
    </fill>
    <fill>
      <patternFill patternType="solid">
        <fgColor theme="9" tint="-0.249977111117893"/>
        <bgColor indexed="64"/>
      </patternFill>
    </fill>
    <fill>
      <patternFill patternType="solid">
        <fgColor rgb="FF9BC2E6"/>
        <bgColor indexed="64"/>
      </patternFill>
    </fill>
    <fill>
      <patternFill patternType="solid">
        <fgColor theme="7"/>
        <bgColor indexed="64"/>
      </patternFill>
    </fill>
    <fill>
      <patternFill patternType="solid">
        <fgColor rgb="FF002060"/>
        <bgColor indexed="64"/>
      </patternFill>
    </fill>
    <fill>
      <patternFill patternType="solid">
        <fgColor rgb="FFFFC7CE"/>
      </patternFill>
    </fill>
    <fill>
      <patternFill patternType="solid">
        <fgColor rgb="FFE0E0E0"/>
        <bgColor indexed="64"/>
      </patternFill>
    </fill>
    <fill>
      <patternFill patternType="solid">
        <fgColor theme="1" tint="0.499984740745262"/>
        <bgColor theme="0" tint="-0.499984740745262"/>
      </patternFill>
    </fill>
    <fill>
      <patternFill patternType="solid">
        <fgColor theme="7" tint="0.79998168889431442"/>
        <bgColor indexed="64"/>
      </patternFill>
    </fill>
    <fill>
      <patternFill patternType="solid">
        <fgColor rgb="FFC6EFCE"/>
      </patternFill>
    </fill>
    <fill>
      <patternFill patternType="solid">
        <fgColor theme="3" tint="0.79998168889431442"/>
        <bgColor indexed="64"/>
      </patternFill>
    </fill>
    <fill>
      <patternFill patternType="solid">
        <fgColor theme="8" tint="-0.499984740745262"/>
        <bgColor indexed="64"/>
      </patternFill>
    </fill>
    <fill>
      <patternFill patternType="solid">
        <fgColor theme="5" tint="-0.249977111117893"/>
        <bgColor indexed="64"/>
      </patternFill>
    </fill>
    <fill>
      <patternFill patternType="solid">
        <fgColor rgb="FFFFC7CE"/>
        <bgColor indexed="64"/>
      </patternFill>
    </fill>
    <fill>
      <patternFill patternType="solid">
        <fgColor rgb="FFFFCDD4"/>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rgb="FFCBDDEB"/>
        <bgColor indexed="64"/>
      </patternFill>
    </fill>
    <fill>
      <patternFill patternType="solid">
        <fgColor rgb="FFFFF2CC"/>
        <bgColor indexed="64"/>
      </patternFill>
    </fill>
    <fill>
      <patternFill patternType="solid">
        <fgColor rgb="FF669E40"/>
        <bgColor indexed="64"/>
      </patternFill>
    </fill>
    <fill>
      <patternFill patternType="solid">
        <fgColor rgb="FF85BE5E"/>
        <bgColor indexed="64"/>
      </patternFill>
    </fill>
    <fill>
      <patternFill patternType="solid">
        <fgColor rgb="FF886940"/>
        <bgColor indexed="64"/>
      </patternFill>
    </fill>
    <fill>
      <patternFill patternType="solid">
        <fgColor rgb="FF503B00"/>
        <bgColor indexed="64"/>
      </patternFill>
    </fill>
    <fill>
      <patternFill patternType="solid">
        <fgColor rgb="FFCDBEAF"/>
        <bgColor indexed="64"/>
      </patternFill>
    </fill>
    <fill>
      <patternFill patternType="solid">
        <fgColor rgb="FFE4DCD4"/>
        <bgColor indexed="64"/>
      </patternFill>
    </fill>
    <fill>
      <patternFill patternType="solid">
        <fgColor rgb="FFF6F3F0"/>
        <bgColor indexed="64"/>
      </patternFill>
    </fill>
    <fill>
      <patternFill patternType="solid">
        <fgColor rgb="FF1B7369"/>
        <bgColor indexed="64"/>
      </patternFill>
    </fill>
    <fill>
      <patternFill patternType="solid">
        <fgColor rgb="FF28A899"/>
        <bgColor indexed="64"/>
      </patternFill>
    </fill>
    <fill>
      <patternFill patternType="solid">
        <fgColor rgb="FFC6F2ED"/>
        <bgColor indexed="64"/>
      </patternFill>
    </fill>
    <fill>
      <patternFill patternType="solid">
        <fgColor rgb="FFDDF7F4"/>
        <bgColor indexed="64"/>
      </patternFill>
    </fill>
    <fill>
      <patternFill patternType="solid">
        <fgColor rgb="FF2D4C8B"/>
        <bgColor indexed="64"/>
      </patternFill>
    </fill>
    <fill>
      <patternFill patternType="solid">
        <fgColor rgb="FF182848"/>
        <bgColor indexed="64"/>
      </patternFill>
    </fill>
    <fill>
      <patternFill patternType="solid">
        <fgColor rgb="FF24988A"/>
        <bgColor indexed="64"/>
      </patternFill>
    </fill>
    <fill>
      <patternFill patternType="solid">
        <fgColor rgb="FF967200"/>
        <bgColor indexed="64"/>
      </patternFill>
    </fill>
    <fill>
      <patternFill patternType="solid">
        <fgColor theme="4" tint="-0.249977111117893"/>
        <bgColor indexed="64"/>
      </patternFill>
    </fill>
    <fill>
      <patternFill patternType="solid">
        <fgColor rgb="FF3484CC"/>
        <bgColor indexed="64"/>
      </patternFill>
    </fill>
    <fill>
      <patternFill patternType="solid">
        <fgColor rgb="FF239587"/>
        <bgColor indexed="64"/>
      </patternFill>
    </fill>
    <fill>
      <patternFill patternType="solid">
        <fgColor theme="6" tint="0.79998168889431442"/>
        <bgColor indexed="64"/>
      </patternFill>
    </fill>
    <fill>
      <patternFill patternType="lightUp"/>
    </fill>
    <fill>
      <patternFill patternType="solid">
        <fgColor rgb="FF8989E7"/>
        <bgColor indexed="64"/>
      </patternFill>
    </fill>
    <fill>
      <patternFill patternType="solid">
        <fgColor rgb="FFC24AB4"/>
        <bgColor indexed="64"/>
      </patternFill>
    </fill>
    <fill>
      <patternFill patternType="solid">
        <fgColor rgb="FF5E3983"/>
        <bgColor indexed="64"/>
      </patternFill>
    </fill>
    <fill>
      <patternFill patternType="solid">
        <fgColor rgb="FFEEF6EE"/>
        <bgColor indexed="64"/>
      </patternFill>
    </fill>
    <fill>
      <patternFill patternType="solid">
        <fgColor theme="0" tint="-0.34998626667073579"/>
        <bgColor indexed="64"/>
      </patternFill>
    </fill>
    <fill>
      <patternFill patternType="solid">
        <fgColor theme="0" tint="-0.14999847407452621"/>
        <bgColor indexed="64"/>
      </patternFill>
    </fill>
  </fills>
  <borders count="384">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top/>
      <bottom style="thin">
        <color indexed="64"/>
      </bottom>
      <diagonal/>
    </border>
    <border>
      <left/>
      <right/>
      <top/>
      <bottom style="thin">
        <color rgb="FF428BCE"/>
      </bottom>
      <diagonal/>
    </border>
    <border>
      <left/>
      <right/>
      <top/>
      <bottom style="thin">
        <color theme="9" tint="-0.24994659260841701"/>
      </bottom>
      <diagonal/>
    </border>
    <border>
      <left style="thin">
        <color theme="4" tint="-0.499984740745262"/>
      </left>
      <right/>
      <top style="thin">
        <color theme="4" tint="-0.499984740745262"/>
      </top>
      <bottom/>
      <diagonal/>
    </border>
    <border>
      <left/>
      <right/>
      <top style="thin">
        <color theme="4" tint="-0.499984740745262"/>
      </top>
      <bottom/>
      <diagonal/>
    </border>
    <border>
      <left/>
      <right style="thin">
        <color theme="4" tint="-0.499984740745262"/>
      </right>
      <top style="thin">
        <color theme="4" tint="-0.499984740745262"/>
      </top>
      <bottom/>
      <diagonal/>
    </border>
    <border>
      <left style="thin">
        <color theme="4" tint="-0.499984740745262"/>
      </left>
      <right/>
      <top/>
      <bottom/>
      <diagonal/>
    </border>
    <border>
      <left/>
      <right style="thin">
        <color theme="4" tint="-0.499984740745262"/>
      </right>
      <top/>
      <bottom/>
      <diagonal/>
    </border>
    <border>
      <left/>
      <right/>
      <top/>
      <bottom style="thin">
        <color theme="4" tint="-0.499984740745262"/>
      </bottom>
      <diagonal/>
    </border>
    <border>
      <left style="thin">
        <color theme="4" tint="-0.499984740745262"/>
      </left>
      <right/>
      <top/>
      <bottom style="thin">
        <color theme="4" tint="-0.499984740745262"/>
      </bottom>
      <diagonal/>
    </border>
    <border>
      <left/>
      <right style="thin">
        <color theme="4" tint="-0.499984740745262"/>
      </right>
      <top/>
      <bottom style="thin">
        <color theme="4" tint="-0.499984740745262"/>
      </bottom>
      <diagonal/>
    </border>
    <border>
      <left style="thin">
        <color theme="8" tint="-0.499984740745262"/>
      </left>
      <right/>
      <top style="thin">
        <color theme="8" tint="-0.499984740745262"/>
      </top>
      <bottom/>
      <diagonal/>
    </border>
    <border>
      <left/>
      <right/>
      <top style="thin">
        <color theme="8" tint="-0.499984740745262"/>
      </top>
      <bottom/>
      <diagonal/>
    </border>
    <border>
      <left/>
      <right style="thin">
        <color theme="8" tint="-0.499984740745262"/>
      </right>
      <top style="thin">
        <color theme="8" tint="-0.499984740745262"/>
      </top>
      <bottom/>
      <diagonal/>
    </border>
    <border>
      <left style="thin">
        <color theme="8" tint="-0.499984740745262"/>
      </left>
      <right/>
      <top/>
      <bottom/>
      <diagonal/>
    </border>
    <border>
      <left/>
      <right style="thin">
        <color theme="8" tint="-0.499984740745262"/>
      </right>
      <top/>
      <bottom/>
      <diagonal/>
    </border>
    <border>
      <left style="thin">
        <color theme="8" tint="-0.499984740745262"/>
      </left>
      <right/>
      <top/>
      <bottom style="thin">
        <color theme="8" tint="-0.499984740745262"/>
      </bottom>
      <diagonal/>
    </border>
    <border>
      <left/>
      <right/>
      <top/>
      <bottom style="thin">
        <color theme="8" tint="-0.499984740745262"/>
      </bottom>
      <diagonal/>
    </border>
    <border>
      <left/>
      <right style="thin">
        <color theme="8" tint="-0.499984740745262"/>
      </right>
      <top/>
      <bottom style="thin">
        <color theme="8" tint="-0.499984740745262"/>
      </bottom>
      <diagonal/>
    </border>
    <border>
      <left style="thin">
        <color theme="8" tint="-0.499984740745262"/>
      </left>
      <right style="thin">
        <color theme="8" tint="-0.499984740745262"/>
      </right>
      <top/>
      <bottom/>
      <diagonal/>
    </border>
    <border>
      <left/>
      <right/>
      <top/>
      <bottom style="medium">
        <color theme="5"/>
      </bottom>
      <diagonal/>
    </border>
    <border>
      <left/>
      <right/>
      <top/>
      <bottom style="medium">
        <color theme="7" tint="-0.499984740745262"/>
      </bottom>
      <diagonal/>
    </border>
    <border>
      <left/>
      <right/>
      <top/>
      <bottom style="medium">
        <color theme="7"/>
      </bottom>
      <diagonal/>
    </border>
    <border>
      <left/>
      <right/>
      <top/>
      <bottom style="medium">
        <color rgb="FF0070C0"/>
      </bottom>
      <diagonal/>
    </border>
    <border>
      <left/>
      <right/>
      <top/>
      <bottom style="medium">
        <color rgb="FF00B0F0"/>
      </bottom>
      <diagonal/>
    </border>
    <border>
      <left/>
      <right/>
      <top/>
      <bottom style="medium">
        <color rgb="FF002060"/>
      </bottom>
      <diagonal/>
    </border>
    <border>
      <left style="thin">
        <color rgb="FF002060"/>
      </left>
      <right/>
      <top style="thin">
        <color rgb="FF002060"/>
      </top>
      <bottom/>
      <diagonal/>
    </border>
    <border>
      <left/>
      <right/>
      <top style="thin">
        <color rgb="FF002060"/>
      </top>
      <bottom/>
      <diagonal/>
    </border>
    <border>
      <left/>
      <right style="thin">
        <color rgb="FF002060"/>
      </right>
      <top style="thin">
        <color rgb="FF002060"/>
      </top>
      <bottom/>
      <diagonal/>
    </border>
    <border>
      <left style="thin">
        <color rgb="FF002060"/>
      </left>
      <right/>
      <top/>
      <bottom/>
      <diagonal/>
    </border>
    <border>
      <left/>
      <right style="thin">
        <color rgb="FF002060"/>
      </right>
      <top/>
      <bottom/>
      <diagonal/>
    </border>
    <border>
      <left style="thin">
        <color rgb="FF002060"/>
      </left>
      <right/>
      <top/>
      <bottom style="thin">
        <color rgb="FF002060"/>
      </bottom>
      <diagonal/>
    </border>
    <border>
      <left/>
      <right/>
      <top/>
      <bottom style="thin">
        <color rgb="FF002060"/>
      </bottom>
      <diagonal/>
    </border>
    <border>
      <left/>
      <right style="thin">
        <color rgb="FF002060"/>
      </right>
      <top/>
      <bottom style="thin">
        <color rgb="FF002060"/>
      </bottom>
      <diagonal/>
    </border>
    <border>
      <left style="thin">
        <color theme="8" tint="-0.499984740745262"/>
      </left>
      <right/>
      <top style="thin">
        <color theme="8" tint="-0.499984740745262"/>
      </top>
      <bottom style="thin">
        <color theme="8" tint="-0.499984740745262"/>
      </bottom>
      <diagonal/>
    </border>
    <border>
      <left/>
      <right style="thin">
        <color theme="8" tint="-0.499984740745262"/>
      </right>
      <top style="thin">
        <color theme="8" tint="-0.499984740745262"/>
      </top>
      <bottom style="thin">
        <color theme="8" tint="-0.499984740745262"/>
      </bottom>
      <diagonal/>
    </border>
    <border>
      <left/>
      <right/>
      <top style="thin">
        <color theme="8" tint="-0.499984740745262"/>
      </top>
      <bottom style="thin">
        <color theme="8" tint="-0.499984740745262"/>
      </bottom>
      <diagonal/>
    </border>
    <border>
      <left/>
      <right/>
      <top style="thin">
        <color theme="0" tint="-0.24994659260841701"/>
      </top>
      <bottom style="thin">
        <color theme="0" tint="-0.24994659260841701"/>
      </bottom>
      <diagonal/>
    </border>
    <border>
      <left/>
      <right style="thin">
        <color indexed="64"/>
      </right>
      <top/>
      <bottom/>
      <diagonal/>
    </border>
    <border>
      <left style="thin">
        <color rgb="FF002060"/>
      </left>
      <right style="thin">
        <color rgb="FF002060"/>
      </right>
      <top/>
      <bottom/>
      <diagonal/>
    </border>
    <border>
      <left/>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theme="0" tint="-0.34998626667073579"/>
      </right>
      <top style="thin">
        <color indexed="64"/>
      </top>
      <bottom style="double">
        <color indexed="64"/>
      </bottom>
      <diagonal/>
    </border>
    <border>
      <left style="thin">
        <color theme="0" tint="-0.34998626667073579"/>
      </left>
      <right style="thin">
        <color theme="0" tint="-0.34998626667073579"/>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diagonal/>
    </border>
    <border>
      <left style="thin">
        <color indexed="64"/>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indexed="64"/>
      </right>
      <top style="thin">
        <color theme="0" tint="-0.34998626667073579"/>
      </top>
      <bottom/>
      <diagonal/>
    </border>
    <border>
      <left style="thin">
        <color indexed="64"/>
      </left>
      <right style="thin">
        <color indexed="64"/>
      </right>
      <top style="thin">
        <color theme="0" tint="-0.34998626667073579"/>
      </top>
      <bottom/>
      <diagonal/>
    </border>
    <border>
      <left style="thin">
        <color indexed="64"/>
      </left>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
      <left style="thin">
        <color indexed="64"/>
      </left>
      <right style="thin">
        <color indexed="64"/>
      </right>
      <top style="thin">
        <color theme="0" tint="-0.34998626667073579"/>
      </top>
      <bottom style="thin">
        <color indexed="64"/>
      </bottom>
      <diagonal/>
    </border>
    <border>
      <left style="thin">
        <color indexed="64"/>
      </left>
      <right style="thin">
        <color theme="0" tint="-0.34998626667073579"/>
      </right>
      <top style="thin">
        <color theme="0" tint="-0.34998626667073579"/>
      </top>
      <bottom style="thin">
        <color indexed="64"/>
      </bottom>
      <diagonal/>
    </border>
    <border>
      <left style="thin">
        <color theme="0" tint="-0.34998626667073579"/>
      </left>
      <right style="thin">
        <color theme="0" tint="-0.34998626667073579"/>
      </right>
      <top style="thin">
        <color theme="0" tint="-0.34998626667073579"/>
      </top>
      <bottom style="thin">
        <color indexed="64"/>
      </bottom>
      <diagonal/>
    </border>
    <border>
      <left style="thin">
        <color theme="0" tint="-0.34998626667073579"/>
      </left>
      <right style="thin">
        <color indexed="64"/>
      </right>
      <top style="thin">
        <color theme="0" tint="-0.34998626667073579"/>
      </top>
      <bottom style="thin">
        <color indexed="64"/>
      </bottom>
      <diagonal/>
    </border>
    <border>
      <left style="thin">
        <color indexed="64"/>
      </left>
      <right style="thin">
        <color theme="0" tint="-0.34998626667073579"/>
      </right>
      <top/>
      <bottom style="thin">
        <color indexed="64"/>
      </bottom>
      <diagonal/>
    </border>
    <border>
      <left style="thin">
        <color theme="0" tint="-0.34998626667073579"/>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double">
        <color indexed="64"/>
      </bottom>
      <diagonal/>
    </border>
    <border>
      <left style="thin">
        <color indexed="64"/>
      </left>
      <right style="thin">
        <color theme="0" tint="-0.34998626667073579"/>
      </right>
      <top/>
      <bottom/>
      <diagonal/>
    </border>
    <border>
      <left style="thin">
        <color theme="0" tint="-0.34998626667073579"/>
      </left>
      <right style="thin">
        <color theme="0" tint="-0.34998626667073579"/>
      </right>
      <top/>
      <bottom/>
      <diagonal/>
    </border>
    <border>
      <left style="thin">
        <color theme="0" tint="-0.34998626667073579"/>
      </left>
      <right style="thin">
        <color indexed="64"/>
      </right>
      <top/>
      <bottom/>
      <diagonal/>
    </border>
    <border>
      <left/>
      <right style="thin">
        <color indexed="64"/>
      </right>
      <top/>
      <bottom style="double">
        <color indexed="64"/>
      </bottom>
      <diagonal/>
    </border>
    <border>
      <left style="thin">
        <color indexed="64"/>
      </left>
      <right/>
      <top style="thin">
        <color theme="0" tint="-0.34998626667073579"/>
      </top>
      <bottom style="thin">
        <color indexed="64"/>
      </bottom>
      <diagonal/>
    </border>
    <border>
      <left/>
      <right style="thin">
        <color indexed="64"/>
      </right>
      <top style="thin">
        <color theme="0" tint="-0.34998626667073579"/>
      </top>
      <bottom style="thin">
        <color indexed="64"/>
      </bottom>
      <diagonal/>
    </border>
    <border>
      <left/>
      <right/>
      <top style="thin">
        <color rgb="FF428BCE"/>
      </top>
      <bottom style="thin">
        <color rgb="FF428BCE"/>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style="thin">
        <color indexed="64"/>
      </left>
      <right/>
      <top style="thin">
        <color indexed="64"/>
      </top>
      <bottom style="thin">
        <color theme="0" tint="-0.34998626667073579"/>
      </bottom>
      <diagonal/>
    </border>
    <border>
      <left/>
      <right/>
      <top style="thin">
        <color indexed="64"/>
      </top>
      <bottom style="thin">
        <color theme="0" tint="-0.34998626667073579"/>
      </bottom>
      <diagonal/>
    </border>
    <border>
      <left/>
      <right style="thin">
        <color indexed="64"/>
      </right>
      <top style="thin">
        <color indexed="64"/>
      </top>
      <bottom style="thin">
        <color theme="0" tint="-0.34998626667073579"/>
      </bottom>
      <diagonal/>
    </border>
    <border>
      <left/>
      <right/>
      <top style="thin">
        <color theme="9" tint="-0.24994659260841701"/>
      </top>
      <bottom style="thin">
        <color theme="9" tint="-0.24994659260841701"/>
      </bottom>
      <diagonal/>
    </border>
    <border>
      <left/>
      <right/>
      <top style="thick">
        <color theme="0"/>
      </top>
      <bottom style="thick">
        <color theme="0"/>
      </bottom>
      <diagonal/>
    </border>
    <border>
      <left/>
      <right/>
      <top style="thin">
        <color theme="9" tint="-0.24994659260841701"/>
      </top>
      <bottom/>
      <diagonal/>
    </border>
    <border>
      <left style="thin">
        <color auto="1"/>
      </left>
      <right style="thin">
        <color theme="0" tint="-0.24994659260841701"/>
      </right>
      <top style="thin">
        <color theme="0" tint="-0.24994659260841701"/>
      </top>
      <bottom style="thin">
        <color auto="1"/>
      </bottom>
      <diagonal/>
    </border>
    <border>
      <left style="thin">
        <color theme="0" tint="-0.24994659260841701"/>
      </left>
      <right style="thin">
        <color auto="1"/>
      </right>
      <top style="thin">
        <color theme="0" tint="-0.24994659260841701"/>
      </top>
      <bottom style="thin">
        <color auto="1"/>
      </bottom>
      <diagonal/>
    </border>
    <border>
      <left style="thin">
        <color auto="1"/>
      </left>
      <right style="thin">
        <color theme="0" tint="-0.24994659260841701"/>
      </right>
      <top style="thin">
        <color auto="1"/>
      </top>
      <bottom style="thin">
        <color indexed="64"/>
      </bottom>
      <diagonal/>
    </border>
    <border>
      <left style="thin">
        <color theme="0" tint="-0.24994659260841701"/>
      </left>
      <right style="thin">
        <color theme="0" tint="-0.24994659260841701"/>
      </right>
      <top style="thin">
        <color auto="1"/>
      </top>
      <bottom style="thin">
        <color indexed="64"/>
      </bottom>
      <diagonal/>
    </border>
    <border>
      <left style="thin">
        <color theme="0" tint="-0.24994659260841701"/>
      </left>
      <right style="thin">
        <color auto="1"/>
      </right>
      <top style="thin">
        <color auto="1"/>
      </top>
      <bottom style="thin">
        <color indexed="64"/>
      </bottom>
      <diagonal/>
    </border>
    <border>
      <left style="thin">
        <color theme="0" tint="-0.24994659260841701"/>
      </left>
      <right/>
      <top style="thin">
        <color theme="0" tint="-0.24994659260841701"/>
      </top>
      <bottom style="thin">
        <color auto="1"/>
      </bottom>
      <diagonal/>
    </border>
    <border>
      <left style="thin">
        <color auto="1"/>
      </left>
      <right/>
      <top/>
      <bottom style="thin">
        <color theme="0" tint="-0.24994659260841701"/>
      </bottom>
      <diagonal/>
    </border>
    <border>
      <left/>
      <right style="thin">
        <color auto="1"/>
      </right>
      <top/>
      <bottom style="thin">
        <color theme="0" tint="-0.24994659260841701"/>
      </bottom>
      <diagonal/>
    </border>
    <border>
      <left style="thin">
        <color auto="1"/>
      </left>
      <right/>
      <top style="thin">
        <color theme="0" tint="-0.24994659260841701"/>
      </top>
      <bottom style="thin">
        <color theme="0" tint="-0.24994659260841701"/>
      </bottom>
      <diagonal/>
    </border>
    <border>
      <left/>
      <right style="thin">
        <color auto="1"/>
      </right>
      <top style="thin">
        <color theme="0" tint="-0.24994659260841701"/>
      </top>
      <bottom style="thin">
        <color theme="0" tint="-0.24994659260841701"/>
      </bottom>
      <diagonal/>
    </border>
    <border>
      <left style="thin">
        <color auto="1"/>
      </left>
      <right/>
      <top style="thin">
        <color theme="0" tint="-0.24994659260841701"/>
      </top>
      <bottom style="thin">
        <color auto="1"/>
      </bottom>
      <diagonal/>
    </border>
    <border>
      <left/>
      <right style="thin">
        <color auto="1"/>
      </right>
      <top style="thin">
        <color theme="0" tint="-0.24994659260841701"/>
      </top>
      <bottom style="thin">
        <color auto="1"/>
      </bottom>
      <diagonal/>
    </border>
    <border>
      <left style="thin">
        <color indexed="64"/>
      </left>
      <right style="thin">
        <color theme="0" tint="-0.34998626667073579"/>
      </right>
      <top style="thin">
        <color indexed="64"/>
      </top>
      <bottom style="thin">
        <color indexed="64"/>
      </bottom>
      <diagonal/>
    </border>
    <border>
      <left style="thin">
        <color theme="0" tint="-0.34998626667073579"/>
      </left>
      <right style="thin">
        <color theme="0" tint="-0.34998626667073579"/>
      </right>
      <top style="thin">
        <color indexed="64"/>
      </top>
      <bottom style="thin">
        <color indexed="64"/>
      </bottom>
      <diagonal/>
    </border>
    <border>
      <left style="thin">
        <color indexed="64"/>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indexed="64"/>
      </right>
      <top/>
      <bottom style="thin">
        <color theme="0" tint="-0.34998626667073579"/>
      </bottom>
      <diagonal/>
    </border>
    <border>
      <left style="thin">
        <color indexed="64"/>
      </left>
      <right style="thin">
        <color indexed="64"/>
      </right>
      <top/>
      <bottom style="thin">
        <color theme="0" tint="-0.34998626667073579"/>
      </bottom>
      <diagonal/>
    </border>
    <border>
      <left style="thin">
        <color indexed="64"/>
      </left>
      <right style="thin">
        <color indexed="64"/>
      </right>
      <top style="thin">
        <color indexed="64"/>
      </top>
      <bottom style="thin">
        <color theme="0" tint="-0.24994659260841701"/>
      </bottom>
      <diagonal/>
    </border>
    <border>
      <left/>
      <right style="thin">
        <color theme="0" tint="-0.24994659260841701"/>
      </right>
      <top style="thin">
        <color theme="0" tint="-0.24994659260841701"/>
      </top>
      <bottom style="thin">
        <color auto="1"/>
      </bottom>
      <diagonal/>
    </border>
    <border>
      <left/>
      <right style="thin">
        <color theme="0" tint="-0.34998626667073579"/>
      </right>
      <top style="thin">
        <color theme="0" tint="-0.34998626667073579"/>
      </top>
      <bottom style="thin">
        <color theme="0" tint="-0.34998626667073579"/>
      </bottom>
      <diagonal/>
    </border>
    <border>
      <left style="thin">
        <color theme="0" tint="-0.24994659260841701"/>
      </left>
      <right style="thin">
        <color indexed="64"/>
      </right>
      <top style="thin">
        <color auto="1"/>
      </top>
      <bottom style="thin">
        <color theme="0" tint="-0.34998626667073579"/>
      </bottom>
      <diagonal/>
    </border>
    <border>
      <left/>
      <right style="thin">
        <color indexed="64"/>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top style="thin">
        <color theme="0" tint="-0.34998626667073579"/>
      </top>
      <bottom/>
      <diagonal/>
    </border>
    <border>
      <left style="thin">
        <color auto="1"/>
      </left>
      <right style="thin">
        <color theme="0" tint="-0.24994659260841701"/>
      </right>
      <top/>
      <bottom style="thin">
        <color indexed="64"/>
      </bottom>
      <diagonal/>
    </border>
    <border>
      <left style="thin">
        <color theme="0" tint="-0.24994659260841701"/>
      </left>
      <right style="thin">
        <color theme="0" tint="-0.24994659260841701"/>
      </right>
      <top/>
      <bottom style="thin">
        <color indexed="64"/>
      </bottom>
      <diagonal/>
    </border>
    <border>
      <left style="thin">
        <color theme="0" tint="-0.24994659260841701"/>
      </left>
      <right style="thin">
        <color auto="1"/>
      </right>
      <top/>
      <bottom style="thin">
        <color indexed="64"/>
      </bottom>
      <diagonal/>
    </border>
    <border>
      <left style="thin">
        <color indexed="64"/>
      </left>
      <right/>
      <top style="thin">
        <color indexed="64"/>
      </top>
      <bottom style="thin">
        <color theme="0" tint="-0.24994659260841701"/>
      </bottom>
      <diagonal/>
    </border>
    <border>
      <left/>
      <right style="thin">
        <color indexed="64"/>
      </right>
      <top style="thin">
        <color indexed="64"/>
      </top>
      <bottom style="double">
        <color indexed="64"/>
      </bottom>
      <diagonal/>
    </border>
    <border>
      <left/>
      <right style="thin">
        <color auto="1"/>
      </right>
      <top style="thin">
        <color indexed="64"/>
      </top>
      <bottom style="thin">
        <color theme="0" tint="-0.24994659260841701"/>
      </bottom>
      <diagonal/>
    </border>
    <border>
      <left/>
      <right style="thin">
        <color indexed="64"/>
      </right>
      <top/>
      <bottom style="thin">
        <color theme="0" tint="-0.34998626667073579"/>
      </bottom>
      <diagonal/>
    </border>
    <border>
      <left style="thin">
        <color indexed="64"/>
      </left>
      <right style="thin">
        <color indexed="64"/>
      </right>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right/>
      <top/>
      <bottom style="medium">
        <color theme="8" tint="-0.499984740745262"/>
      </bottom>
      <diagonal/>
    </border>
    <border>
      <left/>
      <right/>
      <top style="thin">
        <color indexed="64"/>
      </top>
      <bottom style="double">
        <color indexed="64"/>
      </bottom>
      <diagonal/>
    </border>
    <border>
      <left style="thin">
        <color indexed="64"/>
      </left>
      <right/>
      <top style="double">
        <color indexed="64"/>
      </top>
      <bottom style="thin">
        <color theme="0" tint="-0.24994659260841701"/>
      </bottom>
      <diagonal/>
    </border>
    <border>
      <left/>
      <right/>
      <top style="double">
        <color indexed="64"/>
      </top>
      <bottom style="thin">
        <color theme="0" tint="-0.24994659260841701"/>
      </bottom>
      <diagonal/>
    </border>
    <border>
      <left/>
      <right/>
      <top style="thin">
        <color theme="0" tint="-0.24994659260841701"/>
      </top>
      <bottom style="thin">
        <color indexed="64"/>
      </bottom>
      <diagonal/>
    </border>
    <border>
      <left/>
      <right style="thin">
        <color indexed="64"/>
      </right>
      <top style="double">
        <color indexed="64"/>
      </top>
      <bottom style="thin">
        <color theme="0" tint="-0.24994659260841701"/>
      </bottom>
      <diagonal/>
    </border>
    <border>
      <left/>
      <right/>
      <top style="thin">
        <color indexed="64"/>
      </top>
      <bottom style="thin">
        <color theme="0" tint="-0.24994659260841701"/>
      </bottom>
      <diagonal/>
    </border>
    <border>
      <left style="thin">
        <color indexed="64"/>
      </left>
      <right style="thin">
        <color indexed="64"/>
      </right>
      <top style="thin">
        <color theme="0" tint="-0.24994659260841701"/>
      </top>
      <bottom/>
      <diagonal/>
    </border>
    <border>
      <left style="medium">
        <color theme="8" tint="-0.499984740745262"/>
      </left>
      <right/>
      <top/>
      <bottom/>
      <diagonal/>
    </border>
    <border>
      <left style="thin">
        <color auto="1"/>
      </left>
      <right/>
      <top style="thin">
        <color theme="0" tint="-0.24994659260841701"/>
      </top>
      <bottom/>
      <diagonal/>
    </border>
    <border>
      <left/>
      <right style="thin">
        <color auto="1"/>
      </right>
      <top style="thin">
        <color theme="0" tint="-0.24994659260841701"/>
      </top>
      <bottom/>
      <diagonal/>
    </border>
    <border>
      <left/>
      <right/>
      <top/>
      <bottom style="thin">
        <color theme="8" tint="-0.24994659260841701"/>
      </bottom>
      <diagonal/>
    </border>
    <border>
      <left/>
      <right/>
      <top style="thin">
        <color theme="3" tint="0.59996337778862885"/>
      </top>
      <bottom style="thin">
        <color theme="3" tint="0.59996337778862885"/>
      </bottom>
      <diagonal/>
    </border>
    <border>
      <left style="thin">
        <color theme="0" tint="-0.34998626667073579"/>
      </left>
      <right/>
      <top/>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indexed="64"/>
      </left>
      <right style="thin">
        <color theme="0" tint="-0.34998626667073579"/>
      </right>
      <top style="thin">
        <color indexed="64"/>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style="thin">
        <color auto="1"/>
      </right>
      <top style="thin">
        <color indexed="64"/>
      </top>
      <bottom style="thin">
        <color theme="0" tint="-0.34998626667073579"/>
      </bottom>
      <diagonal/>
    </border>
    <border>
      <left style="thin">
        <color indexed="64"/>
      </left>
      <right style="thin">
        <color theme="0" tint="-0.24994659260841701"/>
      </right>
      <top style="thin">
        <color theme="0" tint="-0.34998626667073579"/>
      </top>
      <bottom style="thin">
        <color indexed="64"/>
      </bottom>
      <diagonal/>
    </border>
    <border>
      <left style="thin">
        <color theme="0" tint="-0.24994659260841701"/>
      </left>
      <right style="thin">
        <color theme="0" tint="-0.24994659260841701"/>
      </right>
      <top style="thin">
        <color theme="0" tint="-0.34998626667073579"/>
      </top>
      <bottom style="thin">
        <color indexed="64"/>
      </bottom>
      <diagonal/>
    </border>
    <border>
      <left style="thin">
        <color theme="0" tint="-0.24994659260841701"/>
      </left>
      <right style="thin">
        <color auto="1"/>
      </right>
      <top style="thin">
        <color theme="0" tint="-0.34998626667073579"/>
      </top>
      <bottom style="thin">
        <color indexed="64"/>
      </bottom>
      <diagonal/>
    </border>
    <border>
      <left style="thin">
        <color indexed="64"/>
      </left>
      <right style="thin">
        <color indexed="64"/>
      </right>
      <top style="double">
        <color indexed="64"/>
      </top>
      <bottom style="thin">
        <color theme="0" tint="-0.24994659260841701"/>
      </bottom>
      <diagonal/>
    </border>
    <border>
      <left style="thin">
        <color theme="0" tint="-0.24994659260841701"/>
      </left>
      <right style="thin">
        <color indexed="64"/>
      </right>
      <top/>
      <bottom style="thin">
        <color theme="0" tint="-0.34998626667073579"/>
      </bottom>
      <diagonal/>
    </border>
    <border>
      <left/>
      <right/>
      <top/>
      <bottom style="thin">
        <color theme="0" tint="-0.34998626667073579"/>
      </bottom>
      <diagonal/>
    </border>
    <border>
      <left style="thin">
        <color indexed="64"/>
      </left>
      <right style="thin">
        <color theme="0" tint="-0.34998626667073579"/>
      </right>
      <top style="thin">
        <color theme="0" tint="-0.34998626667073579"/>
      </top>
      <bottom style="thin">
        <color theme="1" tint="0.499984740745262"/>
      </bottom>
      <diagonal/>
    </border>
    <border>
      <left/>
      <right/>
      <top style="thin">
        <color theme="0" tint="-0.34998626667073579"/>
      </top>
      <bottom style="thin">
        <color theme="1" tint="0.499984740745262"/>
      </bottom>
      <diagonal/>
    </border>
    <border>
      <left style="thin">
        <color theme="0" tint="-0.34998626667073579"/>
      </left>
      <right/>
      <top style="thin">
        <color theme="0" tint="-0.34998626667073579"/>
      </top>
      <bottom style="thin">
        <color theme="1" tint="0.499984740745262"/>
      </bottom>
      <diagonal/>
    </border>
    <border>
      <left style="thin">
        <color theme="0" tint="-0.34998626667073579"/>
      </left>
      <right style="thin">
        <color indexed="64"/>
      </right>
      <top style="thin">
        <color theme="0" tint="-0.34998626667073579"/>
      </top>
      <bottom style="thin">
        <color theme="1" tint="0.499984740745262"/>
      </bottom>
      <diagonal/>
    </border>
    <border>
      <left/>
      <right style="thin">
        <color theme="0" tint="-0.34998626667073579"/>
      </right>
      <top style="thin">
        <color theme="0" tint="-0.34998626667073579"/>
      </top>
      <bottom style="thin">
        <color theme="1" tint="0.499984740745262"/>
      </bottom>
      <diagonal/>
    </border>
    <border>
      <left/>
      <right style="thin">
        <color indexed="64"/>
      </right>
      <top style="thin">
        <color theme="0" tint="-0.34998626667073579"/>
      </top>
      <bottom style="thin">
        <color theme="1" tint="0.499984740745262"/>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thin">
        <color indexed="64"/>
      </right>
      <top style="thin">
        <color auto="1"/>
      </top>
      <bottom style="thin">
        <color indexed="64"/>
      </bottom>
      <diagonal/>
    </border>
    <border>
      <left style="thin">
        <color auto="1"/>
      </left>
      <right style="thin">
        <color theme="0" tint="-0.34998626667073579"/>
      </right>
      <top style="thin">
        <color indexed="64"/>
      </top>
      <bottom style="thin">
        <color theme="0" tint="-0.24994659260841701"/>
      </bottom>
      <diagonal/>
    </border>
    <border>
      <left style="thin">
        <color theme="0" tint="-0.34998626667073579"/>
      </left>
      <right style="thin">
        <color theme="0" tint="-0.34998626667073579"/>
      </right>
      <top style="thin">
        <color indexed="64"/>
      </top>
      <bottom style="thin">
        <color theme="0" tint="-0.24994659260841701"/>
      </bottom>
      <diagonal/>
    </border>
    <border>
      <left style="thin">
        <color theme="0" tint="-0.34998626667073579"/>
      </left>
      <right style="thin">
        <color indexed="64"/>
      </right>
      <top style="thin">
        <color indexed="64"/>
      </top>
      <bottom style="thin">
        <color theme="0" tint="-0.24994659260841701"/>
      </bottom>
      <diagonal/>
    </border>
    <border>
      <left/>
      <right/>
      <top style="thin">
        <color theme="0" tint="-0.34998626667073579"/>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style="thin">
        <color theme="0" tint="-0.34998626667073579"/>
      </bottom>
      <diagonal/>
    </border>
    <border>
      <left/>
      <right/>
      <top/>
      <bottom style="thin">
        <color theme="3" tint="0.59996337778862885"/>
      </bottom>
      <diagonal/>
    </border>
    <border>
      <left style="thin">
        <color indexed="64"/>
      </left>
      <right style="thin">
        <color theme="0" tint="-0.34998626667073579"/>
      </right>
      <top style="thin">
        <color indexed="64"/>
      </top>
      <bottom/>
      <diagonal/>
    </border>
    <border>
      <left style="thin">
        <color theme="0" tint="-0.34998626667073579"/>
      </left>
      <right/>
      <top style="thin">
        <color indexed="64"/>
      </top>
      <bottom/>
      <diagonal/>
    </border>
    <border>
      <left style="thin">
        <color theme="0" tint="-0.34998626667073579"/>
      </left>
      <right style="thin">
        <color indexed="64"/>
      </right>
      <top style="thin">
        <color indexed="64"/>
      </top>
      <bottom/>
      <diagonal/>
    </border>
    <border>
      <left style="thin">
        <color auto="1"/>
      </left>
      <right style="thin">
        <color theme="0" tint="-0.24994659260841701"/>
      </right>
      <top/>
      <bottom style="thin">
        <color theme="0" tint="-0.34998626667073579"/>
      </bottom>
      <diagonal/>
    </border>
    <border>
      <left style="thin">
        <color theme="0" tint="-0.24994659260841701"/>
      </left>
      <right style="thin">
        <color theme="0" tint="-0.24994659260841701"/>
      </right>
      <top/>
      <bottom style="thin">
        <color theme="0" tint="-0.34998626667073579"/>
      </bottom>
      <diagonal/>
    </border>
    <border>
      <left style="thin">
        <color indexed="64"/>
      </left>
      <right style="thin">
        <color indexed="64"/>
      </right>
      <top style="thin">
        <color indexed="64"/>
      </top>
      <bottom style="thin">
        <color theme="0" tint="-0.34998626667073579"/>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thin">
        <color theme="0" tint="-0.34998626667073579"/>
      </left>
      <right style="thin">
        <color theme="0" tint="-0.34998626667073579"/>
      </right>
      <top/>
      <bottom style="thin">
        <color indexed="64"/>
      </bottom>
      <diagonal/>
    </border>
    <border>
      <left/>
      <right/>
      <top style="thin">
        <color theme="0" tint="-0.34998626667073579"/>
      </top>
      <bottom style="thin">
        <color indexed="64"/>
      </bottom>
      <diagonal/>
    </border>
    <border>
      <left/>
      <right style="thin">
        <color auto="1"/>
      </right>
      <top style="thin">
        <color theme="0" tint="-0.24994659260841701"/>
      </top>
      <bottom style="thin">
        <color theme="0" tint="-0.34998626667073579"/>
      </bottom>
      <diagonal/>
    </border>
    <border>
      <left style="thin">
        <color indexed="64"/>
      </left>
      <right style="thin">
        <color theme="0" tint="-0.34998626667073579"/>
      </right>
      <top style="thin">
        <color theme="0" tint="-0.24994659260841701"/>
      </top>
      <bottom style="thin">
        <color theme="0" tint="-0.34998626667073579"/>
      </bottom>
      <diagonal/>
    </border>
    <border>
      <left style="thin">
        <color theme="0" tint="-0.34998626667073579"/>
      </left>
      <right style="thin">
        <color theme="0" tint="-0.34998626667073579"/>
      </right>
      <top style="thin">
        <color theme="0" tint="-0.24994659260841701"/>
      </top>
      <bottom style="thin">
        <color theme="0" tint="-0.34998626667073579"/>
      </bottom>
      <diagonal/>
    </border>
    <border>
      <left style="thin">
        <color theme="0" tint="-0.34998626667073579"/>
      </left>
      <right style="thin">
        <color indexed="64"/>
      </right>
      <top style="thin">
        <color theme="0" tint="-0.24994659260841701"/>
      </top>
      <bottom style="thin">
        <color theme="0" tint="-0.34998626667073579"/>
      </bottom>
      <diagonal/>
    </border>
    <border>
      <left/>
      <right/>
      <top style="double">
        <color indexed="64"/>
      </top>
      <bottom style="thin">
        <color theme="0" tint="-0.34998626667073579"/>
      </bottom>
      <diagonal/>
    </border>
    <border>
      <left style="thin">
        <color indexed="64"/>
      </left>
      <right/>
      <top style="double">
        <color indexed="64"/>
      </top>
      <bottom style="thin">
        <color theme="0" tint="-0.34998626667073579"/>
      </bottom>
      <diagonal/>
    </border>
    <border>
      <left/>
      <right style="thin">
        <color indexed="64"/>
      </right>
      <top style="double">
        <color indexed="64"/>
      </top>
      <bottom style="thin">
        <color theme="0" tint="-0.34998626667073579"/>
      </bottom>
      <diagonal/>
    </border>
    <border>
      <left/>
      <right style="thin">
        <color indexed="64"/>
      </right>
      <top style="thin">
        <color theme="0" tint="-0.34998626667073579"/>
      </top>
      <bottom/>
      <diagonal/>
    </border>
    <border>
      <left/>
      <right style="thin">
        <color indexed="64"/>
      </right>
      <top style="dotted">
        <color theme="0" tint="-0.34998626667073579"/>
      </top>
      <bottom style="dotted">
        <color theme="0" tint="-0.34998626667073579"/>
      </bottom>
      <diagonal/>
    </border>
    <border>
      <left style="thin">
        <color indexed="64"/>
      </left>
      <right style="thin">
        <color theme="0" tint="-0.34998626667073579"/>
      </right>
      <top style="dotted">
        <color theme="0" tint="-0.34998626667073579"/>
      </top>
      <bottom style="dotted">
        <color theme="0" tint="-0.34998626667073579"/>
      </bottom>
      <diagonal/>
    </border>
    <border>
      <left style="thin">
        <color theme="0" tint="-0.34998626667073579"/>
      </left>
      <right style="thin">
        <color theme="0" tint="-0.34998626667073579"/>
      </right>
      <top style="dotted">
        <color theme="0" tint="-0.34998626667073579"/>
      </top>
      <bottom style="dotted">
        <color theme="0" tint="-0.34998626667073579"/>
      </bottom>
      <diagonal/>
    </border>
    <border>
      <left style="thin">
        <color theme="0" tint="-0.34998626667073579"/>
      </left>
      <right style="thin">
        <color indexed="64"/>
      </right>
      <top style="dotted">
        <color theme="0" tint="-0.34998626667073579"/>
      </top>
      <bottom style="dotted">
        <color theme="0" tint="-0.34998626667073579"/>
      </bottom>
      <diagonal/>
    </border>
    <border>
      <left style="thin">
        <color indexed="64"/>
      </left>
      <right style="thin">
        <color indexed="64"/>
      </right>
      <top style="dotted">
        <color theme="0" tint="-0.34998626667073579"/>
      </top>
      <bottom style="dotted">
        <color theme="0" tint="-0.34998626667073579"/>
      </bottom>
      <diagonal/>
    </border>
    <border>
      <left style="thin">
        <color indexed="64"/>
      </left>
      <right style="thin">
        <color theme="0" tint="-0.34998626667073579"/>
      </right>
      <top/>
      <bottom style="dotted">
        <color theme="0" tint="-0.34998626667073579"/>
      </bottom>
      <diagonal/>
    </border>
    <border>
      <left style="thin">
        <color theme="0" tint="-0.34998626667073579"/>
      </left>
      <right style="thin">
        <color theme="0" tint="-0.34998626667073579"/>
      </right>
      <top/>
      <bottom style="dotted">
        <color theme="0" tint="-0.34998626667073579"/>
      </bottom>
      <diagonal/>
    </border>
    <border>
      <left style="thin">
        <color theme="0" tint="-0.34998626667073579"/>
      </left>
      <right style="thin">
        <color indexed="64"/>
      </right>
      <top/>
      <bottom style="dotted">
        <color theme="0" tint="-0.34998626667073579"/>
      </bottom>
      <diagonal/>
    </border>
    <border>
      <left style="thin">
        <color indexed="64"/>
      </left>
      <right style="thin">
        <color indexed="64"/>
      </right>
      <top/>
      <bottom style="dotted">
        <color theme="0" tint="-0.34998626667073579"/>
      </bottom>
      <diagonal/>
    </border>
    <border>
      <left style="thin">
        <color indexed="64"/>
      </left>
      <right style="thin">
        <color indexed="64"/>
      </right>
      <top style="thin">
        <color theme="0" tint="-0.34998626667073579"/>
      </top>
      <bottom style="dashed">
        <color theme="0" tint="-0.34998626667073579"/>
      </bottom>
      <diagonal/>
    </border>
    <border>
      <left style="thin">
        <color theme="0" tint="-0.34998626667073579"/>
      </left>
      <right style="thin">
        <color theme="0" tint="-0.34998626667073579"/>
      </right>
      <top style="thin">
        <color theme="0" tint="-0.34998626667073579"/>
      </top>
      <bottom style="dashed">
        <color theme="0" tint="-0.34998626667073579"/>
      </bottom>
      <diagonal/>
    </border>
    <border>
      <left style="thin">
        <color theme="0" tint="-0.34998626667073579"/>
      </left>
      <right style="thin">
        <color indexed="64"/>
      </right>
      <top style="thin">
        <color theme="0" tint="-0.34998626667073579"/>
      </top>
      <bottom style="dashed">
        <color theme="0" tint="-0.34998626667073579"/>
      </bottom>
      <diagonal/>
    </border>
    <border>
      <left/>
      <right style="thin">
        <color indexed="64"/>
      </right>
      <top style="dashed">
        <color theme="0" tint="-0.34998626667073579"/>
      </top>
      <bottom style="dotted">
        <color theme="0" tint="-0.34998626667073579"/>
      </bottom>
      <diagonal/>
    </border>
    <border>
      <left style="thin">
        <color indexed="64"/>
      </left>
      <right style="thin">
        <color theme="0" tint="-0.34998626667073579"/>
      </right>
      <top style="dashed">
        <color theme="0" tint="-0.34998626667073579"/>
      </top>
      <bottom style="dotted">
        <color theme="0" tint="-0.34998626667073579"/>
      </bottom>
      <diagonal/>
    </border>
    <border>
      <left style="thin">
        <color theme="0" tint="-0.34998626667073579"/>
      </left>
      <right style="thin">
        <color theme="0" tint="-0.34998626667073579"/>
      </right>
      <top style="dashed">
        <color theme="0" tint="-0.34998626667073579"/>
      </top>
      <bottom style="dotted">
        <color theme="0" tint="-0.34998626667073579"/>
      </bottom>
      <diagonal/>
    </border>
    <border>
      <left style="thin">
        <color theme="0" tint="-0.34998626667073579"/>
      </left>
      <right style="thin">
        <color indexed="64"/>
      </right>
      <top style="dashed">
        <color theme="0" tint="-0.34998626667073579"/>
      </top>
      <bottom style="dotted">
        <color theme="0" tint="-0.34998626667073579"/>
      </bottom>
      <diagonal/>
    </border>
    <border>
      <left style="thin">
        <color indexed="64"/>
      </left>
      <right style="thin">
        <color indexed="64"/>
      </right>
      <top style="dashed">
        <color theme="0" tint="-0.34998626667073579"/>
      </top>
      <bottom style="dotted">
        <color theme="0" tint="-0.34998626667073579"/>
      </bottom>
      <diagonal/>
    </border>
    <border>
      <left style="thin">
        <color indexed="64"/>
      </left>
      <right style="thin">
        <color indexed="64"/>
      </right>
      <top style="medium">
        <color indexed="64"/>
      </top>
      <bottom style="thin">
        <color theme="0" tint="-0.34998626667073579"/>
      </bottom>
      <diagonal/>
    </border>
    <border>
      <left/>
      <right style="thin">
        <color indexed="64"/>
      </right>
      <top style="dotted">
        <color theme="0" tint="-0.34998626667073579"/>
      </top>
      <bottom/>
      <diagonal/>
    </border>
    <border>
      <left style="thin">
        <color indexed="64"/>
      </left>
      <right style="thin">
        <color theme="0" tint="-0.34998626667073579"/>
      </right>
      <top style="dotted">
        <color theme="0" tint="-0.34998626667073579"/>
      </top>
      <bottom/>
      <diagonal/>
    </border>
    <border>
      <left style="thin">
        <color theme="0" tint="-0.34998626667073579"/>
      </left>
      <right style="thin">
        <color theme="0" tint="-0.34998626667073579"/>
      </right>
      <top style="dotted">
        <color theme="0" tint="-0.34998626667073579"/>
      </top>
      <bottom/>
      <diagonal/>
    </border>
    <border>
      <left style="thin">
        <color theme="0" tint="-0.34998626667073579"/>
      </left>
      <right style="thin">
        <color indexed="64"/>
      </right>
      <top style="dotted">
        <color theme="0" tint="-0.34998626667073579"/>
      </top>
      <bottom/>
      <diagonal/>
    </border>
    <border>
      <left style="thin">
        <color indexed="64"/>
      </left>
      <right style="thin">
        <color indexed="64"/>
      </right>
      <top style="dotted">
        <color theme="0" tint="-0.34998626667073579"/>
      </top>
      <bottom/>
      <diagonal/>
    </border>
    <border>
      <left/>
      <right style="thin">
        <color indexed="64"/>
      </right>
      <top style="medium">
        <color indexed="64"/>
      </top>
      <bottom style="thin">
        <color theme="0" tint="-0.34998626667073579"/>
      </bottom>
      <diagonal/>
    </border>
    <border>
      <left style="thin">
        <color indexed="64"/>
      </left>
      <right style="thin">
        <color theme="0" tint="-0.34998626667073579"/>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thin">
        <color indexed="64"/>
      </left>
      <right style="thin">
        <color indexed="64"/>
      </right>
      <top style="medium">
        <color indexed="64"/>
      </top>
      <bottom style="medium">
        <color indexed="64"/>
      </bottom>
      <diagonal/>
    </border>
    <border>
      <left style="thin">
        <color theme="0" tint="-0.34998626667073579"/>
      </left>
      <right style="thin">
        <color theme="0" tint="-0.34998626667073579"/>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theme="0" tint="-0.34998626667073579"/>
      </right>
      <top style="medium">
        <color indexed="64"/>
      </top>
      <bottom style="medium">
        <color indexed="64"/>
      </bottom>
      <diagonal/>
    </border>
    <border>
      <left style="thin">
        <color theme="0" tint="-0.34998626667073579"/>
      </left>
      <right style="thin">
        <color theme="0" tint="-0.34998626667073579"/>
      </right>
      <top style="medium">
        <color indexed="64"/>
      </top>
      <bottom style="medium">
        <color indexed="64"/>
      </bottom>
      <diagonal/>
    </border>
    <border>
      <left style="thin">
        <color theme="0" tint="-0.34998626667073579"/>
      </left>
      <right style="thin">
        <color indexed="64"/>
      </right>
      <top style="medium">
        <color indexed="64"/>
      </top>
      <bottom style="medium">
        <color indexed="64"/>
      </bottom>
      <diagonal/>
    </border>
    <border>
      <left/>
      <right style="thin">
        <color indexed="64"/>
      </right>
      <top style="dotted">
        <color theme="0" tint="-0.34998626667073579"/>
      </top>
      <bottom style="medium">
        <color indexed="64"/>
      </bottom>
      <diagonal/>
    </border>
    <border>
      <left style="thin">
        <color indexed="64"/>
      </left>
      <right style="thin">
        <color theme="0" tint="-0.34998626667073579"/>
      </right>
      <top style="dotted">
        <color theme="0" tint="-0.34998626667073579"/>
      </top>
      <bottom style="medium">
        <color indexed="64"/>
      </bottom>
      <diagonal/>
    </border>
    <border>
      <left style="thin">
        <color theme="0" tint="-0.34998626667073579"/>
      </left>
      <right style="thin">
        <color theme="0" tint="-0.34998626667073579"/>
      </right>
      <top style="dotted">
        <color theme="0" tint="-0.34998626667073579"/>
      </top>
      <bottom style="medium">
        <color indexed="64"/>
      </bottom>
      <diagonal/>
    </border>
    <border>
      <left style="thin">
        <color theme="0" tint="-0.34998626667073579"/>
      </left>
      <right style="thin">
        <color indexed="64"/>
      </right>
      <top style="dotted">
        <color theme="0" tint="-0.34998626667073579"/>
      </top>
      <bottom style="medium">
        <color indexed="64"/>
      </bottom>
      <diagonal/>
    </border>
    <border>
      <left style="thin">
        <color indexed="64"/>
      </left>
      <right style="thin">
        <color indexed="64"/>
      </right>
      <top style="dotted">
        <color theme="0" tint="-0.34998626667073579"/>
      </top>
      <bottom style="medium">
        <color indexed="64"/>
      </bottom>
      <diagonal/>
    </border>
    <border>
      <left style="medium">
        <color theme="3" tint="-0.499984740745262"/>
      </left>
      <right/>
      <top style="medium">
        <color theme="3" tint="-0.499984740745262"/>
      </top>
      <bottom/>
      <diagonal/>
    </border>
    <border>
      <left/>
      <right/>
      <top style="medium">
        <color theme="3" tint="-0.499984740745262"/>
      </top>
      <bottom/>
      <diagonal/>
    </border>
    <border>
      <left/>
      <right/>
      <top style="thin">
        <color rgb="FFA1B0C3"/>
      </top>
      <bottom style="thin">
        <color rgb="FFA1B0C3"/>
      </bottom>
      <diagonal/>
    </border>
    <border>
      <left/>
      <right/>
      <top style="thin">
        <color rgb="FF5F7593"/>
      </top>
      <bottom style="thin">
        <color rgb="FFA1B0C3"/>
      </bottom>
      <diagonal/>
    </border>
    <border>
      <left/>
      <right/>
      <top style="thin">
        <color rgb="FFA1B0C3"/>
      </top>
      <bottom style="thin">
        <color rgb="FF5F7593"/>
      </bottom>
      <diagonal/>
    </border>
    <border>
      <left/>
      <right/>
      <top style="thin">
        <color rgb="FFA1B0C3"/>
      </top>
      <bottom/>
      <diagonal/>
    </border>
    <border>
      <left style="medium">
        <color theme="8" tint="-0.499984740745262"/>
      </left>
      <right/>
      <top style="medium">
        <color theme="8" tint="-0.499984740745262"/>
      </top>
      <bottom style="medium">
        <color theme="8" tint="-0.499984740745262"/>
      </bottom>
      <diagonal/>
    </border>
    <border>
      <left/>
      <right/>
      <top style="medium">
        <color theme="8" tint="-0.499984740745262"/>
      </top>
      <bottom style="medium">
        <color theme="8" tint="-0.499984740745262"/>
      </bottom>
      <diagonal/>
    </border>
    <border>
      <left/>
      <right style="medium">
        <color theme="8" tint="-0.499984740745262"/>
      </right>
      <top style="medium">
        <color theme="8" tint="-0.499984740745262"/>
      </top>
      <bottom style="medium">
        <color theme="8" tint="-0.499984740745262"/>
      </bottom>
      <diagonal/>
    </border>
    <border>
      <left/>
      <right/>
      <top style="thin">
        <color indexed="64"/>
      </top>
      <bottom style="medium">
        <color indexed="64"/>
      </bottom>
      <diagonal/>
    </border>
    <border>
      <left/>
      <right/>
      <top/>
      <bottom style="thin">
        <color rgb="FF5F7593"/>
      </bottom>
      <diagonal/>
    </border>
    <border>
      <left/>
      <right style="medium">
        <color indexed="64"/>
      </right>
      <top style="thin">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top style="medium">
        <color indexed="64"/>
      </top>
      <bottom/>
      <diagonal/>
    </border>
    <border>
      <left/>
      <right style="medium">
        <color indexed="64"/>
      </right>
      <top/>
      <bottom style="thin">
        <color indexed="64"/>
      </bottom>
      <diagonal/>
    </border>
    <border>
      <left style="medium">
        <color indexed="64"/>
      </left>
      <right/>
      <top/>
      <bottom style="thin">
        <color indexed="64"/>
      </bottom>
      <diagonal/>
    </border>
    <border>
      <left/>
      <right style="thin">
        <color indexed="64"/>
      </right>
      <top/>
      <bottom style="medium">
        <color indexed="64"/>
      </bottom>
      <diagonal/>
    </border>
    <border>
      <left/>
      <right style="thin">
        <color indexed="64"/>
      </right>
      <top style="medium">
        <color indexed="64"/>
      </top>
      <bottom/>
      <diagonal/>
    </border>
    <border>
      <left/>
      <right style="thin">
        <color theme="0" tint="-0.34998626667073579"/>
      </right>
      <top style="thin">
        <color theme="0" tint="-0.34998626667073579"/>
      </top>
      <bottom style="dashed">
        <color theme="0" tint="-0.34998626667073579"/>
      </bottom>
      <diagonal/>
    </border>
    <border>
      <left/>
      <right style="thin">
        <color indexed="64"/>
      </right>
      <top style="thin">
        <color theme="0" tint="-0.34998626667073579"/>
      </top>
      <bottom style="dashed">
        <color theme="0" tint="-0.34998626667073579"/>
      </bottom>
      <diagonal/>
    </border>
    <border>
      <left style="thin">
        <color rgb="FF002060"/>
      </left>
      <right style="thin">
        <color theme="8" tint="-0.499984740745262"/>
      </right>
      <top/>
      <bottom/>
      <diagonal/>
    </border>
    <border>
      <left/>
      <right style="medium">
        <color theme="8" tint="-0.499984740745262"/>
      </right>
      <top/>
      <bottom/>
      <diagonal/>
    </border>
    <border>
      <left/>
      <right style="medium">
        <color theme="8" tint="-0.499984740745262"/>
      </right>
      <top/>
      <bottom style="medium">
        <color rgb="FF002060"/>
      </bottom>
      <diagonal/>
    </border>
    <border>
      <left/>
      <right style="medium">
        <color theme="8" tint="-0.499984740745262"/>
      </right>
      <top/>
      <bottom style="thin">
        <color theme="3" tint="0.59996337778862885"/>
      </bottom>
      <diagonal/>
    </border>
    <border>
      <left/>
      <right style="medium">
        <color theme="8" tint="-0.499984740745262"/>
      </right>
      <top style="thin">
        <color theme="3" tint="0.59996337778862885"/>
      </top>
      <bottom style="thin">
        <color theme="3" tint="0.59996337778862885"/>
      </bottom>
      <diagonal/>
    </border>
    <border>
      <left style="medium">
        <color rgb="FF002060"/>
      </left>
      <right/>
      <top/>
      <bottom style="medium">
        <color theme="8" tint="-0.499984740745262"/>
      </bottom>
      <diagonal/>
    </border>
    <border>
      <left style="medium">
        <color theme="8" tint="-0.499984740745262"/>
      </left>
      <right/>
      <top/>
      <bottom style="medium">
        <color rgb="FF002060"/>
      </bottom>
      <diagonal/>
    </border>
    <border>
      <left/>
      <right/>
      <top style="thin">
        <color theme="3" tint="0.59996337778862885"/>
      </top>
      <bottom/>
      <diagonal/>
    </border>
    <border>
      <left/>
      <right style="medium">
        <color theme="8" tint="-0.499984740745262"/>
      </right>
      <top style="thin">
        <color theme="3" tint="0.59996337778862885"/>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theme="0" tint="-0.34998626667073579"/>
      </bottom>
      <diagonal/>
    </border>
    <border>
      <left style="thin">
        <color indexed="64"/>
      </left>
      <right style="medium">
        <color indexed="64"/>
      </right>
      <top/>
      <bottom style="thin">
        <color theme="0" tint="-0.34998626667073579"/>
      </bottom>
      <diagonal/>
    </border>
    <border>
      <left style="medium">
        <color indexed="64"/>
      </left>
      <right/>
      <top style="thin">
        <color theme="0" tint="-0.34998626667073579"/>
      </top>
      <bottom style="thin">
        <color theme="0" tint="-0.34998626667073579"/>
      </bottom>
      <diagonal/>
    </border>
    <border>
      <left style="thin">
        <color indexed="64"/>
      </left>
      <right style="medium">
        <color indexed="64"/>
      </right>
      <top style="thin">
        <color theme="0" tint="-0.34998626667073579"/>
      </top>
      <bottom/>
      <diagonal/>
    </border>
    <border>
      <left style="medium">
        <color indexed="64"/>
      </left>
      <right/>
      <top style="thin">
        <color theme="0" tint="-0.34998626667073579"/>
      </top>
      <bottom/>
      <diagonal/>
    </border>
    <border>
      <left style="medium">
        <color indexed="64"/>
      </left>
      <right/>
      <top style="dashed">
        <color theme="0" tint="-0.34998626667073579"/>
      </top>
      <bottom style="dotted">
        <color theme="0" tint="-0.34998626667073579"/>
      </bottom>
      <diagonal/>
    </border>
    <border>
      <left style="thin">
        <color indexed="64"/>
      </left>
      <right style="medium">
        <color indexed="64"/>
      </right>
      <top style="dashed">
        <color theme="0" tint="-0.34998626667073579"/>
      </top>
      <bottom style="dotted">
        <color theme="0" tint="-0.34998626667073579"/>
      </bottom>
      <diagonal/>
    </border>
    <border>
      <left style="medium">
        <color indexed="64"/>
      </left>
      <right/>
      <top style="dotted">
        <color theme="0" tint="-0.34998626667073579"/>
      </top>
      <bottom style="dotted">
        <color theme="0" tint="-0.34998626667073579"/>
      </bottom>
      <diagonal/>
    </border>
    <border>
      <left style="thin">
        <color indexed="64"/>
      </left>
      <right style="medium">
        <color indexed="64"/>
      </right>
      <top style="dotted">
        <color theme="0" tint="-0.34998626667073579"/>
      </top>
      <bottom style="dotted">
        <color theme="0" tint="-0.34998626667073579"/>
      </bottom>
      <diagonal/>
    </border>
    <border>
      <left style="medium">
        <color indexed="64"/>
      </left>
      <right/>
      <top style="dotted">
        <color theme="0" tint="-0.34998626667073579"/>
      </top>
      <bottom/>
      <diagonal/>
    </border>
    <border>
      <left style="thin">
        <color indexed="64"/>
      </left>
      <right style="medium">
        <color indexed="64"/>
      </right>
      <top style="dotted">
        <color theme="0" tint="-0.34998626667073579"/>
      </top>
      <bottom/>
      <diagonal/>
    </border>
    <border>
      <left style="medium">
        <color indexed="64"/>
      </left>
      <right/>
      <top style="medium">
        <color indexed="64"/>
      </top>
      <bottom style="thin">
        <color theme="0" tint="-0.34998626667073579"/>
      </bottom>
      <diagonal/>
    </border>
    <border>
      <left style="thin">
        <color indexed="64"/>
      </left>
      <right style="medium">
        <color indexed="64"/>
      </right>
      <top style="medium">
        <color indexed="64"/>
      </top>
      <bottom style="thin">
        <color theme="0" tint="-0.34998626667073579"/>
      </bottom>
      <diagonal/>
    </border>
    <border>
      <left/>
      <right style="medium">
        <color indexed="64"/>
      </right>
      <top style="medium">
        <color indexed="64"/>
      </top>
      <bottom style="medium">
        <color indexed="64"/>
      </bottom>
      <diagonal/>
    </border>
    <border>
      <left style="thin">
        <color indexed="64"/>
      </left>
      <right style="medium">
        <color indexed="64"/>
      </right>
      <top/>
      <bottom/>
      <diagonal/>
    </border>
    <border>
      <left style="medium">
        <color indexed="64"/>
      </left>
      <right/>
      <top style="dotted">
        <color theme="0" tint="-0.34998626667073579"/>
      </top>
      <bottom style="medium">
        <color indexed="64"/>
      </bottom>
      <diagonal/>
    </border>
    <border>
      <left style="thin">
        <color indexed="64"/>
      </left>
      <right style="medium">
        <color indexed="64"/>
      </right>
      <top style="dotted">
        <color theme="0" tint="-0.34998626667073579"/>
      </top>
      <bottom style="medium">
        <color indexed="64"/>
      </bottom>
      <diagonal/>
    </border>
    <border>
      <left style="thin">
        <color indexed="64"/>
      </left>
      <right style="thin">
        <color theme="0" tint="-0.34998626667073579"/>
      </right>
      <top/>
      <bottom style="medium">
        <color indexed="64"/>
      </bottom>
      <diagonal/>
    </border>
    <border>
      <left style="thin">
        <color theme="0" tint="-0.34998626667073579"/>
      </left>
      <right style="thin">
        <color theme="0" tint="-0.34998626667073579"/>
      </right>
      <top/>
      <bottom style="medium">
        <color indexed="64"/>
      </bottom>
      <diagonal/>
    </border>
    <border>
      <left style="thin">
        <color theme="0" tint="-0.34998626667073579"/>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theme="0" tint="-0.34998626667073579"/>
      </right>
      <top/>
      <bottom style="dashed">
        <color theme="0" tint="-0.34998626667073579"/>
      </bottom>
      <diagonal/>
    </border>
    <border>
      <left style="thin">
        <color theme="0" tint="-0.34998626667073579"/>
      </left>
      <right style="thin">
        <color theme="0" tint="-0.34998626667073579"/>
      </right>
      <top/>
      <bottom style="dashed">
        <color theme="0" tint="-0.34998626667073579"/>
      </bottom>
      <diagonal/>
    </border>
    <border>
      <left style="thin">
        <color theme="0" tint="-0.34998626667073579"/>
      </left>
      <right style="thin">
        <color indexed="64"/>
      </right>
      <top/>
      <bottom style="dashed">
        <color theme="0" tint="-0.34998626667073579"/>
      </bottom>
      <diagonal/>
    </border>
    <border>
      <left style="thin">
        <color indexed="64"/>
      </left>
      <right style="thin">
        <color theme="0" tint="-0.34998626667073579"/>
      </right>
      <top style="thin">
        <color theme="0" tint="-0.34998626667073579"/>
      </top>
      <bottom style="dashed">
        <color theme="0" tint="-0.34998626667073579"/>
      </bottom>
      <diagonal/>
    </border>
    <border>
      <left style="medium">
        <color theme="8" tint="-0.499984740745262"/>
      </left>
      <right/>
      <top/>
      <bottom style="thin">
        <color theme="3" tint="0.59996337778862885"/>
      </bottom>
      <diagonal/>
    </border>
    <border>
      <left style="medium">
        <color theme="8" tint="-0.499984740745262"/>
      </left>
      <right/>
      <top style="thin">
        <color theme="3" tint="0.59996337778862885"/>
      </top>
      <bottom style="thin">
        <color theme="3" tint="0.59996337778862885"/>
      </bottom>
      <diagonal/>
    </border>
    <border>
      <left style="medium">
        <color theme="8" tint="-0.499984740745262"/>
      </left>
      <right/>
      <top style="thin">
        <color theme="3" tint="0.59996337778862885"/>
      </top>
      <bottom/>
      <diagonal/>
    </border>
    <border>
      <left/>
      <right/>
      <top/>
      <bottom style="thin">
        <color theme="0" tint="-0.24994659260841701"/>
      </bottom>
      <diagonal/>
    </border>
    <border>
      <left/>
      <right/>
      <top style="thin">
        <color theme="0" tint="-0.24994659260841701"/>
      </top>
      <bottom/>
      <diagonal/>
    </border>
    <border>
      <left style="medium">
        <color indexed="64"/>
      </left>
      <right/>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style="thin">
        <color theme="0" tint="-0.34998626667073579"/>
      </bottom>
      <diagonal/>
    </border>
    <border>
      <left style="thin">
        <color indexed="64"/>
      </left>
      <right style="medium">
        <color indexed="64"/>
      </right>
      <top style="thin">
        <color indexed="64"/>
      </top>
      <bottom style="thin">
        <color theme="0" tint="-0.34998626667073579"/>
      </bottom>
      <diagonal/>
    </border>
    <border>
      <left style="thin">
        <color indexed="64"/>
      </left>
      <right style="medium">
        <color indexed="64"/>
      </right>
      <top style="thin">
        <color theme="0" tint="-0.34998626667073579"/>
      </top>
      <bottom style="thin">
        <color theme="0" tint="-0.34998626667073579"/>
      </bottom>
      <diagonal/>
    </border>
    <border>
      <left style="medium">
        <color indexed="64"/>
      </left>
      <right/>
      <top style="thin">
        <color theme="0" tint="-0.34998626667073579"/>
      </top>
      <bottom style="dashed">
        <color theme="0" tint="-0.34998626667073579"/>
      </bottom>
      <diagonal/>
    </border>
    <border>
      <left style="thin">
        <color indexed="64"/>
      </left>
      <right style="medium">
        <color indexed="64"/>
      </right>
      <top style="thin">
        <color theme="0" tint="-0.34998626667073579"/>
      </top>
      <bottom style="dashed">
        <color theme="0" tint="-0.34998626667073579"/>
      </bottom>
      <diagonal/>
    </border>
    <border>
      <left style="thin">
        <color indexed="64"/>
      </left>
      <right style="medium">
        <color indexed="64"/>
      </right>
      <top/>
      <bottom style="dotted">
        <color theme="0" tint="-0.34998626667073579"/>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theme="0" tint="-0.24994659260841701"/>
      </bottom>
      <diagonal/>
    </border>
    <border>
      <left style="medium">
        <color indexed="64"/>
      </left>
      <right/>
      <top style="thin">
        <color theme="0" tint="-0.24994659260841701"/>
      </top>
      <bottom style="thin">
        <color theme="0" tint="-0.34998626667073579"/>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theme="0" tint="-0.34998626667073579"/>
      </bottom>
      <diagonal/>
    </border>
    <border>
      <left style="thin">
        <color indexed="64"/>
      </left>
      <right style="medium">
        <color indexed="64"/>
      </right>
      <top style="thin">
        <color theme="0" tint="-0.34998626667073579"/>
      </top>
      <bottom style="thin">
        <color indexed="64"/>
      </bottom>
      <diagonal/>
    </border>
    <border>
      <left/>
      <right style="medium">
        <color indexed="64"/>
      </right>
      <top style="thin">
        <color theme="0" tint="-0.34998626667073579"/>
      </top>
      <bottom style="thin">
        <color theme="0" tint="-0.34998626667073579"/>
      </bottom>
      <diagonal/>
    </border>
    <border>
      <left style="thin">
        <color indexed="64"/>
      </left>
      <right style="thin">
        <color theme="0" tint="-0.34998626667073579"/>
      </right>
      <top style="thin">
        <color indexed="64"/>
      </top>
      <bottom style="medium">
        <color indexed="64"/>
      </bottom>
      <diagonal/>
    </border>
    <border>
      <left style="thin">
        <color theme="0" tint="-0.34998626667073579"/>
      </left>
      <right style="thin">
        <color theme="0" tint="-0.34998626667073579"/>
      </right>
      <top style="thin">
        <color indexed="64"/>
      </top>
      <bottom style="medium">
        <color indexed="64"/>
      </bottom>
      <diagonal/>
    </border>
    <border>
      <left style="thin">
        <color theme="0" tint="-0.34998626667073579"/>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theme="0" tint="-0.34998626667073579"/>
      </top>
      <bottom style="thin">
        <color indexed="64"/>
      </bottom>
      <diagonal/>
    </border>
    <border>
      <left/>
      <right style="medium">
        <color indexed="64"/>
      </right>
      <top style="thin">
        <color theme="0" tint="-0.34998626667073579"/>
      </top>
      <bottom style="thin">
        <color indexed="64"/>
      </bottom>
      <diagonal/>
    </border>
    <border>
      <left/>
      <right style="medium">
        <color indexed="64"/>
      </right>
      <top style="thin">
        <color indexed="64"/>
      </top>
      <bottom style="thin">
        <color theme="0" tint="-0.24994659260841701"/>
      </bottom>
      <diagonal/>
    </border>
    <border>
      <left style="thin">
        <color indexed="64"/>
      </left>
      <right style="medium">
        <color indexed="64"/>
      </right>
      <top style="thin">
        <color theme="0" tint="-0.24994659260841701"/>
      </top>
      <bottom style="thin">
        <color indexed="64"/>
      </bottom>
      <diagonal/>
    </border>
    <border>
      <left style="thin">
        <color theme="4" tint="-0.499984740745262"/>
      </left>
      <right style="thin">
        <color theme="4" tint="-0.499984740745262"/>
      </right>
      <top/>
      <bottom/>
      <diagonal/>
    </border>
    <border>
      <left/>
      <right/>
      <top style="thin">
        <color theme="8" tint="-0.24994659260841701"/>
      </top>
      <bottom style="thin">
        <color theme="8" tint="-0.24994659260841701"/>
      </bottom>
      <diagonal/>
    </border>
    <border>
      <left/>
      <right/>
      <top style="thin">
        <color theme="4" tint="-0.499984740745262"/>
      </top>
      <bottom style="thin">
        <color theme="4" tint="-0.499984740745262"/>
      </bottom>
      <diagonal/>
    </border>
    <border>
      <left style="thin">
        <color theme="8" tint="-0.499984740745262"/>
      </left>
      <right/>
      <top/>
      <bottom style="thin">
        <color theme="8" tint="-0.24994659260841701"/>
      </bottom>
      <diagonal/>
    </border>
    <border>
      <left/>
      <right style="thin">
        <color theme="8" tint="-0.499984740745262"/>
      </right>
      <top/>
      <bottom style="thin">
        <color theme="8" tint="-0.24994659260841701"/>
      </bottom>
      <diagonal/>
    </border>
    <border>
      <left style="thin">
        <color theme="8" tint="-0.499984740745262"/>
      </left>
      <right/>
      <top style="thin">
        <color theme="8" tint="-0.24994659260841701"/>
      </top>
      <bottom style="thin">
        <color theme="8" tint="-0.24994659260841701"/>
      </bottom>
      <diagonal/>
    </border>
    <border>
      <left/>
      <right style="thin">
        <color theme="8" tint="-0.499984740745262"/>
      </right>
      <top style="thin">
        <color theme="8" tint="-0.24994659260841701"/>
      </top>
      <bottom style="thin">
        <color theme="8" tint="-0.24994659260841701"/>
      </bottom>
      <diagonal/>
    </border>
    <border>
      <left style="thin">
        <color theme="9" tint="-0.499984740745262"/>
      </left>
      <right/>
      <top/>
      <bottom/>
      <diagonal/>
    </border>
    <border>
      <left/>
      <right style="thin">
        <color theme="9" tint="-0.499984740745262"/>
      </right>
      <top/>
      <bottom/>
      <diagonal/>
    </border>
    <border>
      <left style="thin">
        <color theme="9" tint="-0.499984740745262"/>
      </left>
      <right/>
      <top/>
      <bottom style="thin">
        <color theme="9" tint="-0.24994659260841701"/>
      </bottom>
      <diagonal/>
    </border>
    <border>
      <left/>
      <right style="thin">
        <color theme="9" tint="-0.499984740745262"/>
      </right>
      <top/>
      <bottom style="thin">
        <color theme="9" tint="-0.24994659260841701"/>
      </bottom>
      <diagonal/>
    </border>
    <border>
      <left/>
      <right style="thin">
        <color theme="9" tint="-0.499984740745262"/>
      </right>
      <top style="thin">
        <color theme="9" tint="-0.24994659260841701"/>
      </top>
      <bottom style="thin">
        <color theme="9" tint="-0.24994659260841701"/>
      </bottom>
      <diagonal/>
    </border>
    <border>
      <left style="thin">
        <color theme="9" tint="-0.499984740745262"/>
      </left>
      <right/>
      <top style="thin">
        <color theme="9" tint="-0.24994659260841701"/>
      </top>
      <bottom style="thin">
        <color theme="9" tint="-0.24994659260841701"/>
      </bottom>
      <diagonal/>
    </border>
    <border>
      <left/>
      <right style="thin">
        <color theme="9" tint="-0.499984740745262"/>
      </right>
      <top style="thin">
        <color theme="9" tint="-0.24994659260841701"/>
      </top>
      <bottom/>
      <diagonal/>
    </border>
    <border>
      <left/>
      <right style="thin">
        <color theme="9" tint="-0.499984740745262"/>
      </right>
      <top/>
      <bottom style="thin">
        <color theme="9" tint="-0.499984740745262"/>
      </bottom>
      <diagonal/>
    </border>
    <border>
      <left/>
      <right/>
      <top style="thin">
        <color rgb="FFCDBEAF"/>
      </top>
      <bottom style="thin">
        <color rgb="FFCDBEAF"/>
      </bottom>
      <diagonal/>
    </border>
    <border>
      <left/>
      <right/>
      <top style="thin">
        <color rgb="FF886940"/>
      </top>
      <bottom/>
      <diagonal/>
    </border>
    <border>
      <left/>
      <right/>
      <top/>
      <bottom style="thin">
        <color rgb="FF886940"/>
      </bottom>
      <diagonal/>
    </border>
    <border>
      <left/>
      <right style="thin">
        <color theme="4" tint="-0.499984740745262"/>
      </right>
      <top style="thin">
        <color theme="8" tint="-0.499984740745262"/>
      </top>
      <bottom/>
      <diagonal/>
    </border>
    <border>
      <left/>
      <right style="thin">
        <color theme="4" tint="-0.499984740745262"/>
      </right>
      <top/>
      <bottom style="thin">
        <color theme="8" tint="-0.499984740745262"/>
      </bottom>
      <diagonal/>
    </border>
    <border>
      <left style="thick">
        <color theme="3"/>
      </left>
      <right/>
      <top/>
      <bottom/>
      <diagonal/>
    </border>
    <border>
      <left/>
      <right/>
      <top style="thin">
        <color rgb="FFC0DED0"/>
      </top>
      <bottom style="thin">
        <color rgb="FFC0DED0"/>
      </bottom>
      <diagonal/>
    </border>
    <border>
      <left/>
      <right/>
      <top style="thin">
        <color rgb="FF82BCA0"/>
      </top>
      <bottom style="thin">
        <color rgb="FFC0DED0"/>
      </bottom>
      <diagonal/>
    </border>
    <border>
      <left/>
      <right/>
      <top style="thin">
        <color rgb="FFC0DED0"/>
      </top>
      <bottom style="thin">
        <color rgb="FF82BCA0"/>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theme="3" tint="0.59996337778862885"/>
      </left>
      <right/>
      <top style="thin">
        <color theme="3" tint="0.59996337778862885"/>
      </top>
      <bottom style="thin">
        <color theme="3" tint="0.59996337778862885"/>
      </bottom>
      <diagonal/>
    </border>
    <border>
      <left/>
      <right style="thin">
        <color theme="3" tint="0.59996337778862885"/>
      </right>
      <top style="thin">
        <color theme="3" tint="0.59996337778862885"/>
      </top>
      <bottom style="thin">
        <color theme="3" tint="0.59996337778862885"/>
      </bottom>
      <diagonal/>
    </border>
    <border>
      <left/>
      <right/>
      <top style="medium">
        <color theme="8" tint="-0.499984740745262"/>
      </top>
      <bottom/>
      <diagonal/>
    </border>
    <border>
      <left/>
      <right style="thick">
        <color theme="0"/>
      </right>
      <top/>
      <bottom/>
      <diagonal/>
    </border>
    <border>
      <left/>
      <right style="medium">
        <color theme="8" tint="-0.499984740745262"/>
      </right>
      <top style="medium">
        <color theme="8" tint="-0.499984740745262"/>
      </top>
      <bottom/>
      <diagonal/>
    </border>
    <border>
      <left/>
      <right/>
      <top style="medium">
        <color rgb="FF002060"/>
      </top>
      <bottom/>
      <diagonal/>
    </border>
    <border>
      <left/>
      <right/>
      <top style="thick">
        <color theme="0"/>
      </top>
      <bottom/>
      <diagonal/>
    </border>
    <border>
      <left/>
      <right/>
      <top/>
      <bottom style="medium">
        <color rgb="FF8989E7"/>
      </bottom>
      <diagonal/>
    </border>
    <border>
      <left/>
      <right/>
      <top/>
      <bottom style="medium">
        <color rgb="FFC24AB4"/>
      </bottom>
      <diagonal/>
    </border>
    <border>
      <left/>
      <right/>
      <top/>
      <bottom style="medium">
        <color rgb="FF5E3983"/>
      </bottom>
      <diagonal/>
    </border>
    <border>
      <left/>
      <right/>
      <top/>
      <bottom style="medium">
        <color theme="4" tint="-0.499984740745262"/>
      </bottom>
      <diagonal/>
    </border>
    <border>
      <left style="thin">
        <color theme="0"/>
      </left>
      <right style="thin">
        <color theme="0"/>
      </right>
      <top/>
      <bottom style="thin">
        <color theme="4" tint="-0.499984740745262"/>
      </bottom>
      <diagonal/>
    </border>
    <border>
      <left style="thin">
        <color theme="0"/>
      </left>
      <right style="thin">
        <color theme="0"/>
      </right>
      <top/>
      <bottom/>
      <diagonal/>
    </border>
    <border>
      <left style="thin">
        <color theme="0"/>
      </left>
      <right style="thin">
        <color theme="0"/>
      </right>
      <top style="thin">
        <color theme="4" tint="-0.499984740745262"/>
      </top>
      <bottom/>
      <diagonal/>
    </border>
    <border>
      <left/>
      <right/>
      <top/>
      <bottom style="thin">
        <color theme="0"/>
      </bottom>
      <diagonal/>
    </border>
    <border>
      <left style="thin">
        <color theme="0"/>
      </left>
      <right style="thin">
        <color theme="0"/>
      </right>
      <top/>
      <bottom style="thin">
        <color theme="0"/>
      </bottom>
      <diagonal/>
    </border>
    <border>
      <left style="thin">
        <color theme="4" tint="-0.499984740745262"/>
      </left>
      <right/>
      <top/>
      <bottom style="thin">
        <color theme="0"/>
      </bottom>
      <diagonal/>
    </border>
    <border>
      <left style="medium">
        <color theme="3" tint="0.59996337778862885"/>
      </left>
      <right/>
      <top/>
      <bottom/>
      <diagonal/>
    </border>
    <border>
      <left/>
      <right style="thin">
        <color theme="8" tint="-0.499984740745262"/>
      </right>
      <top style="thin">
        <color auto="1"/>
      </top>
      <bottom/>
      <diagonal/>
    </border>
    <border>
      <left style="thin">
        <color theme="8" tint="-0.499984740745262"/>
      </left>
      <right/>
      <top style="thin">
        <color auto="1"/>
      </top>
      <bottom/>
      <diagonal/>
    </border>
    <border>
      <left style="thin">
        <color theme="8" tint="-0.499984740745262"/>
      </left>
      <right/>
      <top/>
      <bottom style="thin">
        <color auto="1"/>
      </bottom>
      <diagonal/>
    </border>
    <border>
      <left/>
      <right style="thin">
        <color theme="8" tint="-0.499984740745262"/>
      </right>
      <top/>
      <bottom style="thin">
        <color auto="1"/>
      </bottom>
      <diagonal/>
    </border>
    <border>
      <left style="medium">
        <color theme="4" tint="-0.499984740745262"/>
      </left>
      <right/>
      <top/>
      <bottom/>
      <diagonal/>
    </border>
    <border>
      <left/>
      <right style="medium">
        <color theme="4" tint="-0.499984740745262"/>
      </right>
      <top/>
      <bottom/>
      <diagonal/>
    </border>
    <border>
      <left style="thin">
        <color theme="4" tint="-0.499984740745262"/>
      </left>
      <right style="thin">
        <color theme="0"/>
      </right>
      <top/>
      <bottom style="thin">
        <color theme="4" tint="-0.499984740745262"/>
      </bottom>
      <diagonal/>
    </border>
    <border>
      <left style="thin">
        <color theme="0"/>
      </left>
      <right/>
      <top/>
      <bottom style="thin">
        <color theme="4" tint="-0.499984740745262"/>
      </bottom>
      <diagonal/>
    </border>
    <border>
      <left/>
      <right/>
      <top style="medium">
        <color rgb="FF5E3983"/>
      </top>
      <bottom style="thin">
        <color theme="8" tint="-0.499984740745262"/>
      </bottom>
      <diagonal/>
    </border>
    <border>
      <left style="thin">
        <color theme="9" tint="-0.499984740745262"/>
      </left>
      <right/>
      <top style="thin">
        <color theme="9" tint="-0.24994659260841701"/>
      </top>
      <bottom/>
      <diagonal/>
    </border>
    <border>
      <left/>
      <right style="thin">
        <color theme="4" tint="-0.499984740745262"/>
      </right>
      <top/>
      <bottom style="thin">
        <color theme="9" tint="-0.499984740745262"/>
      </bottom>
      <diagonal/>
    </border>
    <border>
      <left style="thin">
        <color theme="8" tint="-0.24994659260841701"/>
      </left>
      <right/>
      <top/>
      <bottom style="thin">
        <color theme="8" tint="-0.24994659260841701"/>
      </bottom>
      <diagonal/>
    </border>
    <border>
      <left style="thin">
        <color theme="8" tint="-0.24994659260841701"/>
      </left>
      <right/>
      <top style="thin">
        <color theme="8" tint="-0.24994659260841701"/>
      </top>
      <bottom style="thin">
        <color theme="8" tint="-0.24994659260841701"/>
      </bottom>
      <diagonal/>
    </border>
    <border>
      <left style="thin">
        <color theme="9" tint="-0.24994659260841701"/>
      </left>
      <right/>
      <top style="thin">
        <color theme="9" tint="-0.24994659260841701"/>
      </top>
      <bottom/>
      <diagonal/>
    </border>
    <border>
      <left style="thin">
        <color theme="9" tint="-0.24994659260841701"/>
      </left>
      <right/>
      <top/>
      <bottom/>
      <diagonal/>
    </border>
    <border>
      <left style="thin">
        <color theme="9" tint="-0.24994659260841701"/>
      </left>
      <right/>
      <top/>
      <bottom style="thin">
        <color theme="9" tint="-0.24994659260841701"/>
      </bottom>
      <diagonal/>
    </border>
    <border>
      <left style="thin">
        <color theme="9" tint="-0.24994659260841701"/>
      </left>
      <right/>
      <top style="thin">
        <color theme="9" tint="-0.24994659260841701"/>
      </top>
      <bottom style="thin">
        <color theme="9" tint="-0.24994659260841701"/>
      </bottom>
      <diagonal/>
    </border>
    <border>
      <left style="thick">
        <color rgb="FFFF0000"/>
      </left>
      <right style="thick">
        <color rgb="FFFF0000"/>
      </right>
      <top style="thick">
        <color rgb="FFFF0000"/>
      </top>
      <bottom style="thick">
        <color rgb="FFFF0000"/>
      </bottom>
      <diagonal/>
    </border>
  </borders>
  <cellStyleXfs count="5">
    <xf numFmtId="0" fontId="0" fillId="0" borderId="0"/>
    <xf numFmtId="0" fontId="34" fillId="22" borderId="0" applyNumberFormat="0" applyBorder="0" applyAlignment="0" applyProtection="0"/>
    <xf numFmtId="0" fontId="85" fillId="26" borderId="0" applyNumberFormat="0" applyBorder="0" applyAlignment="0" applyProtection="0"/>
    <xf numFmtId="0" fontId="122" fillId="0" borderId="0" applyNumberFormat="0" applyFill="0" applyBorder="0" applyAlignment="0" applyProtection="0"/>
    <xf numFmtId="43" fontId="357" fillId="0" borderId="0" applyFont="0" applyFill="0" applyBorder="0" applyAlignment="0" applyProtection="0"/>
  </cellStyleXfs>
  <cellXfs count="3987">
    <xf numFmtId="0" fontId="0" fillId="0" borderId="0" xfId="0"/>
    <xf numFmtId="0" fontId="0" fillId="4" borderId="0" xfId="0" applyFill="1"/>
    <xf numFmtId="0" fontId="0" fillId="0" borderId="0" xfId="0" applyAlignment="1">
      <alignment horizontal="left"/>
    </xf>
    <xf numFmtId="0" fontId="0" fillId="0" borderId="0" xfId="0" applyAlignment="1">
      <alignment vertical="center"/>
    </xf>
    <xf numFmtId="164" fontId="4" fillId="0" borderId="0" xfId="0" applyNumberFormat="1" applyFont="1"/>
    <xf numFmtId="164" fontId="0" fillId="0" borderId="0" xfId="0" applyNumberFormat="1"/>
    <xf numFmtId="0" fontId="0" fillId="0" borderId="0" xfId="0" applyAlignment="1">
      <alignment vertical="top"/>
    </xf>
    <xf numFmtId="165" fontId="0" fillId="0" borderId="0" xfId="0" applyNumberFormat="1"/>
    <xf numFmtId="164" fontId="4" fillId="4" borderId="0" xfId="0" applyNumberFormat="1" applyFont="1" applyFill="1" applyAlignment="1" applyProtection="1">
      <alignment horizontal="right" vertical="center" indent="1"/>
      <protection hidden="1"/>
    </xf>
    <xf numFmtId="164" fontId="5" fillId="4" borderId="48" xfId="0" applyNumberFormat="1" applyFont="1" applyFill="1" applyBorder="1" applyAlignment="1" applyProtection="1">
      <alignment horizontal="right" vertical="center" indent="1"/>
      <protection hidden="1"/>
    </xf>
    <xf numFmtId="0" fontId="5" fillId="0" borderId="0" xfId="0" applyFont="1"/>
    <xf numFmtId="164" fontId="41" fillId="4" borderId="0" xfId="0" applyNumberFormat="1" applyFont="1" applyFill="1" applyAlignment="1" applyProtection="1">
      <alignment horizontal="center" vertical="center"/>
      <protection hidden="1"/>
    </xf>
    <xf numFmtId="164" fontId="5" fillId="4" borderId="7" xfId="0" applyNumberFormat="1" applyFont="1" applyFill="1" applyBorder="1" applyAlignment="1" applyProtection="1">
      <alignment horizontal="left" vertical="center" indent="1"/>
      <protection hidden="1"/>
    </xf>
    <xf numFmtId="0" fontId="5" fillId="4" borderId="117" xfId="0" applyFont="1" applyFill="1" applyBorder="1" applyAlignment="1" applyProtection="1">
      <alignment horizontal="center" vertical="center"/>
      <protection hidden="1"/>
    </xf>
    <xf numFmtId="0" fontId="49" fillId="24" borderId="66" xfId="0" applyFont="1" applyFill="1" applyBorder="1" applyAlignment="1" applyProtection="1">
      <alignment horizontal="center" vertical="center"/>
      <protection hidden="1"/>
    </xf>
    <xf numFmtId="0" fontId="49" fillId="24" borderId="0" xfId="0" applyFont="1" applyFill="1" applyAlignment="1" applyProtection="1">
      <alignment horizontal="left" vertical="center" indent="1"/>
      <protection hidden="1"/>
    </xf>
    <xf numFmtId="164" fontId="49" fillId="24" borderId="0" xfId="0" applyNumberFormat="1" applyFont="1" applyFill="1" applyAlignment="1" applyProtection="1">
      <alignment horizontal="right" vertical="center" indent="1"/>
      <protection hidden="1"/>
    </xf>
    <xf numFmtId="164" fontId="50" fillId="24" borderId="48" xfId="0" applyNumberFormat="1" applyFont="1" applyFill="1" applyBorder="1" applyAlignment="1" applyProtection="1">
      <alignment vertical="center"/>
      <protection hidden="1"/>
    </xf>
    <xf numFmtId="164" fontId="49" fillId="24" borderId="0" xfId="0" applyNumberFormat="1" applyFont="1" applyFill="1" applyAlignment="1" applyProtection="1">
      <alignment horizontal="left" vertical="center"/>
      <protection hidden="1"/>
    </xf>
    <xf numFmtId="164" fontId="5" fillId="4" borderId="58" xfId="0" applyNumberFormat="1" applyFont="1" applyFill="1" applyBorder="1" applyAlignment="1" applyProtection="1">
      <alignment horizontal="left" vertical="center" indent="1"/>
      <protection hidden="1"/>
    </xf>
    <xf numFmtId="164" fontId="5" fillId="4" borderId="98" xfId="0" applyNumberFormat="1" applyFont="1" applyFill="1" applyBorder="1" applyAlignment="1" applyProtection="1">
      <alignment horizontal="left" vertical="center" indent="1"/>
      <protection hidden="1"/>
    </xf>
    <xf numFmtId="0" fontId="52" fillId="0" borderId="0" xfId="0" applyFont="1" applyAlignment="1" applyProtection="1">
      <alignment horizontal="center"/>
      <protection hidden="1"/>
    </xf>
    <xf numFmtId="0" fontId="22" fillId="4" borderId="0" xfId="0" applyFont="1" applyFill="1" applyAlignment="1" applyProtection="1">
      <alignment horizontal="left" vertical="top"/>
      <protection hidden="1"/>
    </xf>
    <xf numFmtId="0" fontId="6" fillId="4" borderId="0" xfId="0" applyFont="1" applyFill="1" applyAlignment="1" applyProtection="1">
      <alignment horizontal="left" indent="1"/>
      <protection hidden="1"/>
    </xf>
    <xf numFmtId="0" fontId="31" fillId="4" borderId="0" xfId="0" applyFont="1" applyFill="1" applyAlignment="1" applyProtection="1">
      <alignment horizontal="center" vertical="center"/>
      <protection hidden="1"/>
    </xf>
    <xf numFmtId="0" fontId="31" fillId="4" borderId="0" xfId="0" applyFont="1" applyFill="1" applyAlignment="1" applyProtection="1">
      <alignment horizontal="left" indent="1"/>
      <protection hidden="1"/>
    </xf>
    <xf numFmtId="0" fontId="19" fillId="4" borderId="0" xfId="0" applyFont="1" applyFill="1" applyAlignment="1" applyProtection="1">
      <alignment horizontal="left" indent="1"/>
      <protection hidden="1"/>
    </xf>
    <xf numFmtId="0" fontId="13" fillId="4" borderId="0" xfId="0" applyFont="1" applyFill="1" applyProtection="1">
      <protection hidden="1"/>
    </xf>
    <xf numFmtId="0" fontId="0" fillId="0" borderId="0" xfId="0" applyProtection="1">
      <protection hidden="1"/>
    </xf>
    <xf numFmtId="0" fontId="10" fillId="9" borderId="0" xfId="0" applyFont="1" applyFill="1" applyProtection="1">
      <protection hidden="1"/>
    </xf>
    <xf numFmtId="0" fontId="11" fillId="9" borderId="0" xfId="0" applyFont="1" applyFill="1" applyAlignment="1" applyProtection="1">
      <alignment vertical="center"/>
      <protection hidden="1"/>
    </xf>
    <xf numFmtId="0" fontId="10" fillId="9" borderId="0" xfId="0" applyFont="1" applyFill="1" applyAlignment="1" applyProtection="1">
      <alignment vertical="center"/>
      <protection hidden="1"/>
    </xf>
    <xf numFmtId="0" fontId="7" fillId="9" borderId="0" xfId="0" applyFont="1" applyFill="1" applyProtection="1">
      <protection hidden="1"/>
    </xf>
    <xf numFmtId="0" fontId="7" fillId="4" borderId="0" xfId="0" applyFont="1" applyFill="1" applyProtection="1">
      <protection hidden="1"/>
    </xf>
    <xf numFmtId="0" fontId="1" fillId="9" borderId="0" xfId="0" applyFont="1" applyFill="1" applyAlignment="1" applyProtection="1">
      <alignment vertical="center"/>
      <protection hidden="1"/>
    </xf>
    <xf numFmtId="0" fontId="1" fillId="4" borderId="0" xfId="0" applyFont="1" applyFill="1" applyAlignment="1" applyProtection="1">
      <alignment vertical="center"/>
      <protection hidden="1"/>
    </xf>
    <xf numFmtId="0" fontId="5" fillId="10" borderId="0" xfId="0" applyFont="1" applyFill="1" applyProtection="1">
      <protection hidden="1"/>
    </xf>
    <xf numFmtId="0" fontId="21" fillId="10" borderId="0" xfId="0" applyFont="1" applyFill="1" applyAlignment="1" applyProtection="1">
      <alignment vertical="center"/>
      <protection hidden="1"/>
    </xf>
    <xf numFmtId="0" fontId="0" fillId="10" borderId="0" xfId="0" applyFill="1" applyProtection="1">
      <protection hidden="1"/>
    </xf>
    <xf numFmtId="0" fontId="31" fillId="10" borderId="0" xfId="0" applyFont="1" applyFill="1" applyAlignment="1" applyProtection="1">
      <alignment horizontal="right" vertical="center"/>
      <protection hidden="1"/>
    </xf>
    <xf numFmtId="0" fontId="12" fillId="5" borderId="11" xfId="0" applyFont="1" applyFill="1" applyBorder="1" applyProtection="1">
      <protection hidden="1"/>
    </xf>
    <xf numFmtId="0" fontId="12" fillId="5" borderId="12" xfId="0" applyFont="1" applyFill="1" applyBorder="1" applyProtection="1">
      <protection hidden="1"/>
    </xf>
    <xf numFmtId="0" fontId="12" fillId="5" borderId="13" xfId="0" applyFont="1" applyFill="1" applyBorder="1" applyProtection="1">
      <protection hidden="1"/>
    </xf>
    <xf numFmtId="0" fontId="12" fillId="0" borderId="0" xfId="0" applyFont="1" applyProtection="1">
      <protection hidden="1"/>
    </xf>
    <xf numFmtId="0" fontId="12" fillId="5" borderId="14" xfId="0" applyFont="1" applyFill="1" applyBorder="1" applyProtection="1">
      <protection hidden="1"/>
    </xf>
    <xf numFmtId="0" fontId="12" fillId="4" borderId="19" xfId="0" applyFont="1" applyFill="1" applyBorder="1" applyProtection="1">
      <protection hidden="1"/>
    </xf>
    <xf numFmtId="0" fontId="12" fillId="4" borderId="20" xfId="0" applyFont="1" applyFill="1" applyBorder="1" applyProtection="1">
      <protection hidden="1"/>
    </xf>
    <xf numFmtId="0" fontId="12" fillId="4" borderId="21" xfId="0" applyFont="1" applyFill="1" applyBorder="1" applyProtection="1">
      <protection hidden="1"/>
    </xf>
    <xf numFmtId="0" fontId="12" fillId="5" borderId="27" xfId="0" applyFont="1" applyFill="1" applyBorder="1" applyProtection="1">
      <protection hidden="1"/>
    </xf>
    <xf numFmtId="0" fontId="0" fillId="5" borderId="27" xfId="0" applyFill="1" applyBorder="1" applyProtection="1">
      <protection hidden="1"/>
    </xf>
    <xf numFmtId="0" fontId="12" fillId="4" borderId="22" xfId="0" applyFont="1" applyFill="1" applyBorder="1" applyProtection="1">
      <protection hidden="1"/>
    </xf>
    <xf numFmtId="0" fontId="29" fillId="4" borderId="0" xfId="0" applyFont="1" applyFill="1" applyAlignment="1" applyProtection="1">
      <alignment vertical="top"/>
      <protection hidden="1"/>
    </xf>
    <xf numFmtId="0" fontId="10" fillId="4" borderId="0" xfId="0" applyFont="1" applyFill="1" applyProtection="1">
      <protection hidden="1"/>
    </xf>
    <xf numFmtId="0" fontId="31" fillId="4" borderId="0" xfId="0" applyFont="1" applyFill="1" applyAlignment="1" applyProtection="1">
      <alignment horizontal="left" vertical="top"/>
      <protection hidden="1"/>
    </xf>
    <xf numFmtId="0" fontId="31" fillId="4" borderId="0" xfId="0" applyFont="1" applyFill="1" applyAlignment="1" applyProtection="1">
      <alignment horizontal="left" vertical="center"/>
      <protection hidden="1"/>
    </xf>
    <xf numFmtId="0" fontId="0" fillId="4" borderId="0" xfId="0" applyFill="1" applyProtection="1">
      <protection hidden="1"/>
    </xf>
    <xf numFmtId="0" fontId="31" fillId="4" borderId="22" xfId="0" applyFont="1" applyFill="1" applyBorder="1" applyAlignment="1" applyProtection="1">
      <alignment horizontal="left" vertical="top"/>
      <protection hidden="1"/>
    </xf>
    <xf numFmtId="0" fontId="29" fillId="4" borderId="0" xfId="0" applyFont="1" applyFill="1" applyAlignment="1" applyProtection="1">
      <alignment horizontal="left" vertical="top" indent="1"/>
      <protection hidden="1"/>
    </xf>
    <xf numFmtId="0" fontId="1" fillId="4" borderId="0" xfId="0" applyFont="1" applyFill="1" applyProtection="1">
      <protection hidden="1"/>
    </xf>
    <xf numFmtId="0" fontId="12" fillId="4" borderId="0" xfId="0" applyFont="1" applyFill="1" applyProtection="1">
      <protection hidden="1"/>
    </xf>
    <xf numFmtId="0" fontId="28" fillId="4" borderId="0" xfId="0" applyFont="1" applyFill="1" applyAlignment="1" applyProtection="1">
      <alignment horizontal="left" vertical="top" indent="3"/>
      <protection hidden="1"/>
    </xf>
    <xf numFmtId="0" fontId="12" fillId="4" borderId="23" xfId="0" applyFont="1" applyFill="1" applyBorder="1" applyProtection="1">
      <protection hidden="1"/>
    </xf>
    <xf numFmtId="0" fontId="28" fillId="4" borderId="0" xfId="0" applyFont="1" applyFill="1" applyAlignment="1" applyProtection="1">
      <alignment horizontal="left" vertical="center" indent="1"/>
      <protection hidden="1"/>
    </xf>
    <xf numFmtId="0" fontId="12" fillId="5" borderId="14" xfId="0" applyFont="1" applyFill="1" applyBorder="1" applyAlignment="1" applyProtection="1">
      <alignment vertical="center"/>
      <protection hidden="1"/>
    </xf>
    <xf numFmtId="0" fontId="12" fillId="4" borderId="22" xfId="0" applyFont="1" applyFill="1" applyBorder="1" applyAlignment="1" applyProtection="1">
      <alignment vertical="center"/>
      <protection hidden="1"/>
    </xf>
    <xf numFmtId="0" fontId="17" fillId="4" borderId="0" xfId="0" applyFont="1" applyFill="1" applyAlignment="1" applyProtection="1">
      <alignment horizontal="left" vertical="center" indent="1"/>
      <protection hidden="1"/>
    </xf>
    <xf numFmtId="0" fontId="17" fillId="4" borderId="0" xfId="0" applyFont="1" applyFill="1" applyAlignment="1" applyProtection="1">
      <alignment horizontal="left"/>
      <protection hidden="1"/>
    </xf>
    <xf numFmtId="0" fontId="17" fillId="4" borderId="23" xfId="0" applyFont="1" applyFill="1" applyBorder="1" applyAlignment="1" applyProtection="1">
      <alignment horizontal="left"/>
      <protection hidden="1"/>
    </xf>
    <xf numFmtId="0" fontId="17" fillId="4" borderId="22" xfId="0" applyFont="1" applyFill="1" applyBorder="1" applyAlignment="1" applyProtection="1">
      <alignment horizontal="left"/>
      <protection hidden="1"/>
    </xf>
    <xf numFmtId="0" fontId="12" fillId="4" borderId="23" xfId="0" applyFont="1" applyFill="1" applyBorder="1" applyAlignment="1" applyProtection="1">
      <alignment vertical="center"/>
      <protection hidden="1"/>
    </xf>
    <xf numFmtId="0" fontId="0" fillId="5" borderId="27" xfId="0" applyFill="1" applyBorder="1" applyAlignment="1" applyProtection="1">
      <alignment vertical="center"/>
      <protection hidden="1"/>
    </xf>
    <xf numFmtId="0" fontId="12" fillId="0" borderId="0" xfId="0" applyFont="1" applyAlignment="1" applyProtection="1">
      <alignment vertical="center"/>
      <protection hidden="1"/>
    </xf>
    <xf numFmtId="0" fontId="0" fillId="0" borderId="0" xfId="0" applyAlignment="1" applyProtection="1">
      <alignment vertical="center"/>
      <protection hidden="1"/>
    </xf>
    <xf numFmtId="0" fontId="14" fillId="4" borderId="0" xfId="0" applyFont="1" applyFill="1" applyAlignment="1" applyProtection="1">
      <alignment horizontal="right" vertical="center"/>
      <protection hidden="1"/>
    </xf>
    <xf numFmtId="166" fontId="14" fillId="4" borderId="0" xfId="0" applyNumberFormat="1" applyFont="1" applyFill="1" applyAlignment="1" applyProtection="1">
      <alignment horizontal="left" vertical="center"/>
      <protection hidden="1"/>
    </xf>
    <xf numFmtId="0" fontId="12" fillId="4" borderId="0" xfId="0" applyFont="1" applyFill="1" applyAlignment="1" applyProtection="1">
      <alignment vertical="center"/>
      <protection hidden="1"/>
    </xf>
    <xf numFmtId="0" fontId="14" fillId="4" borderId="0" xfId="0" applyFont="1" applyFill="1" applyAlignment="1" applyProtection="1">
      <alignment vertical="center"/>
      <protection hidden="1"/>
    </xf>
    <xf numFmtId="0" fontId="14" fillId="4" borderId="0" xfId="0" applyFont="1" applyFill="1" applyAlignment="1" applyProtection="1">
      <alignment horizontal="left" vertical="center"/>
      <protection hidden="1"/>
    </xf>
    <xf numFmtId="0" fontId="5" fillId="4" borderId="0" xfId="0" applyFont="1" applyFill="1" applyAlignment="1" applyProtection="1">
      <alignment vertical="center"/>
      <protection hidden="1"/>
    </xf>
    <xf numFmtId="0" fontId="14" fillId="4" borderId="23" xfId="0" applyFont="1" applyFill="1" applyBorder="1" applyAlignment="1" applyProtection="1">
      <alignment vertical="center"/>
      <protection hidden="1"/>
    </xf>
    <xf numFmtId="0" fontId="14" fillId="4" borderId="22" xfId="0" applyFont="1" applyFill="1" applyBorder="1" applyAlignment="1" applyProtection="1">
      <alignment vertical="center"/>
      <protection hidden="1"/>
    </xf>
    <xf numFmtId="166" fontId="14" fillId="4" borderId="0" xfId="0" applyNumberFormat="1" applyFont="1" applyFill="1" applyAlignment="1" applyProtection="1">
      <alignment vertical="center"/>
      <protection hidden="1"/>
    </xf>
    <xf numFmtId="0" fontId="0" fillId="4" borderId="0" xfId="0" applyFill="1" applyAlignment="1" applyProtection="1">
      <alignment vertical="center"/>
      <protection hidden="1"/>
    </xf>
    <xf numFmtId="0" fontId="12" fillId="4" borderId="0" xfId="0" applyFont="1" applyFill="1" applyAlignment="1" applyProtection="1">
      <alignment horizontal="left" vertical="center"/>
      <protection hidden="1"/>
    </xf>
    <xf numFmtId="0" fontId="0" fillId="4" borderId="23" xfId="0" applyFill="1" applyBorder="1" applyAlignment="1" applyProtection="1">
      <alignment vertical="center"/>
      <protection hidden="1"/>
    </xf>
    <xf numFmtId="0" fontId="3" fillId="4" borderId="0" xfId="0" applyFont="1" applyFill="1" applyAlignment="1" applyProtection="1">
      <alignment vertical="center" wrapText="1"/>
      <protection hidden="1"/>
    </xf>
    <xf numFmtId="0" fontId="12" fillId="4" borderId="0" xfId="0" applyFont="1" applyFill="1" applyAlignment="1" applyProtection="1">
      <alignment horizontal="right" vertical="center"/>
      <protection hidden="1"/>
    </xf>
    <xf numFmtId="0" fontId="23" fillId="0" borderId="0" xfId="0" applyFont="1" applyAlignment="1" applyProtection="1">
      <alignment horizontal="right" vertical="top"/>
      <protection hidden="1"/>
    </xf>
    <xf numFmtId="0" fontId="14" fillId="4" borderId="0" xfId="0" applyFont="1" applyFill="1" applyAlignment="1" applyProtection="1">
      <alignment horizontal="right" indent="1"/>
      <protection hidden="1"/>
    </xf>
    <xf numFmtId="0" fontId="14" fillId="4" borderId="0" xfId="0" applyFont="1" applyFill="1" applyAlignment="1" applyProtection="1">
      <alignment horizontal="right"/>
      <protection hidden="1"/>
    </xf>
    <xf numFmtId="0" fontId="30" fillId="4" borderId="0" xfId="0" applyFont="1" applyFill="1" applyProtection="1">
      <protection hidden="1"/>
    </xf>
    <xf numFmtId="0" fontId="12" fillId="4" borderId="24" xfId="0" applyFont="1" applyFill="1" applyBorder="1" applyProtection="1">
      <protection hidden="1"/>
    </xf>
    <xf numFmtId="0" fontId="12" fillId="4" borderId="25" xfId="0" applyFont="1" applyFill="1" applyBorder="1" applyProtection="1">
      <protection hidden="1"/>
    </xf>
    <xf numFmtId="0" fontId="12" fillId="4" borderId="26" xfId="0" applyFont="1" applyFill="1" applyBorder="1" applyProtection="1">
      <protection hidden="1"/>
    </xf>
    <xf numFmtId="0" fontId="12" fillId="5" borderId="17" xfId="0" applyFont="1" applyFill="1" applyBorder="1" applyProtection="1">
      <protection hidden="1"/>
    </xf>
    <xf numFmtId="0" fontId="12" fillId="5" borderId="16" xfId="0" applyFont="1" applyFill="1" applyBorder="1" applyProtection="1">
      <protection hidden="1"/>
    </xf>
    <xf numFmtId="0" fontId="12" fillId="5" borderId="18" xfId="0" applyFont="1" applyFill="1" applyBorder="1" applyProtection="1">
      <protection hidden="1"/>
    </xf>
    <xf numFmtId="0" fontId="31" fillId="10" borderId="0" xfId="0" applyFont="1" applyFill="1" applyAlignment="1" applyProtection="1">
      <alignment vertical="center"/>
      <protection hidden="1"/>
    </xf>
    <xf numFmtId="0" fontId="12" fillId="5" borderId="20" xfId="0" applyFont="1" applyFill="1" applyBorder="1" applyProtection="1">
      <protection hidden="1"/>
    </xf>
    <xf numFmtId="0" fontId="12" fillId="5" borderId="0" xfId="0" applyFont="1" applyFill="1" applyProtection="1">
      <protection hidden="1"/>
    </xf>
    <xf numFmtId="0" fontId="12" fillId="5" borderId="15" xfId="0" applyFont="1" applyFill="1" applyBorder="1" applyProtection="1">
      <protection hidden="1"/>
    </xf>
    <xf numFmtId="0" fontId="16" fillId="4" borderId="7" xfId="0" applyFont="1" applyFill="1" applyBorder="1" applyAlignment="1" applyProtection="1">
      <alignment horizontal="left" vertical="top" indent="1"/>
      <protection hidden="1"/>
    </xf>
    <xf numFmtId="0" fontId="29" fillId="4" borderId="0" xfId="0" applyFont="1" applyFill="1" applyAlignment="1" applyProtection="1">
      <alignment horizontal="left" vertical="top"/>
      <protection hidden="1"/>
    </xf>
    <xf numFmtId="0" fontId="14" fillId="4" borderId="0" xfId="0" applyFont="1" applyFill="1" applyProtection="1">
      <protection hidden="1"/>
    </xf>
    <xf numFmtId="0" fontId="0" fillId="0" borderId="7" xfId="0" applyBorder="1" applyProtection="1">
      <protection hidden="1"/>
    </xf>
    <xf numFmtId="0" fontId="12" fillId="4" borderId="25" xfId="0" applyFont="1" applyFill="1" applyBorder="1" applyAlignment="1" applyProtection="1">
      <alignment horizontal="center" vertical="center"/>
      <protection hidden="1"/>
    </xf>
    <xf numFmtId="0" fontId="12" fillId="5" borderId="25" xfId="0" applyFont="1" applyFill="1" applyBorder="1" applyProtection="1">
      <protection hidden="1"/>
    </xf>
    <xf numFmtId="0" fontId="21" fillId="10" borderId="0" xfId="0" applyFont="1" applyFill="1" applyAlignment="1" applyProtection="1">
      <alignment horizontal="left" vertical="center" indent="1"/>
      <protection hidden="1"/>
    </xf>
    <xf numFmtId="0" fontId="21" fillId="10" borderId="0" xfId="0" applyFont="1" applyFill="1" applyAlignment="1" applyProtection="1">
      <alignment horizontal="left" vertical="center"/>
      <protection hidden="1"/>
    </xf>
    <xf numFmtId="0" fontId="12" fillId="5" borderId="35" xfId="0" applyFont="1" applyFill="1" applyBorder="1" applyProtection="1">
      <protection hidden="1"/>
    </xf>
    <xf numFmtId="0" fontId="12" fillId="4" borderId="47" xfId="0" applyFont="1" applyFill="1" applyBorder="1" applyProtection="1">
      <protection hidden="1"/>
    </xf>
    <xf numFmtId="0" fontId="12" fillId="4" borderId="35" xfId="0" applyFont="1" applyFill="1" applyBorder="1" applyProtection="1">
      <protection hidden="1"/>
    </xf>
    <xf numFmtId="0" fontId="12" fillId="4" borderId="36" xfId="0" applyFont="1" applyFill="1" applyBorder="1" applyProtection="1">
      <protection hidden="1"/>
    </xf>
    <xf numFmtId="0" fontId="12" fillId="4" borderId="34" xfId="0" applyFont="1" applyFill="1" applyBorder="1" applyProtection="1">
      <protection hidden="1"/>
    </xf>
    <xf numFmtId="0" fontId="12" fillId="4" borderId="38" xfId="0" applyFont="1" applyFill="1" applyBorder="1" applyProtection="1">
      <protection hidden="1"/>
    </xf>
    <xf numFmtId="0" fontId="12" fillId="4" borderId="37" xfId="0" applyFont="1" applyFill="1" applyBorder="1" applyProtection="1">
      <protection hidden="1"/>
    </xf>
    <xf numFmtId="0" fontId="12" fillId="4" borderId="40" xfId="0" applyFont="1" applyFill="1" applyBorder="1" applyProtection="1">
      <protection hidden="1"/>
    </xf>
    <xf numFmtId="0" fontId="12" fillId="4" borderId="41" xfId="0" applyFont="1" applyFill="1" applyBorder="1" applyProtection="1">
      <protection hidden="1"/>
    </xf>
    <xf numFmtId="0" fontId="12" fillId="4" borderId="39" xfId="0" applyFont="1" applyFill="1" applyBorder="1" applyProtection="1">
      <protection hidden="1"/>
    </xf>
    <xf numFmtId="0" fontId="12" fillId="5" borderId="40" xfId="0" applyFont="1" applyFill="1" applyBorder="1" applyProtection="1">
      <protection hidden="1"/>
    </xf>
    <xf numFmtId="0" fontId="0" fillId="4" borderId="23" xfId="0" applyFill="1" applyBorder="1" applyProtection="1">
      <protection hidden="1"/>
    </xf>
    <xf numFmtId="0" fontId="0" fillId="5" borderId="22" xfId="0" applyFill="1" applyBorder="1" applyProtection="1">
      <protection hidden="1"/>
    </xf>
    <xf numFmtId="0" fontId="0" fillId="4" borderId="22" xfId="0" applyFill="1" applyBorder="1" applyProtection="1">
      <protection hidden="1"/>
    </xf>
    <xf numFmtId="0" fontId="14" fillId="4" borderId="0" xfId="0" applyFont="1" applyFill="1" applyAlignment="1" applyProtection="1">
      <alignment horizontal="left" vertical="top" indent="1"/>
      <protection hidden="1"/>
    </xf>
    <xf numFmtId="0" fontId="12" fillId="4" borderId="0" xfId="0" applyFont="1" applyFill="1" applyAlignment="1" applyProtection="1">
      <alignment horizontal="left" indent="1"/>
      <protection hidden="1"/>
    </xf>
    <xf numFmtId="0" fontId="16" fillId="4" borderId="0" xfId="0" applyFont="1" applyFill="1" applyAlignment="1" applyProtection="1">
      <alignment horizontal="left" vertical="top" indent="1"/>
      <protection hidden="1"/>
    </xf>
    <xf numFmtId="0" fontId="14" fillId="4" borderId="0" xfId="0" applyFont="1" applyFill="1" applyAlignment="1" applyProtection="1">
      <alignment vertical="top"/>
      <protection hidden="1"/>
    </xf>
    <xf numFmtId="0" fontId="14" fillId="4" borderId="0" xfId="0" applyFont="1" applyFill="1" applyAlignment="1" applyProtection="1">
      <alignment horizontal="left" vertical="top" wrapText="1" indent="1"/>
      <protection hidden="1"/>
    </xf>
    <xf numFmtId="0" fontId="14" fillId="4" borderId="0" xfId="0" applyFont="1" applyFill="1" applyAlignment="1" applyProtection="1">
      <alignment vertical="top" wrapText="1"/>
      <protection hidden="1"/>
    </xf>
    <xf numFmtId="0" fontId="14" fillId="4" borderId="0" xfId="0" applyFont="1" applyFill="1" applyAlignment="1" applyProtection="1">
      <alignment horizontal="left" vertical="top" wrapText="1"/>
      <protection hidden="1"/>
    </xf>
    <xf numFmtId="0" fontId="14" fillId="4" borderId="0" xfId="0" applyFont="1" applyFill="1" applyAlignment="1" applyProtection="1">
      <alignment horizontal="right" vertical="top" wrapText="1"/>
      <protection hidden="1"/>
    </xf>
    <xf numFmtId="0" fontId="0" fillId="5" borderId="22" xfId="0" applyFill="1" applyBorder="1" applyAlignment="1" applyProtection="1">
      <alignment vertical="center"/>
      <protection hidden="1"/>
    </xf>
    <xf numFmtId="0" fontId="0" fillId="4" borderId="22" xfId="0" applyFill="1" applyBorder="1" applyAlignment="1" applyProtection="1">
      <alignment vertical="center"/>
      <protection hidden="1"/>
    </xf>
    <xf numFmtId="0" fontId="12" fillId="3" borderId="32" xfId="0" applyFont="1" applyFill="1" applyBorder="1" applyAlignment="1" applyProtection="1">
      <alignment vertical="center"/>
      <protection hidden="1"/>
    </xf>
    <xf numFmtId="0" fontId="12" fillId="4" borderId="32" xfId="0" applyFont="1" applyFill="1" applyBorder="1" applyAlignment="1" applyProtection="1">
      <alignment vertical="center"/>
      <protection hidden="1"/>
    </xf>
    <xf numFmtId="0" fontId="12" fillId="4" borderId="32" xfId="0" applyFont="1" applyFill="1" applyBorder="1" applyAlignment="1" applyProtection="1">
      <alignment horizontal="right" vertical="center" indent="1"/>
      <protection hidden="1"/>
    </xf>
    <xf numFmtId="0" fontId="12" fillId="5" borderId="0" xfId="0" applyFont="1" applyFill="1" applyAlignment="1" applyProtection="1">
      <alignment vertical="center"/>
      <protection hidden="1"/>
    </xf>
    <xf numFmtId="0" fontId="12" fillId="5" borderId="15" xfId="0" applyFont="1" applyFill="1" applyBorder="1" applyAlignment="1" applyProtection="1">
      <alignment vertical="center"/>
      <protection hidden="1"/>
    </xf>
    <xf numFmtId="0" fontId="12" fillId="4" borderId="0" xfId="0" applyFont="1" applyFill="1" applyAlignment="1" applyProtection="1">
      <alignment horizontal="right" indent="1"/>
      <protection hidden="1"/>
    </xf>
    <xf numFmtId="0" fontId="12" fillId="2" borderId="31" xfId="0" applyFont="1" applyFill="1" applyBorder="1" applyAlignment="1" applyProtection="1">
      <alignment vertical="center"/>
      <protection hidden="1"/>
    </xf>
    <xf numFmtId="0" fontId="12" fillId="4" borderId="31" xfId="0" applyFont="1" applyFill="1" applyBorder="1" applyAlignment="1" applyProtection="1">
      <alignment vertical="center"/>
      <protection hidden="1"/>
    </xf>
    <xf numFmtId="0" fontId="12" fillId="4" borderId="31" xfId="0" applyFont="1" applyFill="1" applyBorder="1" applyAlignment="1" applyProtection="1">
      <alignment horizontal="right" vertical="center" indent="1"/>
      <protection hidden="1"/>
    </xf>
    <xf numFmtId="0" fontId="12" fillId="20" borderId="30" xfId="0" applyFont="1" applyFill="1" applyBorder="1" applyAlignment="1" applyProtection="1">
      <alignment vertical="center"/>
      <protection hidden="1"/>
    </xf>
    <xf numFmtId="0" fontId="12" fillId="4" borderId="30" xfId="0" applyFont="1" applyFill="1" applyBorder="1" applyAlignment="1" applyProtection="1">
      <alignment vertical="center"/>
      <protection hidden="1"/>
    </xf>
    <xf numFmtId="0" fontId="12" fillId="4" borderId="30" xfId="0" applyFont="1" applyFill="1" applyBorder="1" applyAlignment="1" applyProtection="1">
      <alignment horizontal="right" vertical="center" indent="1"/>
      <protection hidden="1"/>
    </xf>
    <xf numFmtId="0" fontId="12" fillId="7" borderId="28" xfId="0" applyFont="1" applyFill="1" applyBorder="1" applyAlignment="1" applyProtection="1">
      <alignment vertical="center"/>
      <protection hidden="1"/>
    </xf>
    <xf numFmtId="0" fontId="12" fillId="4" borderId="28" xfId="0" applyFont="1" applyFill="1" applyBorder="1" applyAlignment="1" applyProtection="1">
      <alignment vertical="center"/>
      <protection hidden="1"/>
    </xf>
    <xf numFmtId="0" fontId="12" fillId="4" borderId="28" xfId="0" applyFont="1" applyFill="1" applyBorder="1" applyAlignment="1" applyProtection="1">
      <alignment horizontal="right" vertical="center" indent="1"/>
      <protection hidden="1"/>
    </xf>
    <xf numFmtId="0" fontId="4" fillId="0" borderId="0" xfId="0" applyFont="1" applyProtection="1">
      <protection hidden="1"/>
    </xf>
    <xf numFmtId="0" fontId="12" fillId="8" borderId="29" xfId="0" applyFont="1" applyFill="1" applyBorder="1" applyAlignment="1" applyProtection="1">
      <alignment vertical="center"/>
      <protection hidden="1"/>
    </xf>
    <xf numFmtId="0" fontId="12" fillId="4" borderId="29" xfId="0" applyFont="1" applyFill="1" applyBorder="1" applyAlignment="1" applyProtection="1">
      <alignment vertical="center"/>
      <protection hidden="1"/>
    </xf>
    <xf numFmtId="0" fontId="12" fillId="4" borderId="29" xfId="0" applyFont="1" applyFill="1" applyBorder="1" applyAlignment="1" applyProtection="1">
      <alignment horizontal="right" vertical="center" indent="1"/>
      <protection hidden="1"/>
    </xf>
    <xf numFmtId="0" fontId="12" fillId="5" borderId="22" xfId="0" applyFont="1" applyFill="1" applyBorder="1" applyAlignment="1" applyProtection="1">
      <alignment vertical="center"/>
      <protection hidden="1"/>
    </xf>
    <xf numFmtId="0" fontId="18" fillId="21" borderId="33" xfId="0" applyFont="1" applyFill="1" applyBorder="1" applyAlignment="1" applyProtection="1">
      <alignment vertical="center"/>
      <protection hidden="1"/>
    </xf>
    <xf numFmtId="0" fontId="12" fillId="4" borderId="33" xfId="0" applyFont="1" applyFill="1" applyBorder="1" applyAlignment="1" applyProtection="1">
      <alignment vertical="center"/>
      <protection hidden="1"/>
    </xf>
    <xf numFmtId="0" fontId="14" fillId="4" borderId="33" xfId="0" applyFont="1" applyFill="1" applyBorder="1" applyAlignment="1" applyProtection="1">
      <alignment horizontal="left" vertical="center" indent="1"/>
      <protection hidden="1"/>
    </xf>
    <xf numFmtId="0" fontId="0" fillId="4" borderId="25" xfId="0" applyFill="1" applyBorder="1" applyProtection="1">
      <protection hidden="1"/>
    </xf>
    <xf numFmtId="0" fontId="0" fillId="0" borderId="25" xfId="0" applyBorder="1" applyProtection="1">
      <protection hidden="1"/>
    </xf>
    <xf numFmtId="0" fontId="14" fillId="4" borderId="25" xfId="0" applyFont="1" applyFill="1" applyBorder="1" applyAlignment="1" applyProtection="1">
      <alignment horizontal="right"/>
      <protection hidden="1"/>
    </xf>
    <xf numFmtId="0" fontId="12" fillId="4" borderId="25" xfId="0" applyFont="1" applyFill="1" applyBorder="1" applyAlignment="1" applyProtection="1">
      <alignment horizontal="right" indent="1"/>
      <protection hidden="1"/>
    </xf>
    <xf numFmtId="0" fontId="0" fillId="5" borderId="0" xfId="0" applyFill="1" applyProtection="1">
      <protection hidden="1"/>
    </xf>
    <xf numFmtId="0" fontId="14" fillId="5" borderId="0" xfId="0" applyFont="1" applyFill="1" applyAlignment="1" applyProtection="1">
      <alignment horizontal="right"/>
      <protection hidden="1"/>
    </xf>
    <xf numFmtId="0" fontId="12" fillId="5" borderId="0" xfId="0" applyFont="1" applyFill="1" applyAlignment="1" applyProtection="1">
      <alignment horizontal="right" indent="1"/>
      <protection hidden="1"/>
    </xf>
    <xf numFmtId="0" fontId="0" fillId="4" borderId="35" xfId="0" applyFill="1" applyBorder="1" applyProtection="1">
      <protection hidden="1"/>
    </xf>
    <xf numFmtId="0" fontId="14" fillId="4" borderId="35" xfId="0" applyFont="1" applyFill="1" applyBorder="1" applyAlignment="1" applyProtection="1">
      <alignment horizontal="right"/>
      <protection hidden="1"/>
    </xf>
    <xf numFmtId="0" fontId="12" fillId="4" borderId="35" xfId="0" applyFont="1" applyFill="1" applyBorder="1" applyAlignment="1" applyProtection="1">
      <alignment horizontal="right" indent="1"/>
      <protection hidden="1"/>
    </xf>
    <xf numFmtId="0" fontId="12" fillId="4" borderId="37" xfId="0" applyFont="1" applyFill="1" applyBorder="1" applyAlignment="1" applyProtection="1">
      <alignment vertical="center"/>
      <protection hidden="1"/>
    </xf>
    <xf numFmtId="0" fontId="10" fillId="4" borderId="0" xfId="0" applyFont="1" applyFill="1" applyAlignment="1" applyProtection="1">
      <alignment horizontal="left" vertical="center" indent="1"/>
      <protection hidden="1"/>
    </xf>
    <xf numFmtId="0" fontId="31" fillId="4" borderId="0" xfId="0" applyFont="1" applyFill="1" applyAlignment="1" applyProtection="1">
      <alignment horizontal="left" vertical="center" indent="1"/>
      <protection hidden="1"/>
    </xf>
    <xf numFmtId="0" fontId="12" fillId="4" borderId="38" xfId="0" applyFont="1" applyFill="1" applyBorder="1" applyAlignment="1" applyProtection="1">
      <alignment vertical="center"/>
      <protection hidden="1"/>
    </xf>
    <xf numFmtId="0" fontId="0" fillId="4" borderId="40" xfId="0" applyFill="1" applyBorder="1" applyProtection="1">
      <protection hidden="1"/>
    </xf>
    <xf numFmtId="0" fontId="14" fillId="4" borderId="40" xfId="0" applyFont="1" applyFill="1" applyBorder="1" applyAlignment="1" applyProtection="1">
      <alignment horizontal="right"/>
      <protection hidden="1"/>
    </xf>
    <xf numFmtId="0" fontId="12" fillId="4" borderId="40" xfId="0" applyFont="1" applyFill="1" applyBorder="1" applyAlignment="1" applyProtection="1">
      <alignment horizontal="right" indent="1"/>
      <protection hidden="1"/>
    </xf>
    <xf numFmtId="0" fontId="12" fillId="5" borderId="22" xfId="0" applyFont="1" applyFill="1" applyBorder="1" applyProtection="1">
      <protection hidden="1"/>
    </xf>
    <xf numFmtId="0" fontId="16" fillId="4" borderId="22" xfId="0" applyFont="1" applyFill="1" applyBorder="1" applyAlignment="1" applyProtection="1">
      <alignment horizontal="left" vertical="top" indent="1"/>
      <protection hidden="1"/>
    </xf>
    <xf numFmtId="0" fontId="12" fillId="4" borderId="7" xfId="0" applyFont="1" applyFill="1" applyBorder="1" applyProtection="1">
      <protection hidden="1"/>
    </xf>
    <xf numFmtId="0" fontId="0" fillId="6" borderId="0" xfId="0" applyFill="1" applyProtection="1">
      <protection hidden="1"/>
    </xf>
    <xf numFmtId="0" fontId="12" fillId="4" borderId="27" xfId="0" applyFont="1" applyFill="1" applyBorder="1" applyProtection="1">
      <protection hidden="1"/>
    </xf>
    <xf numFmtId="0" fontId="18" fillId="4" borderId="20" xfId="0" applyFont="1" applyFill="1" applyBorder="1" applyProtection="1">
      <protection hidden="1"/>
    </xf>
    <xf numFmtId="0" fontId="25" fillId="4" borderId="0" xfId="0" applyFont="1" applyFill="1" applyAlignment="1" applyProtection="1">
      <alignment vertical="top"/>
      <protection hidden="1"/>
    </xf>
    <xf numFmtId="0" fontId="18" fillId="4" borderId="0" xfId="0" applyFont="1" applyFill="1" applyProtection="1">
      <protection hidden="1"/>
    </xf>
    <xf numFmtId="0" fontId="45" fillId="4" borderId="0" xfId="0" applyFont="1" applyFill="1" applyProtection="1">
      <protection hidden="1"/>
    </xf>
    <xf numFmtId="0" fontId="27" fillId="4" borderId="0" xfId="0" applyFont="1" applyFill="1" applyAlignment="1" applyProtection="1">
      <alignment vertical="top"/>
      <protection hidden="1"/>
    </xf>
    <xf numFmtId="0" fontId="25" fillId="4" borderId="0" xfId="0" applyFont="1" applyFill="1" applyAlignment="1" applyProtection="1">
      <alignment vertical="top" wrapText="1"/>
      <protection hidden="1"/>
    </xf>
    <xf numFmtId="0" fontId="24" fillId="4" borderId="0" xfId="0" applyFont="1" applyFill="1" applyAlignment="1" applyProtection="1">
      <alignment horizontal="left" vertical="top"/>
      <protection hidden="1"/>
    </xf>
    <xf numFmtId="0" fontId="24" fillId="4" borderId="0" xfId="0" applyFont="1" applyFill="1" applyAlignment="1" applyProtection="1">
      <alignment horizontal="left" indent="1"/>
      <protection hidden="1"/>
    </xf>
    <xf numFmtId="0" fontId="6" fillId="4" borderId="0" xfId="0" applyFont="1" applyFill="1" applyAlignment="1" applyProtection="1">
      <alignment horizontal="left" vertical="top"/>
      <protection hidden="1"/>
    </xf>
    <xf numFmtId="0" fontId="24" fillId="4" borderId="0" xfId="0" applyFont="1" applyFill="1" applyProtection="1">
      <protection hidden="1"/>
    </xf>
    <xf numFmtId="0" fontId="43" fillId="18" borderId="10" xfId="0" applyFont="1" applyFill="1" applyBorder="1" applyAlignment="1" applyProtection="1">
      <alignment horizontal="left" vertical="center" wrapText="1" indent="1"/>
      <protection hidden="1"/>
    </xf>
    <xf numFmtId="0" fontId="43" fillId="10" borderId="9" xfId="0" applyFont="1" applyFill="1" applyBorder="1" applyAlignment="1" applyProtection="1">
      <alignment horizontal="left" vertical="center" wrapText="1" indent="1"/>
      <protection hidden="1"/>
    </xf>
    <xf numFmtId="0" fontId="43" fillId="17" borderId="10" xfId="0" applyFont="1" applyFill="1" applyBorder="1" applyAlignment="1" applyProtection="1">
      <alignment horizontal="left" vertical="center" wrapText="1" indent="1"/>
      <protection hidden="1"/>
    </xf>
    <xf numFmtId="0" fontId="15" fillId="4" borderId="0" xfId="0" applyFont="1" applyFill="1" applyAlignment="1" applyProtection="1">
      <alignment horizontal="left"/>
      <protection hidden="1"/>
    </xf>
    <xf numFmtId="0" fontId="43" fillId="11" borderId="9" xfId="0" applyFont="1" applyFill="1" applyBorder="1" applyAlignment="1" applyProtection="1">
      <alignment horizontal="left" vertical="center" wrapText="1" indent="1"/>
      <protection hidden="1"/>
    </xf>
    <xf numFmtId="0" fontId="43" fillId="16" borderId="10" xfId="0" applyFont="1" applyFill="1" applyBorder="1" applyAlignment="1" applyProtection="1">
      <alignment horizontal="left" vertical="center" wrapText="1" indent="1"/>
      <protection hidden="1"/>
    </xf>
    <xf numFmtId="0" fontId="8" fillId="4" borderId="0" xfId="0" applyFont="1" applyFill="1" applyAlignment="1" applyProtection="1">
      <alignment horizontal="left"/>
      <protection hidden="1"/>
    </xf>
    <xf numFmtId="0" fontId="16" fillId="4" borderId="0" xfId="0" applyFont="1" applyFill="1" applyAlignment="1" applyProtection="1">
      <alignment vertical="top"/>
      <protection hidden="1"/>
    </xf>
    <xf numFmtId="0" fontId="43" fillId="19" borderId="9" xfId="0" applyFont="1" applyFill="1" applyBorder="1" applyAlignment="1" applyProtection="1">
      <alignment horizontal="left" vertical="center" wrapText="1" indent="1"/>
      <protection hidden="1"/>
    </xf>
    <xf numFmtId="0" fontId="43" fillId="15" borderId="10" xfId="0" applyFont="1" applyFill="1" applyBorder="1" applyAlignment="1" applyProtection="1">
      <alignment horizontal="left" vertical="center" wrapText="1" indent="1"/>
      <protection hidden="1"/>
    </xf>
    <xf numFmtId="0" fontId="8" fillId="4" borderId="0" xfId="0" applyFont="1" applyFill="1" applyAlignment="1" applyProtection="1">
      <alignment horizontal="left" vertical="top"/>
      <protection hidden="1"/>
    </xf>
    <xf numFmtId="0" fontId="43" fillId="14" borderId="9" xfId="0" applyFont="1" applyFill="1" applyBorder="1" applyAlignment="1" applyProtection="1">
      <alignment horizontal="left" vertical="center" wrapText="1" indent="1"/>
      <protection hidden="1"/>
    </xf>
    <xf numFmtId="0" fontId="43" fillId="13" borderId="10" xfId="0" applyFont="1" applyFill="1" applyBorder="1" applyAlignment="1" applyProtection="1">
      <alignment horizontal="left" vertical="center" wrapText="1" indent="1"/>
      <protection hidden="1"/>
    </xf>
    <xf numFmtId="0" fontId="6" fillId="4" borderId="10" xfId="0" applyFont="1" applyFill="1" applyBorder="1" applyAlignment="1" applyProtection="1">
      <alignment horizontal="left" indent="1"/>
      <protection hidden="1"/>
    </xf>
    <xf numFmtId="0" fontId="12" fillId="4" borderId="10" xfId="0" applyFont="1" applyFill="1" applyBorder="1" applyProtection="1">
      <protection hidden="1"/>
    </xf>
    <xf numFmtId="0" fontId="18" fillId="0" borderId="0" xfId="0" applyFont="1" applyProtection="1">
      <protection hidden="1"/>
    </xf>
    <xf numFmtId="0" fontId="18" fillId="4" borderId="23" xfId="0" applyFont="1" applyFill="1" applyBorder="1" applyProtection="1">
      <protection hidden="1"/>
    </xf>
    <xf numFmtId="0" fontId="18" fillId="5" borderId="0" xfId="0" applyFont="1" applyFill="1" applyProtection="1">
      <protection hidden="1"/>
    </xf>
    <xf numFmtId="0" fontId="18" fillId="4" borderId="27" xfId="0" applyFont="1" applyFill="1" applyBorder="1" applyProtection="1">
      <protection hidden="1"/>
    </xf>
    <xf numFmtId="0" fontId="18" fillId="4" borderId="22" xfId="0" applyFont="1" applyFill="1" applyBorder="1" applyProtection="1">
      <protection hidden="1"/>
    </xf>
    <xf numFmtId="0" fontId="6" fillId="4" borderId="25" xfId="0" applyFont="1" applyFill="1" applyBorder="1" applyAlignment="1" applyProtection="1">
      <alignment horizontal="left" indent="1"/>
      <protection hidden="1"/>
    </xf>
    <xf numFmtId="0" fontId="6" fillId="4" borderId="25" xfId="0" applyFont="1" applyFill="1" applyBorder="1" applyAlignment="1" applyProtection="1">
      <alignment horizontal="left" textRotation="75"/>
      <protection hidden="1"/>
    </xf>
    <xf numFmtId="0" fontId="20" fillId="0" borderId="25" xfId="0" applyFont="1" applyBorder="1" applyAlignment="1" applyProtection="1">
      <alignment horizontal="left" vertical="top" textRotation="90" wrapText="1"/>
      <protection hidden="1"/>
    </xf>
    <xf numFmtId="0" fontId="18" fillId="0" borderId="25" xfId="0" applyFont="1" applyBorder="1" applyProtection="1">
      <protection hidden="1"/>
    </xf>
    <xf numFmtId="0" fontId="20" fillId="0" borderId="25" xfId="0" applyFont="1" applyBorder="1" applyAlignment="1" applyProtection="1">
      <alignment horizontal="center" vertical="top" textRotation="90" wrapText="1"/>
      <protection hidden="1"/>
    </xf>
    <xf numFmtId="0" fontId="4" fillId="0" borderId="25" xfId="0" applyFont="1" applyBorder="1" applyAlignment="1" applyProtection="1">
      <alignment horizontal="left" vertical="top" textRotation="90" wrapText="1"/>
      <protection hidden="1"/>
    </xf>
    <xf numFmtId="0" fontId="4" fillId="0" borderId="25" xfId="0" applyFont="1" applyBorder="1" applyAlignment="1" applyProtection="1">
      <alignment horizontal="center" vertical="top" textRotation="90" wrapText="1"/>
      <protection hidden="1"/>
    </xf>
    <xf numFmtId="0" fontId="17" fillId="4" borderId="0" xfId="0" applyFont="1" applyFill="1" applyAlignment="1" applyProtection="1">
      <alignment vertical="center"/>
      <protection hidden="1"/>
    </xf>
    <xf numFmtId="0" fontId="54" fillId="0" borderId="0" xfId="0" applyFont="1" applyAlignment="1">
      <alignment vertical="center"/>
    </xf>
    <xf numFmtId="0" fontId="0" fillId="0" borderId="2" xfId="0" applyBorder="1"/>
    <xf numFmtId="168" fontId="0" fillId="0" borderId="0" xfId="0" applyNumberFormat="1"/>
    <xf numFmtId="0" fontId="0" fillId="0" borderId="58" xfId="0" applyBorder="1" applyAlignment="1">
      <alignment vertical="center"/>
    </xf>
    <xf numFmtId="0" fontId="0" fillId="0" borderId="59" xfId="0" applyBorder="1" applyAlignment="1">
      <alignment vertical="center"/>
    </xf>
    <xf numFmtId="0" fontId="4" fillId="0" borderId="0" xfId="0" applyFont="1" applyAlignment="1">
      <alignment horizontal="left" vertical="top" wrapText="1"/>
    </xf>
    <xf numFmtId="0" fontId="5" fillId="0" borderId="0" xfId="0" applyFont="1" applyAlignment="1">
      <alignment vertical="top"/>
    </xf>
    <xf numFmtId="0" fontId="56" fillId="0" borderId="0" xfId="0" applyFont="1"/>
    <xf numFmtId="0" fontId="56" fillId="0" borderId="0" xfId="0" applyFont="1" applyAlignment="1">
      <alignment vertical="top"/>
    </xf>
    <xf numFmtId="164" fontId="5" fillId="0" borderId="0" xfId="0" applyNumberFormat="1" applyFont="1"/>
    <xf numFmtId="0" fontId="4" fillId="0" borderId="0" xfId="0" applyFont="1"/>
    <xf numFmtId="164" fontId="4" fillId="0" borderId="0" xfId="0" applyNumberFormat="1" applyFont="1" applyAlignment="1">
      <alignment horizontal="right"/>
    </xf>
    <xf numFmtId="164" fontId="14" fillId="4" borderId="32" xfId="0" applyNumberFormat="1" applyFont="1" applyFill="1" applyBorder="1" applyAlignment="1" applyProtection="1">
      <alignment vertical="center"/>
      <protection hidden="1"/>
    </xf>
    <xf numFmtId="164" fontId="14" fillId="4" borderId="31" xfId="0" applyNumberFormat="1" applyFont="1" applyFill="1" applyBorder="1" applyAlignment="1" applyProtection="1">
      <alignment vertical="center"/>
      <protection hidden="1"/>
    </xf>
    <xf numFmtId="164" fontId="14" fillId="4" borderId="30" xfId="0" applyNumberFormat="1" applyFont="1" applyFill="1" applyBorder="1" applyAlignment="1" applyProtection="1">
      <alignment vertical="center"/>
      <protection hidden="1"/>
    </xf>
    <xf numFmtId="164" fontId="14" fillId="4" borderId="28" xfId="0" applyNumberFormat="1" applyFont="1" applyFill="1" applyBorder="1" applyAlignment="1" applyProtection="1">
      <alignment vertical="center"/>
      <protection hidden="1"/>
    </xf>
    <xf numFmtId="164" fontId="14" fillId="4" borderId="29" xfId="0" applyNumberFormat="1" applyFont="1" applyFill="1" applyBorder="1" applyAlignment="1" applyProtection="1">
      <alignment vertical="center"/>
      <protection hidden="1"/>
    </xf>
    <xf numFmtId="164" fontId="14" fillId="4" borderId="33" xfId="0" applyNumberFormat="1" applyFont="1" applyFill="1" applyBorder="1" applyAlignment="1" applyProtection="1">
      <alignment vertical="center"/>
      <protection hidden="1"/>
    </xf>
    <xf numFmtId="164" fontId="40" fillId="4" borderId="0" xfId="0" applyNumberFormat="1" applyFont="1" applyFill="1" applyAlignment="1" applyProtection="1">
      <alignment horizontal="center" vertical="center"/>
      <protection hidden="1"/>
    </xf>
    <xf numFmtId="0" fontId="7" fillId="9" borderId="0" xfId="0" applyFont="1" applyFill="1" applyAlignment="1" applyProtection="1">
      <alignment vertical="center"/>
      <protection hidden="1"/>
    </xf>
    <xf numFmtId="0" fontId="1" fillId="9" borderId="0" xfId="0" applyFont="1" applyFill="1" applyProtection="1">
      <protection hidden="1"/>
    </xf>
    <xf numFmtId="0" fontId="1" fillId="10" borderId="0" xfId="0" applyFont="1" applyFill="1" applyAlignment="1" applyProtection="1">
      <alignment horizontal="left" vertical="center"/>
      <protection hidden="1"/>
    </xf>
    <xf numFmtId="0" fontId="2" fillId="10" borderId="0" xfId="0" applyFont="1" applyFill="1" applyAlignment="1" applyProtection="1">
      <alignment horizontal="left" vertical="center"/>
      <protection hidden="1"/>
    </xf>
    <xf numFmtId="0" fontId="1" fillId="4" borderId="0" xfId="0" applyFont="1" applyFill="1" applyAlignment="1" applyProtection="1">
      <alignment horizontal="left" vertical="center"/>
      <protection hidden="1"/>
    </xf>
    <xf numFmtId="0" fontId="2" fillId="4" borderId="0" xfId="0" applyFont="1" applyFill="1" applyAlignment="1" applyProtection="1">
      <alignment horizontal="left" vertical="center"/>
      <protection hidden="1"/>
    </xf>
    <xf numFmtId="0" fontId="35" fillId="5" borderId="49" xfId="0" applyFont="1" applyFill="1" applyBorder="1" applyAlignment="1" applyProtection="1">
      <alignment horizontal="left" vertical="center"/>
      <protection hidden="1"/>
    </xf>
    <xf numFmtId="0" fontId="36" fillId="5" borderId="50" xfId="0" applyFont="1" applyFill="1" applyBorder="1" applyAlignment="1" applyProtection="1">
      <alignment horizontal="left"/>
      <protection hidden="1"/>
    </xf>
    <xf numFmtId="0" fontId="35" fillId="5" borderId="50" xfId="0" applyFont="1" applyFill="1" applyBorder="1" applyAlignment="1" applyProtection="1">
      <alignment horizontal="left" vertical="center"/>
      <protection hidden="1"/>
    </xf>
    <xf numFmtId="0" fontId="35" fillId="5" borderId="50" xfId="0" applyFont="1" applyFill="1" applyBorder="1" applyAlignment="1" applyProtection="1">
      <alignment vertical="center"/>
      <protection hidden="1"/>
    </xf>
    <xf numFmtId="0" fontId="35" fillId="5" borderId="51" xfId="0" applyFont="1" applyFill="1" applyBorder="1" applyAlignment="1" applyProtection="1">
      <alignment vertical="center"/>
      <protection hidden="1"/>
    </xf>
    <xf numFmtId="0" fontId="35" fillId="5" borderId="52" xfId="0" applyFont="1" applyFill="1" applyBorder="1" applyAlignment="1" applyProtection="1">
      <alignment horizontal="left" vertical="center" indent="2"/>
      <protection hidden="1"/>
    </xf>
    <xf numFmtId="0" fontId="36" fillId="5" borderId="0" xfId="0" applyFont="1" applyFill="1" applyAlignment="1" applyProtection="1">
      <alignment horizontal="left" vertical="center"/>
      <protection hidden="1"/>
    </xf>
    <xf numFmtId="0" fontId="35" fillId="5" borderId="0" xfId="0" applyFont="1" applyFill="1" applyAlignment="1" applyProtection="1">
      <alignment horizontal="left" vertical="center" indent="1"/>
      <protection hidden="1"/>
    </xf>
    <xf numFmtId="0" fontId="5" fillId="5" borderId="0" xfId="0" applyFont="1" applyFill="1" applyAlignment="1" applyProtection="1">
      <alignment horizontal="right" vertical="center" indent="1"/>
      <protection hidden="1"/>
    </xf>
    <xf numFmtId="0" fontId="0" fillId="5" borderId="53" xfId="0" applyFill="1" applyBorder="1" applyProtection="1">
      <protection hidden="1"/>
    </xf>
    <xf numFmtId="0" fontId="0" fillId="5" borderId="52" xfId="0" applyFill="1" applyBorder="1" applyAlignment="1" applyProtection="1">
      <alignment horizontal="left" indent="1"/>
      <protection hidden="1"/>
    </xf>
    <xf numFmtId="0" fontId="0" fillId="5" borderId="0" xfId="0" applyFill="1" applyAlignment="1" applyProtection="1">
      <alignment horizontal="left" indent="1"/>
      <protection hidden="1"/>
    </xf>
    <xf numFmtId="0" fontId="3" fillId="5" borderId="52" xfId="0" applyFont="1" applyFill="1" applyBorder="1" applyAlignment="1" applyProtection="1">
      <alignment vertical="center" wrapText="1"/>
      <protection hidden="1"/>
    </xf>
    <xf numFmtId="0" fontId="38" fillId="5" borderId="0" xfId="0" applyFont="1" applyFill="1" applyAlignment="1" applyProtection="1">
      <alignment vertical="center"/>
      <protection hidden="1"/>
    </xf>
    <xf numFmtId="0" fontId="3" fillId="5" borderId="0" xfId="0" applyFont="1" applyFill="1" applyAlignment="1" applyProtection="1">
      <alignment vertical="center"/>
      <protection hidden="1"/>
    </xf>
    <xf numFmtId="0" fontId="3" fillId="5" borderId="0" xfId="0" applyFont="1" applyFill="1" applyAlignment="1" applyProtection="1">
      <alignment vertical="center" wrapText="1"/>
      <protection hidden="1"/>
    </xf>
    <xf numFmtId="0" fontId="3" fillId="5" borderId="53" xfId="0" applyFont="1" applyFill="1" applyBorder="1" applyAlignment="1" applyProtection="1">
      <alignment vertical="center" wrapText="1"/>
      <protection hidden="1"/>
    </xf>
    <xf numFmtId="0" fontId="3" fillId="4" borderId="3" xfId="0" applyFont="1" applyFill="1" applyBorder="1" applyAlignment="1" applyProtection="1">
      <alignment vertical="center"/>
      <protection hidden="1"/>
    </xf>
    <xf numFmtId="0" fontId="3" fillId="4" borderId="2" xfId="0" applyFont="1" applyFill="1" applyBorder="1" applyAlignment="1" applyProtection="1">
      <alignment vertical="center"/>
      <protection hidden="1"/>
    </xf>
    <xf numFmtId="0" fontId="3" fillId="4" borderId="2" xfId="0" applyFont="1" applyFill="1" applyBorder="1" applyAlignment="1" applyProtection="1">
      <alignment vertical="center" wrapText="1"/>
      <protection hidden="1"/>
    </xf>
    <xf numFmtId="0" fontId="3" fillId="4" borderId="54" xfId="0" applyFont="1" applyFill="1" applyBorder="1" applyAlignment="1" applyProtection="1">
      <alignment vertical="center" wrapText="1"/>
      <protection hidden="1"/>
    </xf>
    <xf numFmtId="0" fontId="6" fillId="4" borderId="0" xfId="1" applyFont="1" applyFill="1" applyBorder="1" applyAlignment="1" applyProtection="1">
      <protection hidden="1"/>
    </xf>
    <xf numFmtId="0" fontId="5" fillId="4" borderId="0" xfId="0" applyFont="1" applyFill="1" applyAlignment="1" applyProtection="1">
      <alignment wrapText="1"/>
      <protection hidden="1"/>
    </xf>
    <xf numFmtId="0" fontId="6" fillId="4" borderId="0" xfId="1" applyFont="1" applyFill="1" applyBorder="1" applyAlignment="1" applyProtection="1">
      <alignment vertical="center"/>
      <protection hidden="1"/>
    </xf>
    <xf numFmtId="0" fontId="5" fillId="4" borderId="0" xfId="0" applyFont="1" applyFill="1" applyAlignment="1" applyProtection="1">
      <alignment vertical="center" wrapText="1"/>
      <protection hidden="1"/>
    </xf>
    <xf numFmtId="0" fontId="3" fillId="4" borderId="46" xfId="0" applyFont="1" applyFill="1" applyBorder="1" applyAlignment="1" applyProtection="1">
      <alignment vertical="center" wrapText="1"/>
      <protection hidden="1"/>
    </xf>
    <xf numFmtId="0" fontId="5" fillId="4" borderId="0" xfId="0" applyFont="1" applyFill="1" applyAlignment="1" applyProtection="1">
      <alignment horizontal="left" vertical="center" wrapText="1" indent="1"/>
      <protection hidden="1"/>
    </xf>
    <xf numFmtId="0" fontId="6" fillId="4" borderId="4" xfId="1" applyFont="1" applyFill="1" applyBorder="1" applyAlignment="1" applyProtection="1">
      <alignment horizontal="right" vertical="center" indent="1"/>
      <protection hidden="1"/>
    </xf>
    <xf numFmtId="0" fontId="6" fillId="4" borderId="8" xfId="1" applyFont="1" applyFill="1" applyBorder="1" applyAlignment="1" applyProtection="1">
      <alignment horizontal="right" vertical="center" indent="1"/>
      <protection hidden="1"/>
    </xf>
    <xf numFmtId="0" fontId="6" fillId="4" borderId="8" xfId="0" applyFont="1" applyFill="1" applyBorder="1" applyAlignment="1" applyProtection="1">
      <alignment horizontal="right" vertical="center" wrapText="1" indent="1"/>
      <protection hidden="1"/>
    </xf>
    <xf numFmtId="0" fontId="0" fillId="4" borderId="8" xfId="0" applyFill="1" applyBorder="1" applyProtection="1">
      <protection hidden="1"/>
    </xf>
    <xf numFmtId="0" fontId="5" fillId="4" borderId="8" xfId="0" applyFont="1" applyFill="1" applyBorder="1" applyAlignment="1" applyProtection="1">
      <alignment horizontal="right" vertical="center" wrapText="1" indent="1"/>
      <protection hidden="1"/>
    </xf>
    <xf numFmtId="0" fontId="3" fillId="4" borderId="5" xfId="0" applyFont="1" applyFill="1" applyBorder="1" applyAlignment="1" applyProtection="1">
      <alignment horizontal="right" vertical="center" wrapText="1" indent="1"/>
      <protection hidden="1"/>
    </xf>
    <xf numFmtId="0" fontId="3" fillId="5" borderId="48" xfId="0" applyFont="1" applyFill="1" applyBorder="1" applyAlignment="1" applyProtection="1">
      <alignment horizontal="right" vertical="center" wrapText="1" indent="1"/>
      <protection hidden="1"/>
    </xf>
    <xf numFmtId="0" fontId="5" fillId="4" borderId="2" xfId="0" applyFont="1" applyFill="1" applyBorder="1" applyAlignment="1" applyProtection="1">
      <alignment vertical="center" wrapText="1"/>
      <protection hidden="1"/>
    </xf>
    <xf numFmtId="0" fontId="35" fillId="4" borderId="4" xfId="0" applyFont="1" applyFill="1" applyBorder="1" applyAlignment="1" applyProtection="1">
      <alignment horizontal="left" vertical="center" wrapText="1" indent="1"/>
      <protection hidden="1"/>
    </xf>
    <xf numFmtId="0" fontId="35" fillId="4" borderId="8" xfId="0" applyFont="1" applyFill="1" applyBorder="1" applyAlignment="1" applyProtection="1">
      <alignment horizontal="left" vertical="center" wrapText="1" indent="1"/>
      <protection hidden="1"/>
    </xf>
    <xf numFmtId="0" fontId="0" fillId="5" borderId="55" xfId="0" applyFill="1" applyBorder="1" applyProtection="1">
      <protection hidden="1"/>
    </xf>
    <xf numFmtId="0" fontId="0" fillId="5" borderId="56" xfId="0" applyFill="1" applyBorder="1" applyProtection="1">
      <protection hidden="1"/>
    </xf>
    <xf numFmtId="0" fontId="0" fillId="5" borderId="57" xfId="0" applyFill="1" applyBorder="1" applyProtection="1">
      <protection hidden="1"/>
    </xf>
    <xf numFmtId="0" fontId="5" fillId="5" borderId="0" xfId="0" applyFont="1" applyFill="1" applyAlignment="1" applyProtection="1">
      <alignment vertical="center" wrapText="1"/>
      <protection hidden="1"/>
    </xf>
    <xf numFmtId="0" fontId="0" fillId="4" borderId="7" xfId="0" applyFill="1" applyBorder="1" applyProtection="1">
      <protection hidden="1"/>
    </xf>
    <xf numFmtId="0" fontId="3" fillId="4" borderId="8" xfId="0" applyFont="1" applyFill="1" applyBorder="1" applyAlignment="1" applyProtection="1">
      <alignment horizontal="right" vertical="center" wrapText="1" indent="1"/>
      <protection hidden="1"/>
    </xf>
    <xf numFmtId="0" fontId="35" fillId="5" borderId="52" xfId="0" applyFont="1" applyFill="1" applyBorder="1" applyAlignment="1" applyProtection="1">
      <alignment horizontal="left" vertical="center"/>
      <protection hidden="1"/>
    </xf>
    <xf numFmtId="0" fontId="0" fillId="5" borderId="0" xfId="0" applyFill="1" applyAlignment="1" applyProtection="1">
      <alignment horizontal="right" indent="1"/>
      <protection hidden="1"/>
    </xf>
    <xf numFmtId="0" fontId="35" fillId="5" borderId="0" xfId="0" applyFont="1" applyFill="1" applyAlignment="1" applyProtection="1">
      <alignment horizontal="left" vertical="center"/>
      <protection hidden="1"/>
    </xf>
    <xf numFmtId="0" fontId="35" fillId="5" borderId="0" xfId="0" applyFont="1" applyFill="1" applyAlignment="1" applyProtection="1">
      <alignment vertical="center"/>
      <protection hidden="1"/>
    </xf>
    <xf numFmtId="0" fontId="35" fillId="5" borderId="53" xfId="0" applyFont="1" applyFill="1" applyBorder="1" applyAlignment="1" applyProtection="1">
      <alignment vertical="center"/>
      <protection hidden="1"/>
    </xf>
    <xf numFmtId="0" fontId="38" fillId="5" borderId="0" xfId="0" applyFont="1" applyFill="1" applyAlignment="1" applyProtection="1">
      <alignment horizontal="left" vertical="center" indent="3"/>
      <protection hidden="1"/>
    </xf>
    <xf numFmtId="0" fontId="37" fillId="4" borderId="0" xfId="0" applyFont="1" applyFill="1" applyAlignment="1" applyProtection="1">
      <alignment horizontal="right" wrapText="1" indent="1"/>
      <protection hidden="1"/>
    </xf>
    <xf numFmtId="0" fontId="35" fillId="4" borderId="0" xfId="0" applyFont="1" applyFill="1" applyAlignment="1" applyProtection="1">
      <alignment horizontal="right" vertical="center" wrapText="1" indent="2"/>
      <protection hidden="1"/>
    </xf>
    <xf numFmtId="0" fontId="5" fillId="0" borderId="0" xfId="0" applyFont="1" applyAlignment="1" applyProtection="1">
      <alignment horizontal="right" indent="1"/>
      <protection hidden="1"/>
    </xf>
    <xf numFmtId="0" fontId="5" fillId="4" borderId="0" xfId="0" applyFont="1" applyFill="1" applyAlignment="1" applyProtection="1">
      <alignment horizontal="right" indent="1"/>
      <protection hidden="1"/>
    </xf>
    <xf numFmtId="0" fontId="23" fillId="0" borderId="0" xfId="0" applyFont="1" applyAlignment="1" applyProtection="1">
      <alignment horizontal="right" vertical="top" indent="1"/>
      <protection hidden="1"/>
    </xf>
    <xf numFmtId="0" fontId="35" fillId="4" borderId="8" xfId="0" applyFont="1" applyFill="1" applyBorder="1" applyAlignment="1" applyProtection="1">
      <alignment horizontal="right" vertical="center" wrapText="1" indent="2"/>
      <protection hidden="1"/>
    </xf>
    <xf numFmtId="0" fontId="4" fillId="0" borderId="0" xfId="0" applyFont="1" applyAlignment="1" applyProtection="1">
      <alignment horizontal="right"/>
      <protection hidden="1"/>
    </xf>
    <xf numFmtId="0" fontId="3" fillId="4" borderId="2" xfId="0" applyFont="1" applyFill="1" applyBorder="1" applyAlignment="1" applyProtection="1">
      <alignment horizontal="right" vertical="center" indent="1"/>
      <protection hidden="1"/>
    </xf>
    <xf numFmtId="0" fontId="3" fillId="5" borderId="55" xfId="0" applyFont="1" applyFill="1" applyBorder="1" applyAlignment="1" applyProtection="1">
      <alignment vertical="center" wrapText="1"/>
      <protection hidden="1"/>
    </xf>
    <xf numFmtId="0" fontId="3" fillId="5" borderId="56" xfId="0" applyFont="1" applyFill="1" applyBorder="1" applyAlignment="1" applyProtection="1">
      <alignment vertical="center" wrapText="1"/>
      <protection hidden="1"/>
    </xf>
    <xf numFmtId="0" fontId="3" fillId="5" borderId="57" xfId="0" applyFont="1" applyFill="1" applyBorder="1" applyAlignment="1" applyProtection="1">
      <alignment vertical="center" wrapText="1"/>
      <protection hidden="1"/>
    </xf>
    <xf numFmtId="0" fontId="45" fillId="5" borderId="0" xfId="0" applyFont="1" applyFill="1" applyProtection="1">
      <protection hidden="1"/>
    </xf>
    <xf numFmtId="0" fontId="3" fillId="4" borderId="7" xfId="0" applyFont="1" applyFill="1" applyBorder="1" applyAlignment="1" applyProtection="1">
      <alignment vertical="center"/>
      <protection hidden="1"/>
    </xf>
    <xf numFmtId="0" fontId="3" fillId="4" borderId="0" xfId="0" applyFont="1" applyFill="1" applyAlignment="1" applyProtection="1">
      <alignment vertical="center"/>
      <protection hidden="1"/>
    </xf>
    <xf numFmtId="0" fontId="3" fillId="4" borderId="4" xfId="0" applyFont="1" applyFill="1" applyBorder="1" applyAlignment="1" applyProtection="1">
      <alignment vertical="center"/>
      <protection hidden="1"/>
    </xf>
    <xf numFmtId="0" fontId="3" fillId="4" borderId="8" xfId="0" applyFont="1" applyFill="1" applyBorder="1" applyAlignment="1" applyProtection="1">
      <alignment vertical="center"/>
      <protection hidden="1"/>
    </xf>
    <xf numFmtId="0" fontId="3" fillId="4" borderId="8" xfId="0" applyFont="1" applyFill="1" applyBorder="1" applyAlignment="1" applyProtection="1">
      <alignment vertical="center" wrapText="1"/>
      <protection hidden="1"/>
    </xf>
    <xf numFmtId="0" fontId="3" fillId="4" borderId="5" xfId="0" applyFont="1" applyFill="1" applyBorder="1" applyAlignment="1" applyProtection="1">
      <alignment vertical="center" wrapText="1"/>
      <protection hidden="1"/>
    </xf>
    <xf numFmtId="0" fontId="0" fillId="0" borderId="0" xfId="0" applyAlignment="1" applyProtection="1">
      <alignment vertical="top"/>
      <protection hidden="1"/>
    </xf>
    <xf numFmtId="0" fontId="4" fillId="0" borderId="0" xfId="0" applyFont="1" applyAlignment="1" applyProtection="1">
      <alignment vertical="top"/>
      <protection hidden="1"/>
    </xf>
    <xf numFmtId="0" fontId="3" fillId="4" borderId="48" xfId="0" applyFont="1" applyFill="1" applyBorder="1" applyAlignment="1" applyProtection="1">
      <alignment vertical="center" wrapText="1"/>
      <protection hidden="1"/>
    </xf>
    <xf numFmtId="0" fontId="3" fillId="4" borderId="59" xfId="0" applyFont="1" applyFill="1" applyBorder="1" applyAlignment="1" applyProtection="1">
      <alignment vertical="center" wrapText="1"/>
      <protection hidden="1"/>
    </xf>
    <xf numFmtId="0" fontId="37" fillId="4" borderId="61" xfId="0" applyFont="1" applyFill="1" applyBorder="1" applyAlignment="1" applyProtection="1">
      <alignment horizontal="center" vertical="center"/>
      <protection hidden="1"/>
    </xf>
    <xf numFmtId="0" fontId="35" fillId="5" borderId="53" xfId="0" applyFont="1" applyFill="1" applyBorder="1" applyAlignment="1" applyProtection="1">
      <alignment horizontal="left" vertical="center" wrapText="1"/>
      <protection hidden="1"/>
    </xf>
    <xf numFmtId="0" fontId="3" fillId="5" borderId="0" xfId="0" applyFont="1" applyFill="1" applyAlignment="1" applyProtection="1">
      <alignment horizontal="center" vertical="center" wrapText="1"/>
      <protection hidden="1"/>
    </xf>
    <xf numFmtId="0" fontId="35" fillId="4" borderId="0" xfId="0" applyFont="1" applyFill="1" applyAlignment="1" applyProtection="1">
      <alignment horizontal="left" vertical="center" wrapText="1" indent="1"/>
      <protection hidden="1"/>
    </xf>
    <xf numFmtId="0" fontId="38" fillId="5" borderId="0" xfId="0" applyFont="1" applyFill="1" applyAlignment="1" applyProtection="1">
      <alignment horizontal="left" vertical="center" indent="6"/>
      <protection hidden="1"/>
    </xf>
    <xf numFmtId="0" fontId="37" fillId="4" borderId="7" xfId="0" applyFont="1" applyFill="1" applyBorder="1" applyAlignment="1" applyProtection="1">
      <alignment horizontal="left" vertical="center" wrapText="1" indent="1"/>
      <protection hidden="1"/>
    </xf>
    <xf numFmtId="0" fontId="5" fillId="4" borderId="0" xfId="0" applyFont="1" applyFill="1" applyProtection="1">
      <protection hidden="1"/>
    </xf>
    <xf numFmtId="0" fontId="5" fillId="0" borderId="0" xfId="0" applyFont="1" applyProtection="1">
      <protection hidden="1"/>
    </xf>
    <xf numFmtId="0" fontId="37" fillId="4" borderId="0" xfId="0" applyFont="1" applyFill="1" applyAlignment="1" applyProtection="1">
      <alignment horizontal="right" vertical="center" indent="1"/>
      <protection hidden="1"/>
    </xf>
    <xf numFmtId="0" fontId="5" fillId="4" borderId="8" xfId="0" applyFont="1" applyFill="1" applyBorder="1" applyProtection="1">
      <protection hidden="1"/>
    </xf>
    <xf numFmtId="0" fontId="3" fillId="4" borderId="3" xfId="0" applyFont="1" applyFill="1" applyBorder="1" applyAlignment="1" applyProtection="1">
      <alignment horizontal="left" vertical="center" indent="11"/>
      <protection hidden="1"/>
    </xf>
    <xf numFmtId="0" fontId="3" fillId="4" borderId="2" xfId="0" applyFont="1" applyFill="1" applyBorder="1" applyAlignment="1" applyProtection="1">
      <alignment horizontal="left" vertical="center" indent="11"/>
      <protection hidden="1"/>
    </xf>
    <xf numFmtId="0" fontId="3" fillId="4" borderId="4" xfId="0" applyFont="1" applyFill="1" applyBorder="1" applyAlignment="1" applyProtection="1">
      <alignment horizontal="left" vertical="center" indent="9"/>
      <protection hidden="1"/>
    </xf>
    <xf numFmtId="0" fontId="3" fillId="4" borderId="8" xfId="0" applyFont="1" applyFill="1" applyBorder="1" applyAlignment="1" applyProtection="1">
      <alignment horizontal="left" vertical="center" indent="9"/>
      <protection hidden="1"/>
    </xf>
    <xf numFmtId="0" fontId="39" fillId="4" borderId="0" xfId="0" applyFont="1" applyFill="1" applyAlignment="1" applyProtection="1">
      <alignment horizontal="center" vertical="center"/>
      <protection hidden="1"/>
    </xf>
    <xf numFmtId="0" fontId="37" fillId="4" borderId="0" xfId="0" applyFont="1" applyFill="1" applyAlignment="1" applyProtection="1">
      <alignment horizontal="center" vertical="center"/>
      <protection hidden="1"/>
    </xf>
    <xf numFmtId="0" fontId="5" fillId="4" borderId="0" xfId="0" applyFont="1" applyFill="1" applyAlignment="1" applyProtection="1">
      <alignment horizontal="left" vertical="center" indent="1"/>
      <protection hidden="1"/>
    </xf>
    <xf numFmtId="0" fontId="35" fillId="4" borderId="0" xfId="0" applyFont="1" applyFill="1" applyAlignment="1" applyProtection="1">
      <alignment horizontal="left" vertical="center" indent="1"/>
      <protection hidden="1"/>
    </xf>
    <xf numFmtId="0" fontId="3" fillId="5" borderId="56" xfId="0" applyFont="1" applyFill="1" applyBorder="1" applyAlignment="1" applyProtection="1">
      <alignment horizontal="center" vertical="center" wrapText="1"/>
      <protection hidden="1"/>
    </xf>
    <xf numFmtId="0" fontId="42" fillId="5" borderId="52" xfId="0" applyFont="1" applyFill="1" applyBorder="1" applyAlignment="1" applyProtection="1">
      <alignment horizontal="center" vertical="center"/>
      <protection hidden="1"/>
    </xf>
    <xf numFmtId="0" fontId="43" fillId="12" borderId="9" xfId="0" applyFont="1" applyFill="1" applyBorder="1" applyAlignment="1" applyProtection="1">
      <alignment horizontal="left" vertical="center" wrapText="1" indent="1"/>
      <protection hidden="1"/>
    </xf>
    <xf numFmtId="0" fontId="3" fillId="4" borderId="9" xfId="0" applyFont="1" applyFill="1" applyBorder="1" applyAlignment="1" applyProtection="1">
      <alignment horizontal="left" vertical="center" indent="1"/>
      <protection hidden="1"/>
    </xf>
    <xf numFmtId="0" fontId="0" fillId="4" borderId="9" xfId="0" applyFill="1" applyBorder="1" applyProtection="1">
      <protection hidden="1"/>
    </xf>
    <xf numFmtId="0" fontId="3" fillId="4" borderId="9" xfId="0" applyFont="1" applyFill="1" applyBorder="1" applyAlignment="1" applyProtection="1">
      <alignment vertical="center" wrapText="1"/>
      <protection hidden="1"/>
    </xf>
    <xf numFmtId="0" fontId="3" fillId="4" borderId="87" xfId="0" applyFont="1" applyFill="1" applyBorder="1" applyAlignment="1" applyProtection="1">
      <alignment horizontal="left" vertical="center" indent="1"/>
      <protection hidden="1"/>
    </xf>
    <xf numFmtId="0" fontId="0" fillId="4" borderId="87" xfId="0" applyFill="1" applyBorder="1" applyProtection="1">
      <protection hidden="1"/>
    </xf>
    <xf numFmtId="0" fontId="3" fillId="4" borderId="87" xfId="0" applyFont="1" applyFill="1" applyBorder="1" applyAlignment="1" applyProtection="1">
      <alignment vertical="center" wrapText="1"/>
      <protection hidden="1"/>
    </xf>
    <xf numFmtId="0" fontId="9" fillId="4" borderId="8" xfId="0" applyFont="1" applyFill="1" applyBorder="1" applyAlignment="1" applyProtection="1">
      <alignment horizontal="left" vertical="center" wrapText="1" indent="1"/>
      <protection hidden="1"/>
    </xf>
    <xf numFmtId="0" fontId="3" fillId="4" borderId="8" xfId="0" applyFont="1" applyFill="1" applyBorder="1" applyAlignment="1" applyProtection="1">
      <alignment horizontal="left" vertical="center" indent="1"/>
      <protection hidden="1"/>
    </xf>
    <xf numFmtId="0" fontId="38" fillId="5" borderId="0" xfId="0" applyFont="1" applyFill="1" applyAlignment="1" applyProtection="1">
      <alignment horizontal="left" indent="6"/>
      <protection hidden="1"/>
    </xf>
    <xf numFmtId="0" fontId="37" fillId="0" borderId="54" xfId="0" applyFont="1" applyBorder="1" applyAlignment="1" applyProtection="1">
      <alignment vertical="center"/>
      <protection hidden="1"/>
    </xf>
    <xf numFmtId="0" fontId="5" fillId="4" borderId="97" xfId="0" applyFont="1" applyFill="1" applyBorder="1" applyAlignment="1" applyProtection="1">
      <alignment horizontal="left" vertical="center" wrapText="1" indent="1"/>
      <protection hidden="1"/>
    </xf>
    <xf numFmtId="0" fontId="5" fillId="4" borderId="48" xfId="0" applyFont="1" applyFill="1" applyBorder="1" applyAlignment="1" applyProtection="1">
      <alignment horizontal="left" vertical="center" indent="1"/>
      <protection hidden="1"/>
    </xf>
    <xf numFmtId="0" fontId="3" fillId="4" borderId="10" xfId="0" applyFont="1" applyFill="1" applyBorder="1" applyAlignment="1" applyProtection="1">
      <alignment horizontal="left" vertical="center" indent="1"/>
      <protection hidden="1"/>
    </xf>
    <xf numFmtId="0" fontId="0" fillId="4" borderId="10" xfId="0" applyFill="1" applyBorder="1" applyProtection="1">
      <protection hidden="1"/>
    </xf>
    <xf numFmtId="0" fontId="3" fillId="4" borderId="10" xfId="0" applyFont="1" applyFill="1" applyBorder="1" applyAlignment="1" applyProtection="1">
      <alignment vertical="center" wrapText="1"/>
      <protection hidden="1"/>
    </xf>
    <xf numFmtId="0" fontId="3" fillId="4" borderId="93" xfId="0" applyFont="1" applyFill="1" applyBorder="1" applyAlignment="1" applyProtection="1">
      <alignment horizontal="left" vertical="center" indent="1"/>
      <protection hidden="1"/>
    </xf>
    <xf numFmtId="0" fontId="0" fillId="4" borderId="93" xfId="0" applyFill="1" applyBorder="1" applyProtection="1">
      <protection hidden="1"/>
    </xf>
    <xf numFmtId="0" fontId="3" fillId="4" borderId="93" xfId="0" applyFont="1" applyFill="1" applyBorder="1" applyAlignment="1" applyProtection="1">
      <alignment vertical="center" wrapText="1"/>
      <protection hidden="1"/>
    </xf>
    <xf numFmtId="0" fontId="37" fillId="4" borderId="125" xfId="0" applyFont="1" applyFill="1" applyBorder="1" applyAlignment="1" applyProtection="1">
      <alignment vertical="center"/>
      <protection hidden="1"/>
    </xf>
    <xf numFmtId="0" fontId="5" fillId="4" borderId="118" xfId="0" applyFont="1" applyFill="1" applyBorder="1" applyAlignment="1" applyProtection="1">
      <alignment vertical="center"/>
      <protection hidden="1"/>
    </xf>
    <xf numFmtId="0" fontId="62" fillId="22" borderId="1" xfId="1" applyFont="1" applyBorder="1" applyAlignment="1" applyProtection="1">
      <alignment horizontal="center" vertical="center"/>
      <protection hidden="1"/>
    </xf>
    <xf numFmtId="0" fontId="3" fillId="5" borderId="56" xfId="0" applyFont="1" applyFill="1" applyBorder="1" applyAlignment="1" applyProtection="1">
      <alignment vertical="center"/>
      <protection hidden="1"/>
    </xf>
    <xf numFmtId="0" fontId="63" fillId="5" borderId="0" xfId="0" applyFont="1" applyFill="1" applyAlignment="1" applyProtection="1">
      <alignment horizontal="left" wrapText="1" indent="2"/>
      <protection hidden="1"/>
    </xf>
    <xf numFmtId="0" fontId="35" fillId="4" borderId="7" xfId="0" applyFont="1" applyFill="1" applyBorder="1" applyAlignment="1" applyProtection="1">
      <alignment vertical="center" wrapText="1"/>
      <protection hidden="1"/>
    </xf>
    <xf numFmtId="0" fontId="37" fillId="4" borderId="0" xfId="0" applyFont="1" applyFill="1" applyAlignment="1" applyProtection="1">
      <alignment vertical="center" wrapText="1"/>
      <protection hidden="1"/>
    </xf>
    <xf numFmtId="0" fontId="5" fillId="4" borderId="7" xfId="0" applyFont="1" applyFill="1" applyBorder="1" applyAlignment="1" applyProtection="1">
      <alignment horizontal="right" vertical="center" wrapText="1" indent="4"/>
      <protection hidden="1"/>
    </xf>
    <xf numFmtId="0" fontId="5" fillId="4" borderId="0" xfId="0" applyFont="1" applyFill="1" applyAlignment="1" applyProtection="1">
      <alignment horizontal="right" vertical="center" wrapText="1" indent="4"/>
      <protection hidden="1"/>
    </xf>
    <xf numFmtId="0" fontId="5" fillId="4" borderId="2" xfId="0" applyFont="1" applyFill="1" applyBorder="1" applyAlignment="1" applyProtection="1">
      <alignment horizontal="right" vertical="center" wrapText="1" indent="1"/>
      <protection hidden="1"/>
    </xf>
    <xf numFmtId="0" fontId="3" fillId="4" borderId="2" xfId="0" applyFont="1" applyFill="1" applyBorder="1" applyAlignment="1" applyProtection="1">
      <alignment horizontal="right" vertical="center" wrapText="1" indent="1"/>
      <protection hidden="1"/>
    </xf>
    <xf numFmtId="0" fontId="0" fillId="0" borderId="63" xfId="0" applyBorder="1" applyAlignment="1" applyProtection="1">
      <alignment vertical="center"/>
      <protection hidden="1"/>
    </xf>
    <xf numFmtId="0" fontId="0" fillId="0" borderId="63" xfId="0" applyBorder="1" applyProtection="1">
      <protection hidden="1"/>
    </xf>
    <xf numFmtId="0" fontId="37" fillId="4" borderId="132" xfId="0" applyFont="1" applyFill="1" applyBorder="1" applyAlignment="1" applyProtection="1">
      <alignment vertical="center"/>
      <protection hidden="1"/>
    </xf>
    <xf numFmtId="0" fontId="64" fillId="5" borderId="0" xfId="0" applyFont="1" applyFill="1" applyAlignment="1" applyProtection="1">
      <alignment vertical="center"/>
      <protection hidden="1"/>
    </xf>
    <xf numFmtId="0" fontId="64" fillId="5" borderId="0" xfId="0" applyFont="1" applyFill="1" applyAlignment="1" applyProtection="1">
      <alignment vertical="center" wrapText="1"/>
      <protection hidden="1"/>
    </xf>
    <xf numFmtId="0" fontId="61" fillId="0" borderId="0" xfId="0" applyFont="1" applyProtection="1">
      <protection hidden="1"/>
    </xf>
    <xf numFmtId="0" fontId="0" fillId="4" borderId="2" xfId="0" applyFill="1" applyBorder="1" applyProtection="1">
      <protection hidden="1"/>
    </xf>
    <xf numFmtId="0" fontId="67" fillId="5" borderId="53" xfId="0" applyFont="1" applyFill="1" applyBorder="1" applyAlignment="1" applyProtection="1">
      <alignment horizontal="left" vertical="center" wrapText="1"/>
      <protection hidden="1"/>
    </xf>
    <xf numFmtId="0" fontId="5" fillId="0" borderId="0" xfId="0" applyFont="1" applyAlignment="1">
      <alignment horizontal="right"/>
    </xf>
    <xf numFmtId="0" fontId="60" fillId="4" borderId="0" xfId="0" applyFont="1" applyFill="1" applyAlignment="1" applyProtection="1">
      <alignment vertical="center" wrapText="1"/>
      <protection hidden="1"/>
    </xf>
    <xf numFmtId="0" fontId="5" fillId="0" borderId="0" xfId="0" applyFont="1" applyAlignment="1">
      <alignment horizontal="left" indent="1"/>
    </xf>
    <xf numFmtId="0" fontId="0" fillId="5" borderId="0" xfId="0" applyFill="1" applyAlignment="1" applyProtection="1">
      <alignment horizontal="left" vertical="center" indent="4"/>
      <protection hidden="1"/>
    </xf>
    <xf numFmtId="0" fontId="5" fillId="0" borderId="0" xfId="0" applyFont="1" applyAlignment="1" applyProtection="1">
      <alignment vertical="top"/>
      <protection hidden="1"/>
    </xf>
    <xf numFmtId="0" fontId="37" fillId="4" borderId="0" xfId="0" applyFont="1" applyFill="1" applyAlignment="1" applyProtection="1">
      <alignment horizontal="right" vertical="center" wrapText="1" indent="1"/>
      <protection hidden="1"/>
    </xf>
    <xf numFmtId="0" fontId="37" fillId="4" borderId="0" xfId="0" applyFont="1" applyFill="1" applyAlignment="1" applyProtection="1">
      <alignment horizontal="right" vertical="top" wrapText="1" indent="1"/>
      <protection hidden="1"/>
    </xf>
    <xf numFmtId="0" fontId="69" fillId="0" borderId="0" xfId="0" applyFont="1" applyAlignment="1" applyProtection="1">
      <alignment vertical="top"/>
      <protection hidden="1"/>
    </xf>
    <xf numFmtId="0" fontId="69" fillId="0" borderId="0" xfId="0" applyFont="1" applyAlignment="1" applyProtection="1">
      <alignment vertical="center"/>
      <protection hidden="1"/>
    </xf>
    <xf numFmtId="0" fontId="35" fillId="4" borderId="7" xfId="0" applyFont="1" applyFill="1" applyBorder="1" applyAlignment="1" applyProtection="1">
      <alignment vertical="top" wrapText="1"/>
      <protection hidden="1"/>
    </xf>
    <xf numFmtId="0" fontId="5" fillId="4" borderId="0" xfId="0" applyFont="1" applyFill="1" applyAlignment="1" applyProtection="1">
      <alignment horizontal="left" wrapText="1" indent="2"/>
      <protection hidden="1"/>
    </xf>
    <xf numFmtId="0" fontId="35" fillId="4" borderId="2" xfId="0" applyFont="1" applyFill="1" applyBorder="1" applyAlignment="1" applyProtection="1">
      <alignment horizontal="right" vertical="center" wrapText="1" indent="2"/>
      <protection hidden="1"/>
    </xf>
    <xf numFmtId="0" fontId="37" fillId="4" borderId="7" xfId="0" applyFont="1" applyFill="1" applyBorder="1" applyAlignment="1" applyProtection="1">
      <alignment horizontal="right" vertical="center" wrapText="1"/>
      <protection hidden="1"/>
    </xf>
    <xf numFmtId="0" fontId="8" fillId="4" borderId="0" xfId="0" applyFont="1" applyFill="1" applyAlignment="1" applyProtection="1">
      <alignment horizontal="right" vertical="center" indent="1"/>
      <protection hidden="1"/>
    </xf>
    <xf numFmtId="0" fontId="3" fillId="5" borderId="48" xfId="0" applyFont="1" applyFill="1" applyBorder="1" applyAlignment="1" applyProtection="1">
      <alignment vertical="center" wrapText="1"/>
      <protection hidden="1"/>
    </xf>
    <xf numFmtId="0" fontId="14" fillId="4" borderId="0" xfId="0" applyFont="1" applyFill="1" applyAlignment="1" applyProtection="1">
      <alignment wrapText="1"/>
      <protection hidden="1"/>
    </xf>
    <xf numFmtId="0" fontId="14" fillId="4" borderId="22" xfId="0" applyFont="1" applyFill="1" applyBorder="1" applyProtection="1">
      <protection hidden="1"/>
    </xf>
    <xf numFmtId="0" fontId="14" fillId="4" borderId="23" xfId="0" applyFont="1" applyFill="1" applyBorder="1" applyProtection="1">
      <protection hidden="1"/>
    </xf>
    <xf numFmtId="0" fontId="14" fillId="4" borderId="24" xfId="0" applyFont="1" applyFill="1" applyBorder="1" applyProtection="1">
      <protection hidden="1"/>
    </xf>
    <xf numFmtId="0" fontId="14" fillId="4" borderId="25" xfId="0" applyFont="1" applyFill="1" applyBorder="1" applyAlignment="1" applyProtection="1">
      <alignment horizontal="center" vertical="center"/>
      <protection hidden="1"/>
    </xf>
    <xf numFmtId="0" fontId="14" fillId="4" borderId="25" xfId="0" applyFont="1" applyFill="1" applyBorder="1" applyProtection="1">
      <protection hidden="1"/>
    </xf>
    <xf numFmtId="0" fontId="14" fillId="4" borderId="26" xfId="0" applyFont="1" applyFill="1" applyBorder="1" applyProtection="1">
      <protection hidden="1"/>
    </xf>
    <xf numFmtId="0" fontId="15" fillId="4" borderId="0" xfId="0" applyFont="1" applyFill="1" applyProtection="1">
      <protection hidden="1"/>
    </xf>
    <xf numFmtId="0" fontId="14" fillId="4" borderId="33" xfId="0" applyFont="1" applyFill="1" applyBorder="1" applyProtection="1">
      <protection hidden="1"/>
    </xf>
    <xf numFmtId="0" fontId="16" fillId="4" borderId="0" xfId="0" applyFont="1" applyFill="1" applyAlignment="1" applyProtection="1">
      <alignment vertical="center"/>
      <protection hidden="1"/>
    </xf>
    <xf numFmtId="0" fontId="16" fillId="4" borderId="131" xfId="0" applyFont="1" applyFill="1" applyBorder="1" applyAlignment="1" applyProtection="1">
      <alignment vertical="center"/>
      <protection hidden="1"/>
    </xf>
    <xf numFmtId="0" fontId="35" fillId="0" borderId="131" xfId="0" applyFont="1" applyBorder="1" applyAlignment="1" applyProtection="1">
      <alignment vertical="center"/>
      <protection hidden="1"/>
    </xf>
    <xf numFmtId="0" fontId="16" fillId="4" borderId="0" xfId="0" applyFont="1" applyFill="1" applyAlignment="1" applyProtection="1">
      <alignment horizontal="left" vertical="center" indent="1"/>
      <protection hidden="1"/>
    </xf>
    <xf numFmtId="0" fontId="14" fillId="4" borderId="33" xfId="0" applyFont="1" applyFill="1" applyBorder="1" applyAlignment="1" applyProtection="1">
      <alignment wrapText="1"/>
      <protection hidden="1"/>
    </xf>
    <xf numFmtId="0" fontId="14" fillId="4" borderId="33" xfId="0" applyFont="1" applyFill="1" applyBorder="1" applyAlignment="1" applyProtection="1">
      <alignment horizontal="right" wrapText="1"/>
      <protection hidden="1"/>
    </xf>
    <xf numFmtId="0" fontId="5" fillId="4" borderId="4" xfId="0" applyFont="1" applyFill="1" applyBorder="1" applyAlignment="1" applyProtection="1">
      <alignment horizontal="left" vertical="center" wrapText="1" indent="1"/>
      <protection hidden="1"/>
    </xf>
    <xf numFmtId="0" fontId="14" fillId="4" borderId="139" xfId="0" applyFont="1" applyFill="1" applyBorder="1" applyProtection="1">
      <protection hidden="1"/>
    </xf>
    <xf numFmtId="0" fontId="16" fillId="4" borderId="0" xfId="0" applyFont="1" applyFill="1" applyProtection="1">
      <protection hidden="1"/>
    </xf>
    <xf numFmtId="0" fontId="0" fillId="0" borderId="20" xfId="0" applyBorder="1" applyProtection="1">
      <protection hidden="1"/>
    </xf>
    <xf numFmtId="0" fontId="14" fillId="4" borderId="131" xfId="0" applyFont="1" applyFill="1" applyBorder="1" applyProtection="1">
      <protection hidden="1"/>
    </xf>
    <xf numFmtId="0" fontId="0" fillId="0" borderId="131" xfId="0" applyBorder="1" applyProtection="1">
      <protection hidden="1"/>
    </xf>
    <xf numFmtId="0" fontId="48" fillId="4" borderId="0" xfId="0" applyFont="1" applyFill="1" applyAlignment="1" applyProtection="1">
      <alignment vertical="center" wrapText="1"/>
      <protection hidden="1"/>
    </xf>
    <xf numFmtId="0" fontId="0" fillId="0" borderId="0" xfId="0" applyAlignment="1">
      <alignment horizontal="right" indent="1"/>
    </xf>
    <xf numFmtId="0" fontId="14" fillId="0" borderId="0" xfId="0" applyFont="1" applyAlignment="1">
      <alignment horizontal="right" indent="1"/>
    </xf>
    <xf numFmtId="0" fontId="0" fillId="4" borderId="0" xfId="0" applyFill="1" applyAlignment="1">
      <alignment vertical="top"/>
    </xf>
    <xf numFmtId="1" fontId="40" fillId="4" borderId="100" xfId="0" applyNumberFormat="1" applyFont="1" applyFill="1" applyBorder="1" applyAlignment="1" applyProtection="1">
      <alignment horizontal="center" vertical="center"/>
      <protection hidden="1"/>
    </xf>
    <xf numFmtId="0" fontId="16" fillId="4" borderId="14" xfId="0" applyFont="1" applyFill="1" applyBorder="1" applyAlignment="1" applyProtection="1">
      <alignment horizontal="left" vertical="top" indent="1"/>
      <protection hidden="1"/>
    </xf>
    <xf numFmtId="0" fontId="51" fillId="25" borderId="59" xfId="0" applyFont="1" applyFill="1" applyBorder="1" applyAlignment="1" applyProtection="1">
      <alignment vertical="center" wrapText="1"/>
      <protection hidden="1"/>
    </xf>
    <xf numFmtId="0" fontId="51" fillId="23" borderId="59" xfId="0" applyFont="1" applyFill="1" applyBorder="1" applyAlignment="1" applyProtection="1">
      <alignment vertical="center" wrapText="1"/>
      <protection hidden="1"/>
    </xf>
    <xf numFmtId="0" fontId="3" fillId="5" borderId="2" xfId="0" applyFont="1" applyFill="1" applyBorder="1" applyAlignment="1" applyProtection="1">
      <alignment vertical="center" wrapText="1"/>
      <protection hidden="1"/>
    </xf>
    <xf numFmtId="0" fontId="45" fillId="0" borderId="0" xfId="0" applyFont="1" applyProtection="1">
      <protection hidden="1"/>
    </xf>
    <xf numFmtId="0" fontId="74" fillId="4" borderId="0" xfId="0" applyFont="1" applyFill="1" applyProtection="1">
      <protection hidden="1"/>
    </xf>
    <xf numFmtId="0" fontId="79" fillId="4" borderId="0" xfId="0" applyFont="1" applyFill="1" applyAlignment="1" applyProtection="1">
      <alignment horizontal="right"/>
      <protection hidden="1"/>
    </xf>
    <xf numFmtId="0" fontId="80" fillId="4" borderId="0" xfId="0" applyFont="1" applyFill="1" applyProtection="1">
      <protection hidden="1"/>
    </xf>
    <xf numFmtId="0" fontId="74" fillId="4" borderId="32" xfId="0" applyFont="1" applyFill="1" applyBorder="1" applyAlignment="1" applyProtection="1">
      <alignment horizontal="left" vertical="center" indent="1"/>
      <protection hidden="1"/>
    </xf>
    <xf numFmtId="0" fontId="74" fillId="4" borderId="0" xfId="0" applyFont="1" applyFill="1" applyAlignment="1" applyProtection="1">
      <alignment horizontal="left" indent="1"/>
      <protection hidden="1"/>
    </xf>
    <xf numFmtId="0" fontId="74" fillId="4" borderId="31" xfId="0" applyFont="1" applyFill="1" applyBorder="1" applyAlignment="1" applyProtection="1">
      <alignment horizontal="left" vertical="center" indent="1"/>
      <protection hidden="1"/>
    </xf>
    <xf numFmtId="0" fontId="74" fillId="4" borderId="30" xfId="0" applyFont="1" applyFill="1" applyBorder="1" applyAlignment="1" applyProtection="1">
      <alignment horizontal="left" vertical="center" indent="1"/>
      <protection hidden="1"/>
    </xf>
    <xf numFmtId="0" fontId="74" fillId="4" borderId="28" xfId="0" applyFont="1" applyFill="1" applyBorder="1" applyAlignment="1" applyProtection="1">
      <alignment horizontal="left" vertical="center" indent="1"/>
      <protection hidden="1"/>
    </xf>
    <xf numFmtId="0" fontId="74" fillId="4" borderId="29" xfId="0" applyFont="1" applyFill="1" applyBorder="1" applyAlignment="1" applyProtection="1">
      <alignment horizontal="left" vertical="center" indent="1"/>
      <protection hidden="1"/>
    </xf>
    <xf numFmtId="0" fontId="80" fillId="4" borderId="0" xfId="0" applyFont="1" applyFill="1" applyAlignment="1" applyProtection="1">
      <alignment vertical="center"/>
      <protection hidden="1"/>
    </xf>
    <xf numFmtId="0" fontId="81" fillId="0" borderId="33" xfId="0" applyFont="1" applyBorder="1" applyAlignment="1" applyProtection="1">
      <alignment horizontal="left" vertical="center" indent="1"/>
      <protection hidden="1"/>
    </xf>
    <xf numFmtId="0" fontId="74" fillId="4" borderId="0" xfId="0" applyFont="1" applyFill="1" applyAlignment="1" applyProtection="1">
      <alignment wrapText="1"/>
      <protection hidden="1"/>
    </xf>
    <xf numFmtId="164" fontId="79" fillId="4" borderId="0" xfId="0" applyNumberFormat="1" applyFont="1" applyFill="1" applyAlignment="1" applyProtection="1">
      <alignment horizontal="right"/>
      <protection hidden="1"/>
    </xf>
    <xf numFmtId="0" fontId="12" fillId="4" borderId="94" xfId="0" applyFont="1" applyFill="1" applyBorder="1" applyProtection="1">
      <protection hidden="1"/>
    </xf>
    <xf numFmtId="0" fontId="83" fillId="4" borderId="0" xfId="0" applyFont="1" applyFill="1" applyAlignment="1" applyProtection="1">
      <alignment horizontal="left" vertical="center"/>
      <protection hidden="1"/>
    </xf>
    <xf numFmtId="0" fontId="83" fillId="4" borderId="0" xfId="0" applyFont="1" applyFill="1" applyAlignment="1" applyProtection="1">
      <alignment vertical="top"/>
      <protection hidden="1"/>
    </xf>
    <xf numFmtId="0" fontId="83" fillId="4" borderId="0" xfId="0" applyFont="1" applyFill="1" applyAlignment="1" applyProtection="1">
      <alignment horizontal="left"/>
      <protection hidden="1"/>
    </xf>
    <xf numFmtId="0" fontId="83" fillId="4" borderId="0" xfId="0" applyFont="1" applyFill="1" applyProtection="1">
      <protection hidden="1"/>
    </xf>
    <xf numFmtId="0" fontId="83" fillId="4" borderId="0" xfId="0" applyFont="1" applyFill="1" applyAlignment="1" applyProtection="1">
      <alignment vertical="center"/>
      <protection hidden="1"/>
    </xf>
    <xf numFmtId="0" fontId="87" fillId="0" borderId="0" xfId="0" applyFont="1" applyAlignment="1" applyProtection="1">
      <alignment horizontal="left"/>
      <protection hidden="1"/>
    </xf>
    <xf numFmtId="0" fontId="12" fillId="4" borderId="0" xfId="0" applyFont="1" applyFill="1" applyAlignment="1" applyProtection="1">
      <alignment horizontal="right"/>
      <protection hidden="1"/>
    </xf>
    <xf numFmtId="0" fontId="87" fillId="0" borderId="0" xfId="0" applyFont="1" applyAlignment="1" applyProtection="1">
      <alignment horizontal="left" indent="1"/>
      <protection hidden="1"/>
    </xf>
    <xf numFmtId="0" fontId="88" fillId="4" borderId="7" xfId="0" applyFont="1" applyFill="1" applyBorder="1" applyAlignment="1" applyProtection="1">
      <alignment horizontal="left" vertical="center"/>
      <protection hidden="1"/>
    </xf>
    <xf numFmtId="0" fontId="62" fillId="22" borderId="1" xfId="1" applyFont="1" applyBorder="1" applyAlignment="1" applyProtection="1">
      <alignment horizontal="center" vertical="center" wrapText="1"/>
      <protection hidden="1"/>
    </xf>
    <xf numFmtId="0" fontId="91" fillId="5" borderId="0" xfId="0" applyFont="1" applyFill="1" applyAlignment="1" applyProtection="1">
      <alignment vertical="center"/>
      <protection hidden="1"/>
    </xf>
    <xf numFmtId="0" fontId="92" fillId="5" borderId="0" xfId="0" applyFont="1" applyFill="1" applyAlignment="1" applyProtection="1">
      <alignment vertical="center"/>
      <protection hidden="1"/>
    </xf>
    <xf numFmtId="0" fontId="10" fillId="4" borderId="23" xfId="0" applyFont="1" applyFill="1" applyBorder="1" applyProtection="1">
      <protection hidden="1"/>
    </xf>
    <xf numFmtId="0" fontId="64" fillId="4" borderId="0" xfId="0" applyFont="1" applyFill="1" applyAlignment="1" applyProtection="1">
      <alignment horizontal="right"/>
      <protection hidden="1"/>
    </xf>
    <xf numFmtId="0" fontId="92" fillId="4" borderId="7" xfId="0" applyFont="1" applyFill="1" applyBorder="1" applyAlignment="1" applyProtection="1">
      <alignment horizontal="left" vertical="center" wrapText="1" indent="1"/>
      <protection hidden="1"/>
    </xf>
    <xf numFmtId="0" fontId="16" fillId="4" borderId="7" xfId="0" applyFont="1" applyFill="1" applyBorder="1" applyAlignment="1" applyProtection="1">
      <alignment horizontal="left" vertical="center" indent="1"/>
      <protection hidden="1"/>
    </xf>
    <xf numFmtId="0" fontId="6" fillId="4" borderId="142" xfId="0" applyFont="1" applyFill="1" applyBorder="1" applyAlignment="1" applyProtection="1">
      <alignment horizontal="left" indent="1"/>
      <protection hidden="1"/>
    </xf>
    <xf numFmtId="0" fontId="12" fillId="4" borderId="142" xfId="0" applyFont="1" applyFill="1" applyBorder="1" applyProtection="1">
      <protection hidden="1"/>
    </xf>
    <xf numFmtId="0" fontId="93" fillId="0" borderId="0" xfId="0" applyFont="1" applyAlignment="1" applyProtection="1">
      <alignment vertical="top"/>
      <protection hidden="1"/>
    </xf>
    <xf numFmtId="0" fontId="93" fillId="0" borderId="0" xfId="0" applyFont="1" applyAlignment="1" applyProtection="1">
      <alignment vertical="center"/>
      <protection hidden="1"/>
    </xf>
    <xf numFmtId="0" fontId="39" fillId="4" borderId="7" xfId="0" applyFont="1" applyFill="1" applyBorder="1" applyAlignment="1" applyProtection="1">
      <alignment vertical="center" wrapText="1"/>
      <protection hidden="1"/>
    </xf>
    <xf numFmtId="0" fontId="39" fillId="4" borderId="0" xfId="0" applyFont="1" applyFill="1" applyAlignment="1" applyProtection="1">
      <alignment horizontal="left" wrapText="1" indent="1"/>
      <protection hidden="1"/>
    </xf>
    <xf numFmtId="0" fontId="8" fillId="4" borderId="0" xfId="0" applyFont="1" applyFill="1" applyAlignment="1" applyProtection="1">
      <alignment horizontal="left" wrapText="1" indent="2"/>
      <protection hidden="1"/>
    </xf>
    <xf numFmtId="0" fontId="69" fillId="4" borderId="0" xfId="0" applyFont="1" applyFill="1" applyAlignment="1" applyProtection="1">
      <alignment horizontal="left" wrapText="1"/>
      <protection hidden="1"/>
    </xf>
    <xf numFmtId="0" fontId="6" fillId="4" borderId="0" xfId="0" applyFont="1" applyFill="1" applyAlignment="1" applyProtection="1">
      <alignment horizontal="right" indent="1"/>
      <protection hidden="1"/>
    </xf>
    <xf numFmtId="0" fontId="94" fillId="4" borderId="0" xfId="0" applyFont="1" applyFill="1" applyAlignment="1" applyProtection="1">
      <alignment horizontal="left" wrapText="1" indent="1"/>
      <protection hidden="1"/>
    </xf>
    <xf numFmtId="0" fontId="6" fillId="4" borderId="0" xfId="0" applyFont="1" applyFill="1" applyAlignment="1" applyProtection="1">
      <alignment horizontal="left" wrapText="1" indent="2"/>
      <protection hidden="1"/>
    </xf>
    <xf numFmtId="0" fontId="8" fillId="4" borderId="0" xfId="0" applyFont="1" applyFill="1" applyAlignment="1" applyProtection="1">
      <alignment horizontal="left" indent="1"/>
      <protection hidden="1"/>
    </xf>
    <xf numFmtId="0" fontId="0" fillId="0" borderId="22" xfId="0" applyBorder="1" applyProtection="1">
      <protection hidden="1"/>
    </xf>
    <xf numFmtId="0" fontId="3" fillId="5" borderId="0" xfId="0" applyFont="1" applyFill="1" applyAlignment="1" applyProtection="1">
      <alignment horizontal="right" wrapText="1" indent="1"/>
      <protection hidden="1"/>
    </xf>
    <xf numFmtId="0" fontId="0" fillId="4" borderId="20" xfId="0" applyFill="1" applyBorder="1" applyProtection="1">
      <protection hidden="1"/>
    </xf>
    <xf numFmtId="0" fontId="6" fillId="5" borderId="0" xfId="1" applyFont="1" applyFill="1" applyBorder="1" applyAlignment="1" applyProtection="1">
      <alignment horizontal="center" vertical="center"/>
      <protection hidden="1"/>
    </xf>
    <xf numFmtId="0" fontId="101" fillId="24" borderId="0" xfId="0" applyFont="1" applyFill="1" applyAlignment="1" applyProtection="1">
      <alignment horizontal="left" vertical="center" indent="1"/>
      <protection hidden="1"/>
    </xf>
    <xf numFmtId="0" fontId="5" fillId="4" borderId="115" xfId="0" applyFont="1" applyFill="1" applyBorder="1" applyAlignment="1" applyProtection="1">
      <alignment horizontal="left" vertical="center" wrapText="1"/>
      <protection hidden="1"/>
    </xf>
    <xf numFmtId="0" fontId="6" fillId="4" borderId="95" xfId="0" applyFont="1" applyFill="1" applyBorder="1" applyAlignment="1" applyProtection="1">
      <alignment horizontal="left" indent="1"/>
      <protection hidden="1"/>
    </xf>
    <xf numFmtId="0" fontId="12" fillId="4" borderId="95" xfId="0" applyFont="1" applyFill="1" applyBorder="1" applyProtection="1">
      <protection hidden="1"/>
    </xf>
    <xf numFmtId="0" fontId="18" fillId="0" borderId="95" xfId="0" applyFont="1" applyBorder="1" applyProtection="1">
      <protection hidden="1"/>
    </xf>
    <xf numFmtId="0" fontId="19" fillId="4" borderId="95" xfId="0" applyFont="1" applyFill="1" applyBorder="1" applyAlignment="1" applyProtection="1">
      <alignment horizontal="left" indent="1"/>
      <protection hidden="1"/>
    </xf>
    <xf numFmtId="0" fontId="18" fillId="4" borderId="95" xfId="0" applyFont="1" applyFill="1" applyBorder="1" applyProtection="1">
      <protection hidden="1"/>
    </xf>
    <xf numFmtId="0" fontId="104" fillId="0" borderId="0" xfId="0" applyFont="1" applyAlignment="1" applyProtection="1">
      <alignment horizontal="center"/>
      <protection hidden="1"/>
    </xf>
    <xf numFmtId="0" fontId="105" fillId="4" borderId="0" xfId="0" applyFont="1" applyFill="1" applyAlignment="1" applyProtection="1">
      <alignment horizontal="left" vertical="top"/>
      <protection hidden="1"/>
    </xf>
    <xf numFmtId="0" fontId="5" fillId="4" borderId="96" xfId="0" applyFont="1" applyFill="1" applyBorder="1" applyAlignment="1" applyProtection="1">
      <alignment horizontal="left" vertical="center" wrapText="1"/>
      <protection hidden="1"/>
    </xf>
    <xf numFmtId="0" fontId="38" fillId="5" borderId="0" xfId="0" applyFont="1" applyFill="1" applyAlignment="1" applyProtection="1">
      <alignment horizontal="left" vertical="top" wrapText="1"/>
      <protection hidden="1"/>
    </xf>
    <xf numFmtId="0" fontId="106" fillId="5" borderId="52" xfId="0" applyFont="1" applyFill="1" applyBorder="1" applyAlignment="1" applyProtection="1">
      <alignment horizontal="left" vertical="center" wrapText="1"/>
      <protection hidden="1"/>
    </xf>
    <xf numFmtId="0" fontId="107" fillId="4" borderId="2" xfId="0" applyFont="1" applyFill="1" applyBorder="1" applyProtection="1">
      <protection hidden="1"/>
    </xf>
    <xf numFmtId="0" fontId="73" fillId="4" borderId="0" xfId="0" applyFont="1" applyFill="1" applyAlignment="1" applyProtection="1">
      <alignment vertical="center"/>
      <protection hidden="1"/>
    </xf>
    <xf numFmtId="0" fontId="7" fillId="4" borderId="0" xfId="0" applyFont="1" applyFill="1" applyAlignment="1" applyProtection="1">
      <alignment vertical="center"/>
      <protection hidden="1"/>
    </xf>
    <xf numFmtId="0" fontId="0" fillId="5" borderId="0" xfId="0" applyFill="1" applyAlignment="1" applyProtection="1">
      <alignment vertical="center"/>
      <protection hidden="1"/>
    </xf>
    <xf numFmtId="0" fontId="0" fillId="5" borderId="0" xfId="0" applyFill="1" applyAlignment="1" applyProtection="1">
      <alignment vertical="top"/>
      <protection hidden="1"/>
    </xf>
    <xf numFmtId="0" fontId="109" fillId="8" borderId="0" xfId="0" applyFont="1" applyFill="1" applyAlignment="1" applyProtection="1">
      <alignment horizontal="left" vertical="top" wrapText="1" indent="5"/>
      <protection hidden="1"/>
    </xf>
    <xf numFmtId="0" fontId="10" fillId="8" borderId="0" xfId="0" applyFont="1" applyFill="1" applyAlignment="1" applyProtection="1">
      <alignment horizontal="left" vertical="center"/>
      <protection hidden="1"/>
    </xf>
    <xf numFmtId="0" fontId="94" fillId="4" borderId="60" xfId="0" applyFont="1" applyFill="1" applyBorder="1" applyAlignment="1" applyProtection="1">
      <alignment horizontal="center" vertical="center"/>
      <protection hidden="1"/>
    </xf>
    <xf numFmtId="0" fontId="44" fillId="5" borderId="0" xfId="0" applyFont="1" applyFill="1" applyAlignment="1" applyProtection="1">
      <alignment vertical="center"/>
      <protection hidden="1"/>
    </xf>
    <xf numFmtId="0" fontId="38" fillId="5" borderId="0" xfId="0" applyFont="1" applyFill="1" applyAlignment="1" applyProtection="1">
      <alignment horizontal="left" vertical="top" indent="6"/>
      <protection hidden="1"/>
    </xf>
    <xf numFmtId="0" fontId="38" fillId="5" borderId="56" xfId="0" applyFont="1" applyFill="1" applyBorder="1" applyAlignment="1" applyProtection="1">
      <alignment vertical="center"/>
      <protection hidden="1"/>
    </xf>
    <xf numFmtId="0" fontId="38" fillId="5" borderId="0" xfId="0" applyFont="1" applyFill="1" applyAlignment="1" applyProtection="1">
      <alignment horizontal="left" vertical="center" indent="8"/>
      <protection hidden="1"/>
    </xf>
    <xf numFmtId="0" fontId="113" fillId="5" borderId="52" xfId="0" applyFont="1" applyFill="1" applyBorder="1" applyAlignment="1" applyProtection="1">
      <alignment horizontal="center" vertical="center" wrapText="1"/>
      <protection hidden="1"/>
    </xf>
    <xf numFmtId="0" fontId="35" fillId="5" borderId="52" xfId="0" applyFont="1" applyFill="1" applyBorder="1" applyAlignment="1" applyProtection="1">
      <alignment horizontal="center" vertical="center"/>
      <protection hidden="1"/>
    </xf>
    <xf numFmtId="0" fontId="0" fillId="4" borderId="0" xfId="0" applyFill="1" applyAlignment="1" applyProtection="1">
      <alignment horizontal="left" vertical="top" indent="4"/>
      <protection hidden="1"/>
    </xf>
    <xf numFmtId="0" fontId="0" fillId="4" borderId="0" xfId="0" applyFill="1" applyAlignment="1" applyProtection="1">
      <alignment horizontal="left" vertical="top"/>
      <protection hidden="1"/>
    </xf>
    <xf numFmtId="0" fontId="116" fillId="4" borderId="7" xfId="0" applyFont="1" applyFill="1" applyBorder="1" applyAlignment="1" applyProtection="1">
      <alignment horizontal="right" vertical="top"/>
      <protection hidden="1"/>
    </xf>
    <xf numFmtId="0" fontId="0" fillId="4" borderId="0" xfId="0" applyFill="1" applyAlignment="1" applyProtection="1">
      <alignment horizontal="left" vertical="center"/>
      <protection hidden="1"/>
    </xf>
    <xf numFmtId="0" fontId="62" fillId="31" borderId="1" xfId="1" applyFont="1" applyFill="1" applyBorder="1" applyAlignment="1" applyProtection="1">
      <alignment horizontal="center" vertical="center" wrapText="1"/>
      <protection hidden="1"/>
    </xf>
    <xf numFmtId="164" fontId="5" fillId="4" borderId="0" xfId="0" applyNumberFormat="1" applyFont="1" applyFill="1" applyAlignment="1" applyProtection="1">
      <alignment horizontal="right" vertical="center" wrapText="1" indent="1"/>
      <protection hidden="1"/>
    </xf>
    <xf numFmtId="0" fontId="37" fillId="4" borderId="80" xfId="0" applyFont="1" applyFill="1" applyBorder="1" applyAlignment="1" applyProtection="1">
      <alignment horizontal="left" vertical="center" wrapText="1"/>
      <protection hidden="1"/>
    </xf>
    <xf numFmtId="0" fontId="35" fillId="4" borderId="50" xfId="0" applyFont="1" applyFill="1" applyBorder="1" applyAlignment="1" applyProtection="1">
      <alignment horizontal="left" vertical="center"/>
      <protection hidden="1"/>
    </xf>
    <xf numFmtId="0" fontId="35" fillId="4" borderId="50" xfId="0" applyFont="1" applyFill="1" applyBorder="1" applyAlignment="1" applyProtection="1">
      <alignment vertical="center"/>
      <protection hidden="1"/>
    </xf>
    <xf numFmtId="0" fontId="3" fillId="4" borderId="0" xfId="0" applyFont="1" applyFill="1" applyAlignment="1" applyProtection="1">
      <alignment horizontal="left" vertical="top" indent="4"/>
      <protection hidden="1"/>
    </xf>
    <xf numFmtId="0" fontId="3" fillId="4" borderId="46" xfId="0" applyFont="1" applyFill="1" applyBorder="1" applyAlignment="1" applyProtection="1">
      <alignment horizontal="left" vertical="top" indent="4"/>
      <protection hidden="1"/>
    </xf>
    <xf numFmtId="0" fontId="37" fillId="4" borderId="62" xfId="0" applyFont="1" applyFill="1" applyBorder="1" applyAlignment="1" applyProtection="1">
      <alignment horizontal="left" vertical="center" indent="1"/>
      <protection hidden="1"/>
    </xf>
    <xf numFmtId="0" fontId="4" fillId="0" borderId="63" xfId="0" applyFont="1" applyBorder="1" applyAlignment="1" applyProtection="1">
      <alignment horizontal="right" vertical="center" indent="1"/>
      <protection hidden="1"/>
    </xf>
    <xf numFmtId="0" fontId="94" fillId="5" borderId="0" xfId="0" applyFont="1" applyFill="1" applyAlignment="1" applyProtection="1">
      <alignment horizontal="center" vertical="center"/>
      <protection hidden="1"/>
    </xf>
    <xf numFmtId="0" fontId="93" fillId="4" borderId="0" xfId="0" applyFont="1" applyFill="1" applyProtection="1">
      <protection hidden="1"/>
    </xf>
    <xf numFmtId="0" fontId="5" fillId="4" borderId="0" xfId="0" applyFont="1" applyFill="1" applyAlignment="1" applyProtection="1">
      <alignment horizontal="left"/>
      <protection hidden="1"/>
    </xf>
    <xf numFmtId="0" fontId="5" fillId="4" borderId="0" xfId="0" applyFont="1" applyFill="1" applyAlignment="1" applyProtection="1">
      <alignment horizontal="left" indent="5"/>
      <protection hidden="1"/>
    </xf>
    <xf numFmtId="0" fontId="35" fillId="4" borderId="7" xfId="0" applyFont="1" applyFill="1" applyBorder="1" applyAlignment="1" applyProtection="1">
      <alignment horizontal="left" wrapText="1" indent="1"/>
      <protection hidden="1"/>
    </xf>
    <xf numFmtId="0" fontId="37" fillId="4" borderId="4" xfId="0" applyFont="1" applyFill="1" applyBorder="1" applyAlignment="1" applyProtection="1">
      <alignment horizontal="right" vertical="center" wrapText="1"/>
      <protection hidden="1"/>
    </xf>
    <xf numFmtId="0" fontId="37" fillId="4" borderId="8" xfId="0" applyFont="1" applyFill="1" applyBorder="1" applyAlignment="1" applyProtection="1">
      <alignment horizontal="right" vertical="center" wrapText="1"/>
      <protection hidden="1"/>
    </xf>
    <xf numFmtId="0" fontId="8" fillId="4" borderId="8" xfId="0" applyFont="1" applyFill="1" applyBorder="1" applyAlignment="1" applyProtection="1">
      <alignment horizontal="left" vertical="center" indent="2"/>
      <protection hidden="1"/>
    </xf>
    <xf numFmtId="0" fontId="0" fillId="0" borderId="8" xfId="0" applyBorder="1" applyProtection="1">
      <protection hidden="1"/>
    </xf>
    <xf numFmtId="0" fontId="5" fillId="4" borderId="8" xfId="0" applyFont="1" applyFill="1" applyBorder="1" applyAlignment="1" applyProtection="1">
      <alignment vertical="center"/>
      <protection hidden="1"/>
    </xf>
    <xf numFmtId="0" fontId="5" fillId="4" borderId="0" xfId="0" applyFont="1" applyFill="1" applyAlignment="1" applyProtection="1">
      <alignment horizontal="left" vertical="center"/>
      <protection hidden="1"/>
    </xf>
    <xf numFmtId="0" fontId="3" fillId="5" borderId="49" xfId="0" applyFont="1" applyFill="1" applyBorder="1" applyAlignment="1" applyProtection="1">
      <alignment vertical="center" wrapText="1"/>
      <protection hidden="1"/>
    </xf>
    <xf numFmtId="0" fontId="38" fillId="5" borderId="50" xfId="0" applyFont="1" applyFill="1" applyBorder="1" applyAlignment="1" applyProtection="1">
      <alignment horizontal="left" vertical="top" wrapText="1"/>
      <protection hidden="1"/>
    </xf>
    <xf numFmtId="0" fontId="3" fillId="5" borderId="50" xfId="0" applyFont="1" applyFill="1" applyBorder="1" applyAlignment="1" applyProtection="1">
      <alignment vertical="center" wrapText="1"/>
      <protection hidden="1"/>
    </xf>
    <xf numFmtId="0" fontId="3" fillId="5" borderId="51" xfId="0" applyFont="1" applyFill="1" applyBorder="1" applyAlignment="1" applyProtection="1">
      <alignment vertical="center" wrapText="1"/>
      <protection hidden="1"/>
    </xf>
    <xf numFmtId="0" fontId="38" fillId="5" borderId="56" xfId="0" applyFont="1" applyFill="1" applyBorder="1" applyAlignment="1" applyProtection="1">
      <alignment horizontal="left" vertical="top" wrapText="1" indent="5"/>
      <protection hidden="1"/>
    </xf>
    <xf numFmtId="0" fontId="9" fillId="5" borderId="56" xfId="0" applyFont="1" applyFill="1" applyBorder="1" applyAlignment="1" applyProtection="1">
      <alignment vertical="top" wrapText="1"/>
      <protection hidden="1"/>
    </xf>
    <xf numFmtId="0" fontId="38" fillId="5" borderId="56" xfId="0" applyFont="1" applyFill="1" applyBorder="1" applyAlignment="1" applyProtection="1">
      <alignment horizontal="left" vertical="top" wrapText="1"/>
      <protection hidden="1"/>
    </xf>
    <xf numFmtId="0" fontId="35" fillId="5" borderId="52" xfId="0" applyFont="1" applyFill="1" applyBorder="1" applyAlignment="1" applyProtection="1">
      <alignment horizontal="left" vertical="center" indent="1"/>
      <protection hidden="1"/>
    </xf>
    <xf numFmtId="0" fontId="73" fillId="9" borderId="0" xfId="0" applyFont="1" applyFill="1" applyAlignment="1" applyProtection="1">
      <alignment horizontal="left" vertical="center" indent="1"/>
      <protection hidden="1"/>
    </xf>
    <xf numFmtId="0" fontId="5" fillId="4" borderId="153" xfId="0" applyFont="1" applyFill="1" applyBorder="1" applyAlignment="1" applyProtection="1">
      <alignment horizontal="center" vertical="center"/>
      <protection hidden="1"/>
    </xf>
    <xf numFmtId="0" fontId="49" fillId="24" borderId="71" xfId="0" applyFont="1" applyFill="1" applyBorder="1" applyAlignment="1" applyProtection="1">
      <alignment horizontal="center" vertical="center"/>
      <protection hidden="1"/>
    </xf>
    <xf numFmtId="0" fontId="49" fillId="24" borderId="158" xfId="0" applyFont="1" applyFill="1" applyBorder="1" applyAlignment="1" applyProtection="1">
      <alignment horizontal="center" vertical="center"/>
      <protection hidden="1"/>
    </xf>
    <xf numFmtId="0" fontId="49" fillId="24" borderId="83" xfId="0" applyFont="1" applyFill="1" applyBorder="1" applyAlignment="1" applyProtection="1">
      <alignment horizontal="center" vertical="center"/>
      <protection hidden="1"/>
    </xf>
    <xf numFmtId="0" fontId="5" fillId="4" borderId="91" xfId="0" applyFont="1" applyFill="1" applyBorder="1" applyAlignment="1" applyProtection="1">
      <alignment horizontal="left" vertical="center" indent="1"/>
      <protection hidden="1"/>
    </xf>
    <xf numFmtId="164" fontId="4" fillId="4" borderId="91" xfId="0" applyNumberFormat="1" applyFont="1" applyFill="1" applyBorder="1" applyAlignment="1" applyProtection="1">
      <alignment horizontal="right" vertical="center" indent="1"/>
      <protection hidden="1"/>
    </xf>
    <xf numFmtId="164" fontId="5" fillId="4" borderId="90" xfId="0" applyNumberFormat="1" applyFont="1" applyFill="1" applyBorder="1" applyAlignment="1" applyProtection="1">
      <alignment horizontal="left" vertical="center" indent="1"/>
      <protection hidden="1"/>
    </xf>
    <xf numFmtId="0" fontId="49" fillId="24" borderId="91" xfId="0" applyFont="1" applyFill="1" applyBorder="1" applyAlignment="1" applyProtection="1">
      <alignment horizontal="left" vertical="center" indent="1"/>
      <protection hidden="1"/>
    </xf>
    <xf numFmtId="164" fontId="49" fillId="24" borderId="91" xfId="0" applyNumberFormat="1" applyFont="1" applyFill="1" applyBorder="1" applyAlignment="1" applyProtection="1">
      <alignment horizontal="left" vertical="center"/>
      <protection hidden="1"/>
    </xf>
    <xf numFmtId="0" fontId="120" fillId="5" borderId="0" xfId="0" applyFont="1" applyFill="1" applyAlignment="1" applyProtection="1">
      <alignment horizontal="center" vertical="top"/>
      <protection hidden="1"/>
    </xf>
    <xf numFmtId="0" fontId="6" fillId="4" borderId="5" xfId="0" applyFont="1" applyFill="1" applyBorder="1" applyAlignment="1" applyProtection="1">
      <alignment horizontal="left" vertical="center" indent="1"/>
      <protection hidden="1"/>
    </xf>
    <xf numFmtId="0" fontId="125" fillId="4" borderId="0" xfId="0" applyFont="1" applyFill="1" applyAlignment="1" applyProtection="1">
      <alignment horizontal="left" vertical="center" indent="1"/>
      <protection hidden="1"/>
    </xf>
    <xf numFmtId="3" fontId="51" fillId="4" borderId="114" xfId="0" applyNumberFormat="1" applyFont="1" applyFill="1" applyBorder="1" applyAlignment="1" applyProtection="1">
      <alignment horizontal="left" vertical="center" indent="1"/>
      <protection hidden="1"/>
    </xf>
    <xf numFmtId="3" fontId="51" fillId="4" borderId="128" xfId="0" applyNumberFormat="1" applyFont="1" applyFill="1" applyBorder="1" applyAlignment="1" applyProtection="1">
      <alignment horizontal="left" vertical="center" indent="1"/>
      <protection hidden="1"/>
    </xf>
    <xf numFmtId="3" fontId="51" fillId="4" borderId="79" xfId="0" applyNumberFormat="1" applyFont="1" applyFill="1" applyBorder="1" applyAlignment="1" applyProtection="1">
      <alignment horizontal="left" vertical="center" indent="1"/>
      <protection hidden="1"/>
    </xf>
    <xf numFmtId="0" fontId="37" fillId="4" borderId="80" xfId="0" applyFont="1" applyFill="1" applyBorder="1" applyAlignment="1" applyProtection="1">
      <alignment horizontal="left" vertical="center" indent="1"/>
      <protection hidden="1"/>
    </xf>
    <xf numFmtId="0" fontId="76" fillId="5" borderId="0" xfId="0" applyFont="1" applyFill="1" applyAlignment="1" applyProtection="1">
      <alignment horizontal="left"/>
      <protection hidden="1"/>
    </xf>
    <xf numFmtId="0" fontId="127" fillId="5" borderId="0" xfId="0" applyFont="1" applyFill="1" applyAlignment="1" applyProtection="1">
      <alignment horizontal="left" vertical="top"/>
      <protection hidden="1"/>
    </xf>
    <xf numFmtId="0" fontId="0" fillId="5" borderId="0" xfId="0" applyFill="1" applyAlignment="1" applyProtection="1">
      <alignment horizontal="right" vertical="top" indent="1"/>
      <protection hidden="1"/>
    </xf>
    <xf numFmtId="0" fontId="0" fillId="5" borderId="167" xfId="0" applyFill="1" applyBorder="1" applyAlignment="1" applyProtection="1">
      <alignment horizontal="left" vertical="center"/>
      <protection hidden="1"/>
    </xf>
    <xf numFmtId="0" fontId="121" fillId="5" borderId="167" xfId="0" applyFont="1" applyFill="1" applyBorder="1" applyAlignment="1" applyProtection="1">
      <alignment vertical="center" wrapText="1"/>
      <protection hidden="1"/>
    </xf>
    <xf numFmtId="0" fontId="76" fillId="5" borderId="167" xfId="0" applyFont="1" applyFill="1" applyBorder="1" applyAlignment="1" applyProtection="1">
      <alignment horizontal="left" vertical="center"/>
      <protection hidden="1"/>
    </xf>
    <xf numFmtId="0" fontId="75" fillId="5" borderId="167" xfId="0" applyFont="1" applyFill="1" applyBorder="1" applyAlignment="1" applyProtection="1">
      <alignment vertical="center"/>
      <protection hidden="1"/>
    </xf>
    <xf numFmtId="0" fontId="0" fillId="5" borderId="167" xfId="0" applyFill="1" applyBorder="1" applyAlignment="1" applyProtection="1">
      <alignment vertical="center"/>
      <protection hidden="1"/>
    </xf>
    <xf numFmtId="0" fontId="0" fillId="5" borderId="168" xfId="0" applyFill="1" applyBorder="1" applyAlignment="1" applyProtection="1">
      <alignment horizontal="left" vertical="center"/>
      <protection hidden="1"/>
    </xf>
    <xf numFmtId="0" fontId="121" fillId="5" borderId="168" xfId="0" applyFont="1" applyFill="1" applyBorder="1" applyAlignment="1" applyProtection="1">
      <alignment vertical="center" wrapText="1"/>
      <protection hidden="1"/>
    </xf>
    <xf numFmtId="0" fontId="0" fillId="5" borderId="168" xfId="0" applyFill="1" applyBorder="1" applyAlignment="1" applyProtection="1">
      <alignment vertical="center"/>
      <protection hidden="1"/>
    </xf>
    <xf numFmtId="0" fontId="9" fillId="5" borderId="168" xfId="0" applyFont="1" applyFill="1" applyBorder="1" applyAlignment="1" applyProtection="1">
      <alignment vertical="center" wrapText="1"/>
      <protection hidden="1"/>
    </xf>
    <xf numFmtId="0" fontId="118" fillId="5" borderId="168" xfId="0" applyFont="1" applyFill="1" applyBorder="1" applyAlignment="1" applyProtection="1">
      <alignment horizontal="left" vertical="center" wrapText="1"/>
      <protection hidden="1"/>
    </xf>
    <xf numFmtId="0" fontId="75" fillId="5" borderId="168" xfId="0" applyFont="1" applyFill="1" applyBorder="1" applyAlignment="1" applyProtection="1">
      <alignment vertical="center"/>
      <protection hidden="1"/>
    </xf>
    <xf numFmtId="0" fontId="121" fillId="5" borderId="168" xfId="0" applyFont="1" applyFill="1" applyBorder="1" applyAlignment="1" applyProtection="1">
      <alignment vertical="center"/>
      <protection hidden="1"/>
    </xf>
    <xf numFmtId="0" fontId="9" fillId="5" borderId="168" xfId="0" applyFont="1" applyFill="1" applyBorder="1" applyAlignment="1" applyProtection="1">
      <alignment horizontal="left" vertical="center"/>
      <protection hidden="1"/>
    </xf>
    <xf numFmtId="0" fontId="75" fillId="5" borderId="168" xfId="0" applyFont="1" applyFill="1" applyBorder="1" applyAlignment="1" applyProtection="1">
      <alignment horizontal="left" vertical="center"/>
      <protection hidden="1"/>
    </xf>
    <xf numFmtId="0" fontId="0" fillId="5" borderId="169" xfId="0" applyFill="1" applyBorder="1" applyAlignment="1" applyProtection="1">
      <alignment horizontal="left" vertical="center"/>
      <protection hidden="1"/>
    </xf>
    <xf numFmtId="0" fontId="121" fillId="5" borderId="169" xfId="0" applyFont="1" applyFill="1" applyBorder="1" applyAlignment="1" applyProtection="1">
      <alignment vertical="center" wrapText="1"/>
      <protection hidden="1"/>
    </xf>
    <xf numFmtId="0" fontId="9" fillId="5" borderId="169" xfId="0" applyFont="1" applyFill="1" applyBorder="1" applyAlignment="1" applyProtection="1">
      <alignment vertical="center" wrapText="1"/>
      <protection hidden="1"/>
    </xf>
    <xf numFmtId="0" fontId="0" fillId="5" borderId="169" xfId="0" applyFill="1" applyBorder="1" applyAlignment="1" applyProtection="1">
      <alignment vertical="center"/>
      <protection hidden="1"/>
    </xf>
    <xf numFmtId="0" fontId="113" fillId="5" borderId="52" xfId="0" applyFont="1" applyFill="1" applyBorder="1" applyAlignment="1" applyProtection="1">
      <alignment horizontal="center" vertical="top" wrapText="1"/>
      <protection hidden="1"/>
    </xf>
    <xf numFmtId="0" fontId="48" fillId="4" borderId="23" xfId="0" applyFont="1" applyFill="1" applyBorder="1" applyAlignment="1" applyProtection="1">
      <alignment vertical="center" wrapText="1"/>
      <protection hidden="1"/>
    </xf>
    <xf numFmtId="0" fontId="45" fillId="5" borderId="27" xfId="0" applyFont="1" applyFill="1" applyBorder="1" applyProtection="1">
      <protection hidden="1"/>
    </xf>
    <xf numFmtId="0" fontId="70" fillId="4" borderId="0" xfId="0" applyFont="1" applyFill="1" applyAlignment="1" applyProtection="1">
      <alignment vertical="center"/>
      <protection hidden="1"/>
    </xf>
    <xf numFmtId="0" fontId="14" fillId="5" borderId="27" xfId="0" applyFont="1" applyFill="1" applyBorder="1" applyProtection="1">
      <protection hidden="1"/>
    </xf>
    <xf numFmtId="0" fontId="48" fillId="0" borderId="139" xfId="0" applyFont="1" applyBorder="1" applyAlignment="1" applyProtection="1">
      <alignment horizontal="left" vertical="center" indent="1"/>
      <protection hidden="1"/>
    </xf>
    <xf numFmtId="0" fontId="5" fillId="31" borderId="1" xfId="0" applyFont="1" applyFill="1" applyBorder="1" applyAlignment="1" applyProtection="1">
      <alignment horizontal="left" vertical="center" indent="1"/>
      <protection locked="0"/>
    </xf>
    <xf numFmtId="0" fontId="5" fillId="31" borderId="1" xfId="0" applyFont="1" applyFill="1" applyBorder="1" applyAlignment="1" applyProtection="1">
      <alignment horizontal="right" vertical="center" wrapText="1" indent="1"/>
      <protection locked="0"/>
    </xf>
    <xf numFmtId="164" fontId="5" fillId="31" borderId="1" xfId="0" applyNumberFormat="1" applyFont="1" applyFill="1" applyBorder="1" applyAlignment="1" applyProtection="1">
      <alignment horizontal="right" vertical="center" wrapText="1" indent="1"/>
      <protection locked="0"/>
    </xf>
    <xf numFmtId="0" fontId="5" fillId="23" borderId="1" xfId="0" applyFont="1" applyFill="1" applyBorder="1" applyAlignment="1" applyProtection="1">
      <alignment horizontal="right" vertical="center" wrapText="1" indent="1"/>
      <protection locked="0"/>
    </xf>
    <xf numFmtId="164" fontId="5" fillId="23" borderId="1" xfId="0" applyNumberFormat="1" applyFont="1" applyFill="1" applyBorder="1" applyAlignment="1" applyProtection="1">
      <alignment horizontal="right" vertical="center" wrapText="1" indent="1"/>
      <protection locked="0"/>
    </xf>
    <xf numFmtId="165" fontId="5" fillId="31" borderId="1" xfId="0" applyNumberFormat="1" applyFont="1" applyFill="1" applyBorder="1" applyAlignment="1" applyProtection="1">
      <alignment horizontal="right" vertical="center" wrapText="1" indent="1"/>
      <protection locked="0"/>
    </xf>
    <xf numFmtId="164" fontId="40" fillId="31" borderId="69" xfId="0" applyNumberFormat="1" applyFont="1" applyFill="1" applyBorder="1" applyAlignment="1" applyProtection="1">
      <alignment horizontal="center" vertical="center"/>
      <protection locked="0"/>
    </xf>
    <xf numFmtId="164" fontId="40" fillId="31" borderId="70" xfId="0" applyNumberFormat="1" applyFont="1" applyFill="1" applyBorder="1" applyAlignment="1" applyProtection="1">
      <alignment horizontal="center" vertical="center"/>
      <protection locked="0"/>
    </xf>
    <xf numFmtId="164" fontId="40" fillId="31" borderId="71" xfId="0" applyNumberFormat="1" applyFont="1" applyFill="1" applyBorder="1" applyAlignment="1" applyProtection="1">
      <alignment horizontal="center" vertical="center"/>
      <protection locked="0"/>
    </xf>
    <xf numFmtId="164" fontId="40" fillId="31" borderId="81" xfId="0" applyNumberFormat="1" applyFont="1" applyFill="1" applyBorder="1" applyAlignment="1" applyProtection="1">
      <alignment horizontal="center" vertical="center"/>
      <protection locked="0"/>
    </xf>
    <xf numFmtId="164" fontId="40" fillId="31" borderId="82" xfId="0" applyNumberFormat="1" applyFont="1" applyFill="1" applyBorder="1" applyAlignment="1" applyProtection="1">
      <alignment horizontal="center" vertical="center"/>
      <protection locked="0"/>
    </xf>
    <xf numFmtId="164" fontId="40" fillId="31" borderId="144" xfId="0" applyNumberFormat="1" applyFont="1" applyFill="1" applyBorder="1" applyAlignment="1" applyProtection="1">
      <alignment horizontal="center" vertical="center"/>
      <protection locked="0"/>
    </xf>
    <xf numFmtId="164" fontId="40" fillId="31" borderId="110" xfId="0" applyNumberFormat="1" applyFont="1" applyFill="1" applyBorder="1" applyAlignment="1" applyProtection="1">
      <alignment horizontal="center" vertical="center"/>
      <protection locked="0"/>
    </xf>
    <xf numFmtId="164" fontId="40" fillId="31" borderId="111" xfId="0" applyNumberFormat="1" applyFont="1" applyFill="1" applyBorder="1" applyAlignment="1" applyProtection="1">
      <alignment horizontal="center" vertical="center"/>
      <protection locked="0"/>
    </xf>
    <xf numFmtId="164" fontId="40" fillId="31" borderId="112" xfId="0" applyNumberFormat="1" applyFont="1" applyFill="1" applyBorder="1" applyAlignment="1" applyProtection="1">
      <alignment horizontal="center" vertical="center"/>
      <protection locked="0"/>
    </xf>
    <xf numFmtId="164" fontId="40" fillId="31" borderId="83" xfId="0" applyNumberFormat="1" applyFont="1" applyFill="1" applyBorder="1" applyAlignment="1" applyProtection="1">
      <alignment horizontal="center" vertical="center"/>
      <protection locked="0"/>
    </xf>
    <xf numFmtId="0" fontId="14" fillId="4" borderId="170" xfId="0" applyFont="1" applyFill="1" applyBorder="1" applyAlignment="1" applyProtection="1">
      <alignment horizontal="left" vertical="center" indent="1"/>
      <protection hidden="1"/>
    </xf>
    <xf numFmtId="0" fontId="0" fillId="0" borderId="143" xfId="0" applyBorder="1" applyProtection="1">
      <protection hidden="1"/>
    </xf>
    <xf numFmtId="0" fontId="71" fillId="4" borderId="143" xfId="0" applyFont="1" applyFill="1" applyBorder="1" applyAlignment="1" applyProtection="1">
      <alignment vertical="center"/>
      <protection hidden="1"/>
    </xf>
    <xf numFmtId="0" fontId="14" fillId="4" borderId="143" xfId="0" applyFont="1" applyFill="1" applyBorder="1" applyAlignment="1" applyProtection="1">
      <alignment horizontal="left" vertical="center" indent="1"/>
      <protection hidden="1"/>
    </xf>
    <xf numFmtId="0" fontId="70" fillId="4" borderId="143" xfId="0" applyFont="1" applyFill="1" applyBorder="1" applyAlignment="1" applyProtection="1">
      <alignment horizontal="left" vertical="center" indent="1"/>
      <protection hidden="1"/>
    </xf>
    <xf numFmtId="0" fontId="0" fillId="0" borderId="54" xfId="0" applyBorder="1"/>
    <xf numFmtId="0" fontId="23" fillId="4" borderId="0" xfId="0" applyFont="1" applyFill="1" applyAlignment="1" applyProtection="1">
      <alignment horizontal="left" vertical="center"/>
      <protection hidden="1"/>
    </xf>
    <xf numFmtId="0" fontId="132" fillId="0" borderId="0" xfId="0" applyFont="1" applyProtection="1">
      <protection hidden="1"/>
    </xf>
    <xf numFmtId="0" fontId="134" fillId="0" borderId="0" xfId="0" applyFont="1" applyAlignment="1" applyProtection="1">
      <alignment vertical="center"/>
      <protection hidden="1"/>
    </xf>
    <xf numFmtId="0" fontId="0" fillId="4" borderId="0" xfId="0" applyFill="1" applyAlignment="1">
      <alignment vertical="center"/>
    </xf>
    <xf numFmtId="0" fontId="135" fillId="4" borderId="0" xfId="0" applyFont="1" applyFill="1" applyAlignment="1" applyProtection="1">
      <alignment horizontal="left" vertical="center"/>
      <protection hidden="1"/>
    </xf>
    <xf numFmtId="0" fontId="31" fillId="4" borderId="22" xfId="0" applyFont="1" applyFill="1" applyBorder="1" applyAlignment="1" applyProtection="1">
      <alignment horizontal="left" indent="1"/>
      <protection hidden="1"/>
    </xf>
    <xf numFmtId="168" fontId="4" fillId="0" borderId="0" xfId="0" applyNumberFormat="1" applyFont="1"/>
    <xf numFmtId="0" fontId="133" fillId="0" borderId="0" xfId="0" applyFont="1" applyAlignment="1" applyProtection="1">
      <alignment vertical="center"/>
      <protection hidden="1"/>
    </xf>
    <xf numFmtId="164" fontId="40" fillId="31" borderId="174" xfId="0" applyNumberFormat="1" applyFont="1" applyFill="1" applyBorder="1" applyAlignment="1" applyProtection="1">
      <alignment horizontal="center" vertical="center"/>
      <protection locked="0"/>
    </xf>
    <xf numFmtId="164" fontId="40" fillId="31" borderId="175" xfId="0" applyNumberFormat="1" applyFont="1" applyFill="1" applyBorder="1" applyAlignment="1" applyProtection="1">
      <alignment horizontal="center" vertical="center"/>
      <protection locked="0"/>
    </xf>
    <xf numFmtId="0" fontId="5" fillId="4" borderId="127" xfId="0" applyFont="1" applyFill="1" applyBorder="1" applyAlignment="1" applyProtection="1">
      <alignment vertical="center"/>
      <protection hidden="1"/>
    </xf>
    <xf numFmtId="0" fontId="38" fillId="5" borderId="0" xfId="0" applyFont="1" applyFill="1" applyAlignment="1" applyProtection="1">
      <alignment horizontal="left" indent="4"/>
      <protection hidden="1"/>
    </xf>
    <xf numFmtId="0" fontId="38" fillId="5" borderId="0" xfId="0" applyFont="1" applyFill="1" applyAlignment="1" applyProtection="1">
      <alignment horizontal="left" vertical="top" indent="7"/>
      <protection hidden="1"/>
    </xf>
    <xf numFmtId="0" fontId="35" fillId="4" borderId="0" xfId="0" applyFont="1" applyFill="1" applyAlignment="1" applyProtection="1">
      <alignment horizontal="left" vertical="center"/>
      <protection hidden="1"/>
    </xf>
    <xf numFmtId="0" fontId="35" fillId="4" borderId="7" xfId="0" applyFont="1" applyFill="1" applyBorder="1" applyAlignment="1" applyProtection="1">
      <alignment horizontal="left" vertical="top" indent="3"/>
      <protection hidden="1"/>
    </xf>
    <xf numFmtId="0" fontId="35" fillId="4" borderId="4" xfId="0" applyFont="1" applyFill="1" applyBorder="1" applyAlignment="1" applyProtection="1">
      <alignment vertical="center" wrapText="1"/>
      <protection hidden="1"/>
    </xf>
    <xf numFmtId="0" fontId="3" fillId="4" borderId="0" xfId="0" applyFont="1" applyFill="1" applyAlignment="1" applyProtection="1">
      <alignment horizontal="right" vertical="center" wrapText="1" indent="1"/>
      <protection hidden="1"/>
    </xf>
    <xf numFmtId="0" fontId="6" fillId="4" borderId="86" xfId="0" applyFont="1" applyFill="1" applyBorder="1" applyAlignment="1" applyProtection="1">
      <alignment horizontal="left" vertical="center" indent="1"/>
      <protection hidden="1"/>
    </xf>
    <xf numFmtId="0" fontId="3" fillId="4" borderId="46" xfId="0" applyFont="1" applyFill="1" applyBorder="1" applyAlignment="1" applyProtection="1">
      <alignment horizontal="right" vertical="center" wrapText="1" indent="1"/>
      <protection hidden="1"/>
    </xf>
    <xf numFmtId="0" fontId="0" fillId="4" borderId="46" xfId="0" applyFill="1" applyBorder="1" applyProtection="1">
      <protection hidden="1"/>
    </xf>
    <xf numFmtId="0" fontId="0" fillId="5" borderId="0" xfId="0" applyFill="1" applyAlignment="1" applyProtection="1">
      <alignment horizontal="left" indent="4"/>
      <protection hidden="1"/>
    </xf>
    <xf numFmtId="164" fontId="40" fillId="31" borderId="184" xfId="0" applyNumberFormat="1" applyFont="1" applyFill="1" applyBorder="1" applyAlignment="1" applyProtection="1">
      <alignment horizontal="center" vertical="center"/>
      <protection locked="0"/>
    </xf>
    <xf numFmtId="164" fontId="40" fillId="31" borderId="185" xfId="0" applyNumberFormat="1" applyFont="1" applyFill="1" applyBorder="1" applyAlignment="1" applyProtection="1">
      <alignment horizontal="center" vertical="center"/>
      <protection locked="0"/>
    </xf>
    <xf numFmtId="164" fontId="40" fillId="31" borderId="186" xfId="0" applyNumberFormat="1" applyFont="1" applyFill="1" applyBorder="1" applyAlignment="1" applyProtection="1">
      <alignment horizontal="center" vertical="center"/>
      <protection locked="0"/>
    </xf>
    <xf numFmtId="0" fontId="38" fillId="4" borderId="7" xfId="0" applyFont="1" applyFill="1" applyBorder="1" applyAlignment="1" applyProtection="1">
      <alignment horizontal="left" vertical="top" indent="4"/>
      <protection hidden="1"/>
    </xf>
    <xf numFmtId="0" fontId="0" fillId="5" borderId="0" xfId="0" applyFill="1" applyAlignment="1" applyProtection="1">
      <alignment horizontal="left" vertical="top" indent="1"/>
      <protection hidden="1"/>
    </xf>
    <xf numFmtId="0" fontId="0" fillId="5" borderId="0" xfId="0" applyFill="1" applyAlignment="1" applyProtection="1">
      <alignment horizontal="left" vertical="center" wrapText="1" indent="1"/>
      <protection hidden="1"/>
    </xf>
    <xf numFmtId="0" fontId="38" fillId="5" borderId="0" xfId="0" applyFont="1" applyFill="1" applyAlignment="1" applyProtection="1">
      <alignment horizontal="left" vertical="top" indent="9"/>
      <protection hidden="1"/>
    </xf>
    <xf numFmtId="0" fontId="44" fillId="0" borderId="0" xfId="0" applyFont="1" applyProtection="1">
      <protection hidden="1"/>
    </xf>
    <xf numFmtId="0" fontId="145" fillId="32" borderId="177" xfId="0" applyFont="1" applyFill="1" applyBorder="1" applyAlignment="1" applyProtection="1">
      <alignment horizontal="left" vertical="center" indent="1"/>
      <protection hidden="1"/>
    </xf>
    <xf numFmtId="0" fontId="44" fillId="0" borderId="180" xfId="0" applyFont="1" applyBorder="1" applyProtection="1">
      <protection hidden="1"/>
    </xf>
    <xf numFmtId="0" fontId="44" fillId="0" borderId="180" xfId="0" applyFont="1" applyBorder="1" applyAlignment="1" applyProtection="1">
      <alignment horizontal="left" vertical="top" indent="1"/>
      <protection hidden="1"/>
    </xf>
    <xf numFmtId="0" fontId="0" fillId="4" borderId="0" xfId="0" applyFill="1" applyAlignment="1" applyProtection="1">
      <alignment horizontal="left"/>
      <protection hidden="1"/>
    </xf>
    <xf numFmtId="0" fontId="37" fillId="4" borderId="3" xfId="0" applyFont="1" applyFill="1" applyBorder="1" applyAlignment="1" applyProtection="1">
      <alignment horizontal="left" vertical="center" indent="1"/>
      <protection hidden="1"/>
    </xf>
    <xf numFmtId="0" fontId="37" fillId="4" borderId="2" xfId="0" applyFont="1" applyFill="1" applyBorder="1" applyAlignment="1" applyProtection="1">
      <alignment vertical="center"/>
      <protection hidden="1"/>
    </xf>
    <xf numFmtId="0" fontId="0" fillId="0" borderId="2" xfId="0" applyBorder="1" applyAlignment="1" applyProtection="1">
      <alignment vertical="center"/>
      <protection hidden="1"/>
    </xf>
    <xf numFmtId="0" fontId="141" fillId="25" borderId="152" xfId="0" applyFont="1" applyFill="1" applyBorder="1" applyAlignment="1" applyProtection="1">
      <alignment horizontal="left" vertical="center" wrapText="1" indent="1"/>
      <protection locked="0"/>
    </xf>
    <xf numFmtId="0" fontId="141" fillId="25" borderId="129" xfId="0" applyFont="1" applyFill="1" applyBorder="1" applyAlignment="1" applyProtection="1">
      <alignment horizontal="left" vertical="center" wrapText="1" indent="1"/>
      <protection locked="0"/>
    </xf>
    <xf numFmtId="0" fontId="141" fillId="23" borderId="129" xfId="0" applyFont="1" applyFill="1" applyBorder="1" applyAlignment="1" applyProtection="1">
      <alignment horizontal="left" vertical="center" wrapText="1" indent="1"/>
      <protection locked="0"/>
    </xf>
    <xf numFmtId="0" fontId="141" fillId="23" borderId="79" xfId="0" applyFont="1" applyFill="1" applyBorder="1" applyAlignment="1" applyProtection="1">
      <alignment horizontal="left" vertical="center" wrapText="1" indent="1"/>
      <protection locked="0"/>
    </xf>
    <xf numFmtId="0" fontId="35" fillId="4" borderId="7" xfId="0" applyFont="1" applyFill="1" applyBorder="1" applyAlignment="1" applyProtection="1">
      <alignment horizontal="left" vertical="top" wrapText="1" indent="1"/>
      <protection hidden="1"/>
    </xf>
    <xf numFmtId="1" fontId="102" fillId="24" borderId="58" xfId="0" applyNumberFormat="1" applyFont="1" applyFill="1" applyBorder="1" applyAlignment="1" applyProtection="1">
      <alignment horizontal="center" vertical="center"/>
      <protection hidden="1"/>
    </xf>
    <xf numFmtId="1" fontId="50" fillId="24" borderId="58" xfId="0" applyNumberFormat="1" applyFont="1" applyFill="1" applyBorder="1" applyAlignment="1" applyProtection="1">
      <alignment horizontal="center" vertical="center"/>
      <protection hidden="1"/>
    </xf>
    <xf numFmtId="0" fontId="141" fillId="31" borderId="1" xfId="0" applyFont="1" applyFill="1" applyBorder="1" applyAlignment="1" applyProtection="1">
      <alignment horizontal="left" vertical="center" wrapText="1" indent="1"/>
      <protection locked="0"/>
    </xf>
    <xf numFmtId="0" fontId="141" fillId="23" borderId="1" xfId="0" applyFont="1" applyFill="1" applyBorder="1" applyAlignment="1" applyProtection="1">
      <alignment horizontal="left" vertical="center" wrapText="1" indent="1"/>
      <protection locked="0"/>
    </xf>
    <xf numFmtId="0" fontId="6" fillId="31" borderId="1" xfId="0" applyFont="1" applyFill="1" applyBorder="1" applyAlignment="1" applyProtection="1">
      <alignment horizontal="left" vertical="center" indent="1"/>
      <protection locked="0"/>
    </xf>
    <xf numFmtId="0" fontId="94" fillId="4" borderId="0" xfId="0" applyFont="1" applyFill="1" applyAlignment="1" applyProtection="1">
      <alignment horizontal="left" vertical="center" wrapText="1"/>
      <protection hidden="1"/>
    </xf>
    <xf numFmtId="0" fontId="93" fillId="4" borderId="0" xfId="0" applyFont="1" applyFill="1" applyAlignment="1" applyProtection="1">
      <alignment vertical="center"/>
      <protection hidden="1"/>
    </xf>
    <xf numFmtId="0" fontId="38" fillId="4" borderId="0" xfId="0" applyFont="1" applyFill="1" applyAlignment="1" applyProtection="1">
      <alignment horizontal="left" indent="19"/>
      <protection hidden="1"/>
    </xf>
    <xf numFmtId="0" fontId="0" fillId="4" borderId="3" xfId="0" applyFill="1" applyBorder="1" applyAlignment="1" applyProtection="1">
      <alignment horizontal="left" vertical="center" indent="4"/>
      <protection hidden="1"/>
    </xf>
    <xf numFmtId="0" fontId="0" fillId="4" borderId="7" xfId="0" applyFill="1" applyBorder="1" applyAlignment="1" applyProtection="1">
      <alignment horizontal="left" vertical="center" indent="4"/>
      <protection hidden="1"/>
    </xf>
    <xf numFmtId="0" fontId="0" fillId="4" borderId="4" xfId="0" applyFill="1" applyBorder="1" applyAlignment="1" applyProtection="1">
      <alignment horizontal="left" vertical="center" indent="4"/>
      <protection hidden="1"/>
    </xf>
    <xf numFmtId="0" fontId="38" fillId="4" borderId="8" xfId="0" applyFont="1" applyFill="1" applyBorder="1" applyAlignment="1" applyProtection="1">
      <alignment horizontal="left" indent="19"/>
      <protection hidden="1"/>
    </xf>
    <xf numFmtId="0" fontId="51" fillId="4" borderId="8" xfId="0" applyFont="1" applyFill="1" applyBorder="1" applyAlignment="1" applyProtection="1">
      <alignment horizontal="left" vertical="center" wrapText="1" indent="1"/>
      <protection hidden="1"/>
    </xf>
    <xf numFmtId="0" fontId="64" fillId="4" borderId="5" xfId="0" applyFont="1" applyFill="1" applyBorder="1" applyAlignment="1" applyProtection="1">
      <alignment horizontal="right" vertical="center"/>
      <protection hidden="1"/>
    </xf>
    <xf numFmtId="0" fontId="0" fillId="5" borderId="0" xfId="0" applyFill="1" applyAlignment="1" applyProtection="1">
      <alignment horizontal="left" vertical="center" indent="1"/>
      <protection hidden="1"/>
    </xf>
    <xf numFmtId="0" fontId="38" fillId="4" borderId="7" xfId="0" applyFont="1" applyFill="1" applyBorder="1" applyAlignment="1" applyProtection="1">
      <alignment horizontal="left" vertical="center" indent="3"/>
      <protection hidden="1"/>
    </xf>
    <xf numFmtId="0" fontId="38" fillId="4" borderId="7" xfId="0" applyFont="1" applyFill="1" applyBorder="1" applyAlignment="1" applyProtection="1">
      <alignment horizontal="left" vertical="center" indent="4"/>
      <protection hidden="1"/>
    </xf>
    <xf numFmtId="0" fontId="38" fillId="4" borderId="7" xfId="0" applyFont="1" applyFill="1" applyBorder="1" applyAlignment="1" applyProtection="1">
      <alignment horizontal="left" indent="3"/>
      <protection hidden="1"/>
    </xf>
    <xf numFmtId="0" fontId="5" fillId="4" borderId="0" xfId="0" applyFont="1" applyFill="1" applyAlignment="1" applyProtection="1">
      <alignment horizontal="right" vertical="center" wrapText="1" indent="1"/>
      <protection hidden="1"/>
    </xf>
    <xf numFmtId="0" fontId="5" fillId="0" borderId="0" xfId="0" applyFont="1" applyAlignment="1" applyProtection="1">
      <alignment horizontal="right" wrapText="1" indent="1"/>
      <protection hidden="1"/>
    </xf>
    <xf numFmtId="0" fontId="141" fillId="23" borderId="4" xfId="0" applyFont="1" applyFill="1" applyBorder="1" applyAlignment="1" applyProtection="1">
      <alignment horizontal="left" vertical="center" wrapText="1" indent="1"/>
      <protection locked="0"/>
    </xf>
    <xf numFmtId="0" fontId="141" fillId="23" borderId="5" xfId="0" applyFont="1" applyFill="1" applyBorder="1" applyAlignment="1" applyProtection="1">
      <alignment horizontal="left" vertical="center" wrapText="1" indent="1"/>
      <protection locked="0"/>
    </xf>
    <xf numFmtId="0" fontId="63" fillId="5" borderId="0" xfId="0" applyFont="1" applyFill="1" applyAlignment="1" applyProtection="1">
      <alignment horizontal="left" indent="1"/>
      <protection hidden="1"/>
    </xf>
    <xf numFmtId="0" fontId="5" fillId="5" borderId="0" xfId="0" applyFont="1" applyFill="1" applyAlignment="1" applyProtection="1">
      <alignment horizontal="right" wrapText="1" indent="1"/>
      <protection hidden="1"/>
    </xf>
    <xf numFmtId="0" fontId="37" fillId="4" borderId="62" xfId="0" applyFont="1" applyFill="1" applyBorder="1" applyAlignment="1" applyProtection="1">
      <alignment horizontal="left" vertical="center" wrapText="1" indent="1"/>
      <protection hidden="1"/>
    </xf>
    <xf numFmtId="0" fontId="141" fillId="23" borderId="104" xfId="0" applyFont="1" applyFill="1" applyBorder="1" applyAlignment="1" applyProtection="1">
      <alignment horizontal="left" vertical="center" wrapText="1" indent="1"/>
      <protection locked="0"/>
    </xf>
    <xf numFmtId="0" fontId="141" fillId="23" borderId="105" xfId="0" applyFont="1" applyFill="1" applyBorder="1" applyAlignment="1" applyProtection="1">
      <alignment horizontal="left" vertical="center" wrapText="1" indent="1"/>
      <protection locked="0"/>
    </xf>
    <xf numFmtId="0" fontId="5" fillId="5" borderId="0" xfId="0" applyFont="1" applyFill="1" applyAlignment="1" applyProtection="1">
      <alignment horizontal="center" vertical="top"/>
      <protection hidden="1"/>
    </xf>
    <xf numFmtId="0" fontId="5" fillId="4" borderId="58" xfId="0" applyFont="1" applyFill="1" applyBorder="1" applyAlignment="1" applyProtection="1">
      <alignment horizontal="left" vertical="center" indent="1"/>
      <protection hidden="1"/>
    </xf>
    <xf numFmtId="0" fontId="37" fillId="4" borderId="80" xfId="0" applyFont="1" applyFill="1" applyBorder="1" applyAlignment="1" applyProtection="1">
      <alignment horizontal="left" vertical="center" wrapText="1" indent="1"/>
      <protection hidden="1"/>
    </xf>
    <xf numFmtId="0" fontId="141" fillId="25" borderId="133" xfId="0" applyFont="1" applyFill="1" applyBorder="1" applyAlignment="1" applyProtection="1">
      <alignment horizontal="left" vertical="center" wrapText="1" indent="1"/>
      <protection locked="0"/>
    </xf>
    <xf numFmtId="0" fontId="141" fillId="25" borderId="136" xfId="0" applyFont="1" applyFill="1" applyBorder="1" applyAlignment="1" applyProtection="1">
      <alignment horizontal="left" vertical="center" wrapText="1" indent="1"/>
      <protection locked="0"/>
    </xf>
    <xf numFmtId="0" fontId="141" fillId="25" borderId="104" xfId="0" applyFont="1" applyFill="1" applyBorder="1" applyAlignment="1" applyProtection="1">
      <alignment horizontal="left" vertical="center" wrapText="1" indent="1"/>
      <protection locked="0"/>
    </xf>
    <xf numFmtId="0" fontId="141" fillId="25" borderId="105" xfId="0" applyFont="1" applyFill="1" applyBorder="1" applyAlignment="1" applyProtection="1">
      <alignment horizontal="left" vertical="center" wrapText="1" indent="1"/>
      <protection locked="0"/>
    </xf>
    <xf numFmtId="0" fontId="141" fillId="23" borderId="136" xfId="0" applyFont="1" applyFill="1" applyBorder="1" applyAlignment="1" applyProtection="1">
      <alignment horizontal="left" vertical="center" wrapText="1" indent="1"/>
      <protection locked="0"/>
    </xf>
    <xf numFmtId="0" fontId="37" fillId="4" borderId="0" xfId="0" applyFont="1" applyFill="1" applyAlignment="1" applyProtection="1">
      <alignment horizontal="left" vertical="center" wrapText="1" indent="1"/>
      <protection hidden="1"/>
    </xf>
    <xf numFmtId="0" fontId="37" fillId="4" borderId="0" xfId="0" applyFont="1" applyFill="1" applyAlignment="1" applyProtection="1">
      <alignment horizontal="left" vertical="center" indent="1"/>
      <protection hidden="1"/>
    </xf>
    <xf numFmtId="0" fontId="35" fillId="4" borderId="7" xfId="0" applyFont="1" applyFill="1" applyBorder="1" applyAlignment="1" applyProtection="1">
      <alignment horizontal="left" vertical="center" wrapText="1" indent="1"/>
      <protection hidden="1"/>
    </xf>
    <xf numFmtId="0" fontId="37" fillId="4" borderId="4" xfId="0" applyFont="1" applyFill="1" applyBorder="1" applyAlignment="1" applyProtection="1">
      <alignment horizontal="left" vertical="center" wrapText="1" indent="1"/>
      <protection hidden="1"/>
    </xf>
    <xf numFmtId="0" fontId="37" fillId="4" borderId="8" xfId="0" applyFont="1" applyFill="1" applyBorder="1" applyAlignment="1" applyProtection="1">
      <alignment horizontal="left" vertical="center" wrapText="1" indent="1"/>
      <protection hidden="1"/>
    </xf>
    <xf numFmtId="0" fontId="44" fillId="5" borderId="0" xfId="0" applyFont="1" applyFill="1" applyAlignment="1" applyProtection="1">
      <alignment horizontal="left" vertical="center" indent="2"/>
      <protection hidden="1"/>
    </xf>
    <xf numFmtId="0" fontId="0" fillId="5" borderId="0" xfId="0" applyFill="1" applyAlignment="1" applyProtection="1">
      <alignment horizontal="left" vertical="center" indent="2"/>
      <protection hidden="1"/>
    </xf>
    <xf numFmtId="0" fontId="116" fillId="4" borderId="0" xfId="0" applyFont="1" applyFill="1" applyAlignment="1" applyProtection="1">
      <alignment horizontal="right"/>
      <protection hidden="1"/>
    </xf>
    <xf numFmtId="0" fontId="116" fillId="4" borderId="0" xfId="0" applyFont="1" applyFill="1" applyAlignment="1" applyProtection="1">
      <alignment horizontal="right" vertical="top"/>
      <protection hidden="1"/>
    </xf>
    <xf numFmtId="0" fontId="0" fillId="4" borderId="0" xfId="0" applyFill="1" applyAlignment="1" applyProtection="1">
      <alignment vertical="top"/>
      <protection hidden="1"/>
    </xf>
    <xf numFmtId="164" fontId="5" fillId="4" borderId="2" xfId="0" applyNumberFormat="1" applyFont="1" applyFill="1" applyBorder="1" applyAlignment="1" applyProtection="1">
      <alignment horizontal="right" vertical="center" wrapText="1" indent="1"/>
      <protection hidden="1"/>
    </xf>
    <xf numFmtId="0" fontId="5" fillId="4" borderId="46" xfId="0" applyFont="1" applyFill="1" applyBorder="1" applyAlignment="1" applyProtection="1">
      <alignment vertical="center" wrapText="1"/>
      <protection hidden="1"/>
    </xf>
    <xf numFmtId="164" fontId="103" fillId="31" borderId="69" xfId="0" applyNumberFormat="1" applyFont="1" applyFill="1" applyBorder="1" applyAlignment="1" applyProtection="1">
      <alignment horizontal="left" vertical="center" indent="1"/>
      <protection locked="0" hidden="1"/>
    </xf>
    <xf numFmtId="164" fontId="103" fillId="31" borderId="110" xfId="0" applyNumberFormat="1" applyFont="1" applyFill="1" applyBorder="1" applyAlignment="1" applyProtection="1">
      <alignment horizontal="left" vertical="center" indent="1"/>
      <protection locked="0" hidden="1"/>
    </xf>
    <xf numFmtId="164" fontId="103" fillId="31" borderId="155" xfId="0" applyNumberFormat="1" applyFont="1" applyFill="1" applyBorder="1" applyAlignment="1" applyProtection="1">
      <alignment horizontal="left" vertical="center" indent="1"/>
      <protection locked="0" hidden="1"/>
    </xf>
    <xf numFmtId="0" fontId="122" fillId="4" borderId="7" xfId="3" applyFill="1" applyBorder="1" applyAlignment="1" applyProtection="1">
      <alignment horizontal="left" vertical="center" indent="1"/>
      <protection locked="0" hidden="1"/>
    </xf>
    <xf numFmtId="0" fontId="122" fillId="4" borderId="90" xfId="3" applyFill="1" applyBorder="1" applyAlignment="1" applyProtection="1">
      <alignment horizontal="left" vertical="center" indent="1"/>
      <protection locked="0" hidden="1"/>
    </xf>
    <xf numFmtId="0" fontId="5" fillId="4" borderId="0" xfId="0" applyFont="1" applyFill="1" applyAlignment="1" applyProtection="1">
      <alignment horizontal="left" vertical="center" indent="1"/>
      <protection locked="0" hidden="1"/>
    </xf>
    <xf numFmtId="0" fontId="122" fillId="5" borderId="167" xfId="3" applyFill="1" applyBorder="1" applyAlignment="1" applyProtection="1">
      <alignment horizontal="right" vertical="center" wrapText="1" indent="1"/>
      <protection locked="0" hidden="1"/>
    </xf>
    <xf numFmtId="0" fontId="122" fillId="5" borderId="168" xfId="3" applyFill="1" applyBorder="1" applyAlignment="1" applyProtection="1">
      <alignment horizontal="right" vertical="center" wrapText="1" indent="1"/>
      <protection locked="0" hidden="1"/>
    </xf>
    <xf numFmtId="0" fontId="122" fillId="5" borderId="169" xfId="3" applyFill="1" applyBorder="1" applyAlignment="1" applyProtection="1">
      <alignment horizontal="right" vertical="center" wrapText="1" indent="1"/>
      <protection locked="0" hidden="1"/>
    </xf>
    <xf numFmtId="0" fontId="0" fillId="0" borderId="0" xfId="0" applyProtection="1">
      <protection locked="0" hidden="1"/>
    </xf>
    <xf numFmtId="164" fontId="40" fillId="4" borderId="108" xfId="0" applyNumberFormat="1" applyFont="1" applyFill="1" applyBorder="1" applyAlignment="1">
      <alignment horizontal="center" vertical="center"/>
    </xf>
    <xf numFmtId="164" fontId="40" fillId="4" borderId="109" xfId="0" applyNumberFormat="1" applyFont="1" applyFill="1" applyBorder="1" applyAlignment="1">
      <alignment horizontal="center" vertical="center"/>
    </xf>
    <xf numFmtId="164" fontId="40" fillId="4" borderId="163" xfId="0" applyNumberFormat="1" applyFont="1" applyFill="1" applyBorder="1" applyAlignment="1">
      <alignment horizontal="center" vertical="center"/>
    </xf>
    <xf numFmtId="164" fontId="40" fillId="4" borderId="74" xfId="0" applyNumberFormat="1" applyFont="1" applyFill="1" applyBorder="1" applyAlignment="1">
      <alignment horizontal="center" vertical="center"/>
    </xf>
    <xf numFmtId="164" fontId="40" fillId="4" borderId="75" xfId="0" applyNumberFormat="1" applyFont="1" applyFill="1" applyBorder="1" applyAlignment="1">
      <alignment horizontal="center" vertical="center"/>
    </xf>
    <xf numFmtId="164" fontId="40" fillId="4" borderId="76" xfId="0" applyNumberFormat="1" applyFont="1" applyFill="1" applyBorder="1" applyAlignment="1">
      <alignment horizontal="center" vertical="center"/>
    </xf>
    <xf numFmtId="164" fontId="40" fillId="4" borderId="98" xfId="0" applyNumberFormat="1" applyFont="1" applyFill="1" applyBorder="1" applyAlignment="1">
      <alignment horizontal="center" vertical="center"/>
    </xf>
    <xf numFmtId="164" fontId="40" fillId="4" borderId="99" xfId="0" applyNumberFormat="1" applyFont="1" applyFill="1" applyBorder="1" applyAlignment="1">
      <alignment horizontal="center" vertical="center"/>
    </xf>
    <xf numFmtId="164" fontId="40" fillId="4" borderId="100" xfId="0" applyNumberFormat="1" applyFont="1" applyFill="1" applyBorder="1" applyAlignment="1">
      <alignment horizontal="center" vertical="center"/>
    </xf>
    <xf numFmtId="164" fontId="40" fillId="4" borderId="164" xfId="0" applyNumberFormat="1" applyFont="1" applyFill="1" applyBorder="1" applyAlignment="1">
      <alignment horizontal="center" vertical="center"/>
    </xf>
    <xf numFmtId="164" fontId="40" fillId="4" borderId="165" xfId="0" applyNumberFormat="1" applyFont="1" applyFill="1" applyBorder="1" applyAlignment="1">
      <alignment horizontal="center" vertical="center"/>
    </xf>
    <xf numFmtId="164" fontId="40" fillId="4" borderId="166" xfId="0" applyNumberFormat="1" applyFont="1" applyFill="1" applyBorder="1" applyAlignment="1">
      <alignment horizontal="center" vertical="center"/>
    </xf>
    <xf numFmtId="164" fontId="40" fillId="4" borderId="96" xfId="0" applyNumberFormat="1" applyFont="1" applyFill="1" applyBorder="1" applyAlignment="1">
      <alignment horizontal="center" vertical="center"/>
    </xf>
    <xf numFmtId="164" fontId="40" fillId="4" borderId="145" xfId="0" applyNumberFormat="1" applyFont="1" applyFill="1" applyBorder="1" applyAlignment="1">
      <alignment horizontal="center" vertical="center"/>
    </xf>
    <xf numFmtId="164" fontId="40" fillId="4" borderId="97" xfId="0" applyNumberFormat="1" applyFont="1" applyFill="1" applyBorder="1" applyAlignment="1">
      <alignment horizontal="center" vertical="center"/>
    </xf>
    <xf numFmtId="164" fontId="40" fillId="4" borderId="77" xfId="0" applyNumberFormat="1" applyFont="1" applyFill="1" applyBorder="1" applyAlignment="1">
      <alignment horizontal="center" vertical="center"/>
    </xf>
    <xf numFmtId="164" fontId="40" fillId="4" borderId="181" xfId="0" applyNumberFormat="1" applyFont="1" applyFill="1" applyBorder="1" applyAlignment="1">
      <alignment horizontal="center" vertical="center"/>
    </xf>
    <xf numFmtId="164" fontId="40" fillId="4" borderId="78" xfId="0" applyNumberFormat="1" applyFont="1" applyFill="1" applyBorder="1" applyAlignment="1">
      <alignment horizontal="center" vertical="center"/>
    </xf>
    <xf numFmtId="164" fontId="40" fillId="4" borderId="121" xfId="0" applyNumberFormat="1" applyFont="1" applyFill="1" applyBorder="1" applyAlignment="1">
      <alignment horizontal="center" vertical="center"/>
    </xf>
    <xf numFmtId="164" fontId="40" fillId="4" borderId="122" xfId="0" applyNumberFormat="1" applyFont="1" applyFill="1" applyBorder="1" applyAlignment="1">
      <alignment horizontal="center" vertical="center"/>
    </xf>
    <xf numFmtId="164" fontId="40" fillId="4" borderId="123" xfId="0" applyNumberFormat="1" applyFont="1" applyFill="1" applyBorder="1" applyAlignment="1">
      <alignment horizontal="center" vertical="center"/>
    </xf>
    <xf numFmtId="164" fontId="40" fillId="4" borderId="146" xfId="0" applyNumberFormat="1" applyFont="1" applyFill="1" applyBorder="1" applyAlignment="1">
      <alignment horizontal="center" vertical="center"/>
    </xf>
    <xf numFmtId="164" fontId="40" fillId="4" borderId="147" xfId="0" applyNumberFormat="1" applyFont="1" applyFill="1" applyBorder="1" applyAlignment="1">
      <alignment horizontal="center" vertical="center"/>
    </xf>
    <xf numFmtId="164" fontId="40" fillId="4" borderId="148" xfId="0" applyNumberFormat="1" applyFont="1" applyFill="1" applyBorder="1" applyAlignment="1">
      <alignment horizontal="center" vertical="center"/>
    </xf>
    <xf numFmtId="164" fontId="40" fillId="4" borderId="149" xfId="0" applyNumberFormat="1" applyFont="1" applyFill="1" applyBorder="1" applyAlignment="1">
      <alignment horizontal="center" vertical="center"/>
    </xf>
    <xf numFmtId="164" fontId="40" fillId="4" borderId="150" xfId="0" applyNumberFormat="1" applyFont="1" applyFill="1" applyBorder="1" applyAlignment="1">
      <alignment horizontal="center" vertical="center"/>
    </xf>
    <xf numFmtId="164" fontId="40" fillId="4" borderId="151" xfId="0" applyNumberFormat="1" applyFont="1" applyFill="1" applyBorder="1" applyAlignment="1">
      <alignment horizontal="center" vertical="center"/>
    </xf>
    <xf numFmtId="164" fontId="5" fillId="4" borderId="58" xfId="0" applyNumberFormat="1" applyFont="1" applyFill="1" applyBorder="1" applyAlignment="1">
      <alignment horizontal="right" vertical="center" wrapText="1" indent="1"/>
    </xf>
    <xf numFmtId="164" fontId="5" fillId="4" borderId="1" xfId="0" applyNumberFormat="1" applyFont="1" applyFill="1" applyBorder="1" applyAlignment="1">
      <alignment horizontal="right" vertical="center" wrapText="1" indent="1"/>
    </xf>
    <xf numFmtId="0" fontId="139" fillId="23" borderId="5" xfId="0" applyFont="1" applyFill="1" applyBorder="1" applyAlignment="1" applyProtection="1">
      <alignment horizontal="left" vertical="center" wrapText="1" indent="1"/>
      <protection locked="0"/>
    </xf>
    <xf numFmtId="165" fontId="5" fillId="4" borderId="1" xfId="0" applyNumberFormat="1" applyFont="1" applyFill="1" applyBorder="1" applyAlignment="1">
      <alignment horizontal="right" vertical="center" wrapText="1" indent="1"/>
    </xf>
    <xf numFmtId="3" fontId="49" fillId="24" borderId="91" xfId="0" applyNumberFormat="1" applyFont="1" applyFill="1" applyBorder="1" applyAlignment="1" applyProtection="1">
      <alignment horizontal="left" vertical="center" indent="1"/>
      <protection hidden="1"/>
    </xf>
    <xf numFmtId="164" fontId="40" fillId="25" borderId="192" xfId="0" applyNumberFormat="1" applyFont="1" applyFill="1" applyBorder="1" applyAlignment="1" applyProtection="1">
      <alignment horizontal="center" vertical="center"/>
      <protection locked="0"/>
    </xf>
    <xf numFmtId="164" fontId="40" fillId="25" borderId="193" xfId="0" applyNumberFormat="1" applyFont="1" applyFill="1" applyBorder="1" applyAlignment="1" applyProtection="1">
      <alignment horizontal="center" vertical="center"/>
      <protection locked="0"/>
    </xf>
    <xf numFmtId="164" fontId="40" fillId="25" borderId="194" xfId="0" applyNumberFormat="1" applyFont="1" applyFill="1" applyBorder="1" applyAlignment="1" applyProtection="1">
      <alignment horizontal="center" vertical="center"/>
      <protection locked="0"/>
    </xf>
    <xf numFmtId="164" fontId="40" fillId="25" borderId="196" xfId="0" applyNumberFormat="1" applyFont="1" applyFill="1" applyBorder="1" applyAlignment="1" applyProtection="1">
      <alignment horizontal="center" vertical="center"/>
      <protection locked="0"/>
    </xf>
    <xf numFmtId="164" fontId="40" fillId="25" borderId="197" xfId="0" applyNumberFormat="1" applyFont="1" applyFill="1" applyBorder="1" applyAlignment="1" applyProtection="1">
      <alignment horizontal="center" vertical="center"/>
      <protection locked="0"/>
    </xf>
    <xf numFmtId="164" fontId="40" fillId="25" borderId="198" xfId="0" applyNumberFormat="1" applyFont="1" applyFill="1" applyBorder="1" applyAlignment="1" applyProtection="1">
      <alignment horizontal="center" vertical="center"/>
      <protection locked="0"/>
    </xf>
    <xf numFmtId="164" fontId="40" fillId="31" borderId="201" xfId="0" applyNumberFormat="1" applyFont="1" applyFill="1" applyBorder="1" applyAlignment="1" applyProtection="1">
      <alignment horizontal="center" vertical="center"/>
      <protection locked="0"/>
    </xf>
    <xf numFmtId="164" fontId="40" fillId="31" borderId="202" xfId="0" applyNumberFormat="1" applyFont="1" applyFill="1" applyBorder="1" applyAlignment="1" applyProtection="1">
      <alignment horizontal="center" vertical="center"/>
      <protection locked="0"/>
    </xf>
    <xf numFmtId="0" fontId="146" fillId="4" borderId="190" xfId="0" applyFont="1" applyFill="1" applyBorder="1" applyAlignment="1" applyProtection="1">
      <alignment horizontal="left" vertical="center"/>
      <protection locked="0"/>
    </xf>
    <xf numFmtId="164" fontId="40" fillId="31" borderId="64" xfId="0" applyNumberFormat="1" applyFont="1" applyFill="1" applyBorder="1" applyAlignment="1" applyProtection="1">
      <alignment horizontal="center" vertical="center"/>
      <protection locked="0"/>
    </xf>
    <xf numFmtId="164" fontId="40" fillId="31" borderId="65" xfId="0" applyNumberFormat="1" applyFont="1" applyFill="1" applyBorder="1" applyAlignment="1" applyProtection="1">
      <alignment horizontal="center" vertical="center"/>
      <protection locked="0"/>
    </xf>
    <xf numFmtId="164" fontId="40" fillId="31" borderId="66" xfId="0" applyNumberFormat="1" applyFont="1" applyFill="1" applyBorder="1" applyAlignment="1" applyProtection="1">
      <alignment horizontal="center" vertical="center"/>
      <protection locked="0"/>
    </xf>
    <xf numFmtId="164" fontId="40" fillId="25" borderId="204" xfId="0" applyNumberFormat="1" applyFont="1" applyFill="1" applyBorder="1" applyAlignment="1" applyProtection="1">
      <alignment horizontal="center" vertical="center"/>
      <protection locked="0"/>
    </xf>
    <xf numFmtId="164" fontId="40" fillId="25" borderId="205" xfId="0" applyNumberFormat="1" applyFont="1" applyFill="1" applyBorder="1" applyAlignment="1" applyProtection="1">
      <alignment horizontal="center" vertical="center"/>
      <protection locked="0"/>
    </xf>
    <xf numFmtId="164" fontId="40" fillId="25" borderId="206" xfId="0" applyNumberFormat="1" applyFont="1" applyFill="1" applyBorder="1" applyAlignment="1" applyProtection="1">
      <alignment horizontal="center" vertical="center"/>
      <protection locked="0"/>
    </xf>
    <xf numFmtId="164" fontId="110" fillId="25" borderId="204" xfId="0" applyNumberFormat="1" applyFont="1" applyFill="1" applyBorder="1" applyAlignment="1" applyProtection="1">
      <alignment horizontal="center" vertical="center"/>
      <protection locked="0"/>
    </xf>
    <xf numFmtId="164" fontId="41" fillId="4" borderId="110" xfId="0" applyNumberFormat="1" applyFont="1" applyFill="1" applyBorder="1" applyAlignment="1">
      <alignment horizontal="center" vertical="center"/>
    </xf>
    <xf numFmtId="164" fontId="41" fillId="4" borderId="111" xfId="0" applyNumberFormat="1" applyFont="1" applyFill="1" applyBorder="1" applyAlignment="1">
      <alignment horizontal="center" vertical="center"/>
    </xf>
    <xf numFmtId="0" fontId="35" fillId="4" borderId="127" xfId="0" applyFont="1" applyFill="1" applyBorder="1" applyAlignment="1" applyProtection="1">
      <alignment horizontal="right" vertical="center" indent="1"/>
      <protection hidden="1"/>
    </xf>
    <xf numFmtId="164" fontId="40" fillId="25" borderId="210" xfId="0" applyNumberFormat="1" applyFont="1" applyFill="1" applyBorder="1" applyAlignment="1" applyProtection="1">
      <alignment horizontal="center" vertical="center"/>
      <protection locked="0"/>
    </xf>
    <xf numFmtId="164" fontId="40" fillId="25" borderId="211" xfId="0" applyNumberFormat="1" applyFont="1" applyFill="1" applyBorder="1" applyAlignment="1" applyProtection="1">
      <alignment horizontal="center" vertical="center"/>
      <protection locked="0"/>
    </xf>
    <xf numFmtId="164" fontId="40" fillId="25" borderId="212" xfId="0" applyNumberFormat="1" applyFont="1" applyFill="1" applyBorder="1" applyAlignment="1" applyProtection="1">
      <alignment horizontal="center" vertical="center"/>
      <protection locked="0"/>
    </xf>
    <xf numFmtId="0" fontId="35" fillId="4" borderId="214" xfId="0" applyFont="1" applyFill="1" applyBorder="1" applyAlignment="1" applyProtection="1">
      <alignment horizontal="right" vertical="center" indent="1"/>
      <protection hidden="1"/>
    </xf>
    <xf numFmtId="164" fontId="41" fillId="4" borderId="215" xfId="0" applyNumberFormat="1" applyFont="1" applyFill="1" applyBorder="1" applyAlignment="1">
      <alignment horizontal="center" vertical="center"/>
    </xf>
    <xf numFmtId="164" fontId="41" fillId="4" borderId="216" xfId="0" applyNumberFormat="1" applyFont="1" applyFill="1" applyBorder="1" applyAlignment="1">
      <alignment horizontal="center" vertical="center"/>
    </xf>
    <xf numFmtId="0" fontId="94" fillId="4" borderId="171" xfId="0" applyFont="1" applyFill="1" applyBorder="1" applyAlignment="1" applyProtection="1">
      <alignment horizontal="center" vertical="center"/>
      <protection hidden="1"/>
    </xf>
    <xf numFmtId="0" fontId="37" fillId="4" borderId="218" xfId="0" applyFont="1" applyFill="1" applyBorder="1" applyAlignment="1" applyProtection="1">
      <alignment horizontal="center" vertical="center"/>
      <protection hidden="1"/>
    </xf>
    <xf numFmtId="0" fontId="37" fillId="4" borderId="173" xfId="0" applyFont="1" applyFill="1" applyBorder="1" applyAlignment="1" applyProtection="1">
      <alignment horizontal="center" vertical="center"/>
      <protection hidden="1"/>
    </xf>
    <xf numFmtId="0" fontId="147" fillId="33" borderId="220" xfId="0" applyFont="1" applyFill="1" applyBorder="1" applyAlignment="1" applyProtection="1">
      <alignment horizontal="right" vertical="center" indent="1"/>
      <protection hidden="1"/>
    </xf>
    <xf numFmtId="164" fontId="148" fillId="33" borderId="221" xfId="0" applyNumberFormat="1" applyFont="1" applyFill="1" applyBorder="1" applyAlignment="1">
      <alignment horizontal="center" vertical="center"/>
    </xf>
    <xf numFmtId="164" fontId="148" fillId="33" borderId="222" xfId="0" applyNumberFormat="1" applyFont="1" applyFill="1" applyBorder="1" applyAlignment="1">
      <alignment horizontal="center" vertical="center"/>
    </xf>
    <xf numFmtId="164" fontId="148" fillId="33" borderId="223" xfId="0" applyNumberFormat="1" applyFont="1" applyFill="1" applyBorder="1" applyAlignment="1">
      <alignment horizontal="center" vertical="center"/>
    </xf>
    <xf numFmtId="0" fontId="147" fillId="33" borderId="46" xfId="0" applyFont="1" applyFill="1" applyBorder="1" applyAlignment="1" applyProtection="1">
      <alignment horizontal="right" vertical="center" indent="1"/>
      <protection hidden="1"/>
    </xf>
    <xf numFmtId="164" fontId="148" fillId="33" borderId="81" xfId="0" applyNumberFormat="1" applyFont="1" applyFill="1" applyBorder="1" applyAlignment="1">
      <alignment horizontal="center" vertical="center"/>
    </xf>
    <xf numFmtId="164" fontId="148" fillId="33" borderId="82" xfId="0" applyNumberFormat="1" applyFont="1" applyFill="1" applyBorder="1" applyAlignment="1">
      <alignment horizontal="center" vertical="center"/>
    </xf>
    <xf numFmtId="164" fontId="148" fillId="33" borderId="83" xfId="0" applyNumberFormat="1" applyFont="1" applyFill="1" applyBorder="1" applyAlignment="1">
      <alignment horizontal="center" vertical="center"/>
    </xf>
    <xf numFmtId="164" fontId="40" fillId="25" borderId="225" xfId="0" applyNumberFormat="1" applyFont="1" applyFill="1" applyBorder="1" applyAlignment="1" applyProtection="1">
      <alignment horizontal="center" vertical="center"/>
      <protection locked="0"/>
    </xf>
    <xf numFmtId="164" fontId="40" fillId="25" borderId="226" xfId="0" applyNumberFormat="1" applyFont="1" applyFill="1" applyBorder="1" applyAlignment="1" applyProtection="1">
      <alignment horizontal="center" vertical="center"/>
      <protection locked="0"/>
    </xf>
    <xf numFmtId="164" fontId="40" fillId="25" borderId="227" xfId="0" applyNumberFormat="1" applyFont="1" applyFill="1" applyBorder="1" applyAlignment="1" applyProtection="1">
      <alignment horizontal="center" vertical="center"/>
      <protection locked="0"/>
    </xf>
    <xf numFmtId="0" fontId="149" fillId="5" borderId="0" xfId="0" applyFont="1" applyFill="1" applyAlignment="1" applyProtection="1">
      <alignment horizontal="left" vertical="center" wrapText="1" indent="9"/>
      <protection hidden="1"/>
    </xf>
    <xf numFmtId="0" fontId="38" fillId="5" borderId="0" xfId="0" applyFont="1" applyFill="1" applyProtection="1">
      <protection hidden="1"/>
    </xf>
    <xf numFmtId="0" fontId="9" fillId="4" borderId="7" xfId="0" applyFont="1" applyFill="1" applyBorder="1" applyAlignment="1" applyProtection="1">
      <alignment horizontal="left" indent="5"/>
      <protection hidden="1"/>
    </xf>
    <xf numFmtId="0" fontId="145" fillId="4" borderId="0" xfId="0" applyFont="1" applyFill="1" applyAlignment="1" applyProtection="1">
      <alignment horizontal="left" vertical="center" wrapText="1" indent="1"/>
      <protection hidden="1"/>
    </xf>
    <xf numFmtId="0" fontId="43" fillId="4" borderId="0" xfId="0" applyFont="1" applyFill="1" applyAlignment="1" applyProtection="1">
      <alignment vertical="center" wrapText="1"/>
      <protection hidden="1"/>
    </xf>
    <xf numFmtId="0" fontId="94" fillId="4" borderId="0" xfId="0" applyFont="1" applyFill="1" applyAlignment="1" applyProtection="1">
      <alignment vertical="center" wrapText="1"/>
      <protection hidden="1"/>
    </xf>
    <xf numFmtId="0" fontId="43" fillId="4" borderId="0" xfId="0" applyFont="1" applyFill="1" applyAlignment="1" applyProtection="1">
      <alignment horizontal="right" vertical="center" wrapText="1" indent="1"/>
      <protection hidden="1"/>
    </xf>
    <xf numFmtId="0" fontId="44" fillId="4" borderId="0" xfId="0" applyFont="1" applyFill="1" applyProtection="1">
      <protection hidden="1"/>
    </xf>
    <xf numFmtId="0" fontId="6" fillId="4" borderId="0" xfId="0" applyFont="1" applyFill="1" applyAlignment="1" applyProtection="1">
      <alignment horizontal="right" vertical="center" wrapText="1" indent="1"/>
      <protection hidden="1"/>
    </xf>
    <xf numFmtId="0" fontId="43" fillId="4" borderId="46" xfId="0" applyFont="1" applyFill="1" applyBorder="1" applyAlignment="1" applyProtection="1">
      <alignment horizontal="right" vertical="center" wrapText="1" indent="1"/>
      <protection hidden="1"/>
    </xf>
    <xf numFmtId="0" fontId="9" fillId="4" borderId="7" xfId="0" applyFont="1" applyFill="1" applyBorder="1" applyAlignment="1" applyProtection="1">
      <alignment horizontal="left" indent="7"/>
      <protection hidden="1"/>
    </xf>
    <xf numFmtId="0" fontId="9" fillId="4" borderId="0" xfId="0" applyFont="1" applyFill="1" applyAlignment="1" applyProtection="1">
      <alignment horizontal="left"/>
      <protection hidden="1"/>
    </xf>
    <xf numFmtId="0" fontId="43" fillId="4" borderId="7" xfId="0" applyFont="1" applyFill="1" applyBorder="1" applyAlignment="1" applyProtection="1">
      <alignment horizontal="left" indent="2"/>
      <protection hidden="1"/>
    </xf>
    <xf numFmtId="0" fontId="9" fillId="4" borderId="0" xfId="0" applyFont="1" applyFill="1" applyAlignment="1" applyProtection="1">
      <alignment horizontal="left" vertical="top" indent="3"/>
      <protection hidden="1"/>
    </xf>
    <xf numFmtId="0" fontId="7" fillId="28" borderId="0" xfId="0" applyFont="1" applyFill="1" applyAlignment="1" applyProtection="1">
      <alignment vertical="center"/>
      <protection hidden="1"/>
    </xf>
    <xf numFmtId="0" fontId="1" fillId="28" borderId="0" xfId="0" applyFont="1" applyFill="1" applyAlignment="1" applyProtection="1">
      <alignment vertical="center"/>
      <protection hidden="1"/>
    </xf>
    <xf numFmtId="0" fontId="0" fillId="28" borderId="0" xfId="0" applyFill="1" applyProtection="1">
      <protection hidden="1"/>
    </xf>
    <xf numFmtId="0" fontId="73" fillId="28" borderId="0" xfId="0" applyFont="1" applyFill="1" applyAlignment="1" applyProtection="1">
      <alignment horizontal="left" vertical="center" indent="1"/>
      <protection hidden="1"/>
    </xf>
    <xf numFmtId="0" fontId="1" fillId="28" borderId="0" xfId="0" applyFont="1" applyFill="1" applyProtection="1">
      <protection hidden="1"/>
    </xf>
    <xf numFmtId="0" fontId="35" fillId="27" borderId="49" xfId="0" applyFont="1" applyFill="1" applyBorder="1" applyAlignment="1" applyProtection="1">
      <alignment horizontal="left" vertical="center"/>
      <protection hidden="1"/>
    </xf>
    <xf numFmtId="0" fontId="36" fillId="27" borderId="50" xfId="0" applyFont="1" applyFill="1" applyBorder="1" applyAlignment="1" applyProtection="1">
      <alignment horizontal="left"/>
      <protection hidden="1"/>
    </xf>
    <xf numFmtId="0" fontId="35" fillId="27" borderId="50" xfId="0" applyFont="1" applyFill="1" applyBorder="1" applyAlignment="1" applyProtection="1">
      <alignment horizontal="left" vertical="center"/>
      <protection hidden="1"/>
    </xf>
    <xf numFmtId="0" fontId="35" fillId="27" borderId="50" xfId="0" applyFont="1" applyFill="1" applyBorder="1" applyAlignment="1" applyProtection="1">
      <alignment vertical="center"/>
      <protection hidden="1"/>
    </xf>
    <xf numFmtId="0" fontId="35" fillId="27" borderId="51" xfId="0" applyFont="1" applyFill="1" applyBorder="1" applyAlignment="1" applyProtection="1">
      <alignment vertical="center"/>
      <protection hidden="1"/>
    </xf>
    <xf numFmtId="0" fontId="35" fillId="27" borderId="52" xfId="0" applyFont="1" applyFill="1" applyBorder="1" applyAlignment="1" applyProtection="1">
      <alignment horizontal="left" vertical="center" indent="2"/>
      <protection hidden="1"/>
    </xf>
    <xf numFmtId="0" fontId="72" fillId="27" borderId="0" xfId="0" applyFont="1" applyFill="1" applyAlignment="1" applyProtection="1">
      <alignment horizontal="left" vertical="center"/>
      <protection hidden="1"/>
    </xf>
    <xf numFmtId="0" fontId="36" fillId="27" borderId="0" xfId="0" applyFont="1" applyFill="1" applyAlignment="1" applyProtection="1">
      <alignment horizontal="left" vertical="center"/>
      <protection hidden="1"/>
    </xf>
    <xf numFmtId="0" fontId="35" fillId="27" borderId="0" xfId="0" applyFont="1" applyFill="1" applyAlignment="1" applyProtection="1">
      <alignment horizontal="left" vertical="center" indent="1"/>
      <protection hidden="1"/>
    </xf>
    <xf numFmtId="0" fontId="0" fillId="27" borderId="0" xfId="0" applyFill="1" applyProtection="1">
      <protection hidden="1"/>
    </xf>
    <xf numFmtId="0" fontId="5" fillId="27" borderId="0" xfId="0" applyFont="1" applyFill="1" applyAlignment="1" applyProtection="1">
      <alignment horizontal="right" vertical="center" indent="1"/>
      <protection hidden="1"/>
    </xf>
    <xf numFmtId="0" fontId="62" fillId="27" borderId="0" xfId="1" applyFont="1" applyFill="1" applyBorder="1" applyAlignment="1" applyProtection="1">
      <alignment horizontal="center" vertical="center"/>
      <protection hidden="1"/>
    </xf>
    <xf numFmtId="0" fontId="0" fillId="27" borderId="53" xfId="0" applyFill="1" applyBorder="1" applyProtection="1">
      <protection hidden="1"/>
    </xf>
    <xf numFmtId="0" fontId="0" fillId="27" borderId="52" xfId="0" applyFill="1" applyBorder="1" applyAlignment="1" applyProtection="1">
      <alignment horizontal="left" indent="1"/>
      <protection hidden="1"/>
    </xf>
    <xf numFmtId="0" fontId="0" fillId="27" borderId="0" xfId="0" applyFill="1" applyAlignment="1" applyProtection="1">
      <alignment horizontal="left" indent="1"/>
      <protection hidden="1"/>
    </xf>
    <xf numFmtId="0" fontId="3" fillId="27" borderId="52" xfId="0" applyFont="1" applyFill="1" applyBorder="1" applyAlignment="1" applyProtection="1">
      <alignment vertical="center" wrapText="1"/>
      <protection hidden="1"/>
    </xf>
    <xf numFmtId="0" fontId="3" fillId="27" borderId="0" xfId="0" applyFont="1" applyFill="1" applyAlignment="1" applyProtection="1">
      <alignment vertical="center" wrapText="1"/>
      <protection hidden="1"/>
    </xf>
    <xf numFmtId="0" fontId="3" fillId="27" borderId="53" xfId="0" applyFont="1" applyFill="1" applyBorder="1" applyAlignment="1" applyProtection="1">
      <alignment vertical="center" wrapText="1"/>
      <protection hidden="1"/>
    </xf>
    <xf numFmtId="0" fontId="0" fillId="27" borderId="55" xfId="0" applyFill="1" applyBorder="1" applyAlignment="1" applyProtection="1">
      <alignment horizontal="left" indent="1"/>
      <protection hidden="1"/>
    </xf>
    <xf numFmtId="0" fontId="0" fillId="27" borderId="56" xfId="0" applyFill="1" applyBorder="1" applyAlignment="1" applyProtection="1">
      <alignment horizontal="left" indent="1"/>
      <protection hidden="1"/>
    </xf>
    <xf numFmtId="0" fontId="0" fillId="27" borderId="56" xfId="0" applyFill="1" applyBorder="1" applyProtection="1">
      <protection hidden="1"/>
    </xf>
    <xf numFmtId="0" fontId="0" fillId="27" borderId="57" xfId="0" applyFill="1" applyBorder="1" applyProtection="1">
      <protection hidden="1"/>
    </xf>
    <xf numFmtId="0" fontId="38" fillId="27" borderId="0" xfId="0" applyFont="1" applyFill="1" applyAlignment="1" applyProtection="1">
      <alignment vertical="top" wrapText="1"/>
      <protection hidden="1"/>
    </xf>
    <xf numFmtId="0" fontId="38" fillId="27" borderId="0" xfId="0" applyFont="1" applyFill="1" applyAlignment="1" applyProtection="1">
      <alignment horizontal="left" vertical="top" wrapText="1"/>
      <protection hidden="1"/>
    </xf>
    <xf numFmtId="0" fontId="0" fillId="27" borderId="0" xfId="0" applyFill="1" applyAlignment="1" applyProtection="1">
      <alignment horizontal="left" indent="8"/>
      <protection hidden="1"/>
    </xf>
    <xf numFmtId="0" fontId="0" fillId="27" borderId="52" xfId="0" applyFill="1" applyBorder="1" applyAlignment="1" applyProtection="1">
      <alignment horizontal="left" vertical="top"/>
      <protection hidden="1"/>
    </xf>
    <xf numFmtId="0" fontId="0" fillId="27" borderId="0" xfId="0" applyFill="1" applyAlignment="1" applyProtection="1">
      <alignment horizontal="left" vertical="top" indent="8"/>
      <protection hidden="1"/>
    </xf>
    <xf numFmtId="0" fontId="0" fillId="27" borderId="0" xfId="0" applyFill="1" applyAlignment="1" applyProtection="1">
      <alignment horizontal="left" vertical="top"/>
      <protection hidden="1"/>
    </xf>
    <xf numFmtId="0" fontId="0" fillId="27" borderId="0" xfId="0" applyFill="1" applyAlignment="1" applyProtection="1">
      <alignment vertical="top"/>
      <protection hidden="1"/>
    </xf>
    <xf numFmtId="0" fontId="0" fillId="27" borderId="53" xfId="0" applyFill="1" applyBorder="1" applyAlignment="1" applyProtection="1">
      <alignment vertical="top"/>
      <protection hidden="1"/>
    </xf>
    <xf numFmtId="0" fontId="38" fillId="27" borderId="0" xfId="0" applyFont="1" applyFill="1" applyAlignment="1" applyProtection="1">
      <alignment horizontal="left" vertical="top" wrapText="1" indent="5"/>
      <protection hidden="1"/>
    </xf>
    <xf numFmtId="0" fontId="38" fillId="27" borderId="56" xfId="0" applyFont="1" applyFill="1" applyBorder="1" applyAlignment="1" applyProtection="1">
      <alignment horizontal="left" vertical="top" wrapText="1" indent="5"/>
      <protection hidden="1"/>
    </xf>
    <xf numFmtId="0" fontId="9" fillId="27" borderId="0" xfId="0" applyFont="1" applyFill="1" applyAlignment="1" applyProtection="1">
      <alignment vertical="top" wrapText="1"/>
      <protection hidden="1"/>
    </xf>
    <xf numFmtId="0" fontId="3" fillId="27" borderId="0" xfId="0" applyFont="1" applyFill="1" applyAlignment="1" applyProtection="1">
      <alignment vertical="center"/>
      <protection hidden="1"/>
    </xf>
    <xf numFmtId="0" fontId="3" fillId="27" borderId="55" xfId="0" applyFont="1" applyFill="1" applyBorder="1" applyAlignment="1" applyProtection="1">
      <alignment vertical="center" wrapText="1"/>
      <protection hidden="1"/>
    </xf>
    <xf numFmtId="0" fontId="38" fillId="27" borderId="48" xfId="0" applyFont="1" applyFill="1" applyBorder="1" applyAlignment="1" applyProtection="1">
      <alignment horizontal="left" vertical="top" wrapText="1"/>
      <protection hidden="1"/>
    </xf>
    <xf numFmtId="0" fontId="38" fillId="27" borderId="46" xfId="0" applyFont="1" applyFill="1" applyBorder="1" applyAlignment="1" applyProtection="1">
      <alignment horizontal="right" vertical="top" indent="1"/>
      <protection hidden="1"/>
    </xf>
    <xf numFmtId="0" fontId="38" fillId="27" borderId="0" xfId="0" applyFont="1" applyFill="1" applyAlignment="1" applyProtection="1">
      <alignment horizontal="right" vertical="top" indent="1"/>
      <protection hidden="1"/>
    </xf>
    <xf numFmtId="0" fontId="9" fillId="27" borderId="46" xfId="0" applyFont="1" applyFill="1" applyBorder="1" applyAlignment="1" applyProtection="1">
      <alignment horizontal="right" vertical="top" indent="1"/>
      <protection hidden="1"/>
    </xf>
    <xf numFmtId="0" fontId="51" fillId="27" borderId="0" xfId="0" applyFont="1" applyFill="1" applyAlignment="1" applyProtection="1">
      <alignment vertical="center" wrapText="1"/>
      <protection hidden="1"/>
    </xf>
    <xf numFmtId="0" fontId="3" fillId="27" borderId="0" xfId="0" applyFont="1" applyFill="1" applyAlignment="1" applyProtection="1">
      <alignment horizontal="center" vertical="top" wrapText="1"/>
      <protection hidden="1"/>
    </xf>
    <xf numFmtId="0" fontId="3" fillId="27" borderId="0" xfId="0" applyFont="1" applyFill="1" applyAlignment="1" applyProtection="1">
      <alignment horizontal="center" vertical="center" wrapText="1"/>
      <protection hidden="1"/>
    </xf>
    <xf numFmtId="0" fontId="38" fillId="27" borderId="0" xfId="0" applyFont="1" applyFill="1" applyAlignment="1" applyProtection="1">
      <alignment horizontal="center" vertical="center" wrapText="1"/>
      <protection hidden="1"/>
    </xf>
    <xf numFmtId="0" fontId="112" fillId="27" borderId="0" xfId="0" applyFont="1" applyFill="1" applyAlignment="1" applyProtection="1">
      <alignment horizontal="right" vertical="center" wrapText="1"/>
      <protection hidden="1"/>
    </xf>
    <xf numFmtId="0" fontId="38" fillId="27" borderId="0" xfId="0" applyFont="1" applyFill="1" applyAlignment="1" applyProtection="1">
      <alignment horizontal="right" vertical="top" wrapText="1"/>
      <protection hidden="1"/>
    </xf>
    <xf numFmtId="0" fontId="119" fillId="27" borderId="0" xfId="0" applyFont="1" applyFill="1" applyAlignment="1" applyProtection="1">
      <alignment horizontal="right" vertical="center" wrapText="1"/>
      <protection hidden="1"/>
    </xf>
    <xf numFmtId="0" fontId="66" fillId="27" borderId="0" xfId="0" applyFont="1" applyFill="1" applyAlignment="1" applyProtection="1">
      <alignment horizontal="right" vertical="top" wrapText="1"/>
      <protection hidden="1"/>
    </xf>
    <xf numFmtId="0" fontId="115" fillId="27" borderId="0" xfId="0" applyFont="1" applyFill="1" applyAlignment="1" applyProtection="1">
      <alignment horizontal="right" vertical="center" wrapText="1"/>
      <protection hidden="1"/>
    </xf>
    <xf numFmtId="0" fontId="90" fillId="27" borderId="0" xfId="0" applyFont="1" applyFill="1" applyAlignment="1" applyProtection="1">
      <alignment horizontal="right" vertical="top" wrapText="1"/>
      <protection hidden="1"/>
    </xf>
    <xf numFmtId="0" fontId="3" fillId="27" borderId="56" xfId="0" applyFont="1" applyFill="1" applyBorder="1" applyAlignment="1" applyProtection="1">
      <alignment vertical="center"/>
      <protection hidden="1"/>
    </xf>
    <xf numFmtId="0" fontId="5" fillId="27" borderId="56" xfId="0" applyFont="1" applyFill="1" applyBorder="1" applyAlignment="1" applyProtection="1">
      <alignment vertical="center" wrapText="1"/>
      <protection hidden="1"/>
    </xf>
    <xf numFmtId="0" fontId="3" fillId="27" borderId="56" xfId="0" applyFont="1" applyFill="1" applyBorder="1" applyAlignment="1" applyProtection="1">
      <alignment vertical="center" wrapText="1"/>
      <protection hidden="1"/>
    </xf>
    <xf numFmtId="0" fontId="3" fillId="27" borderId="57" xfId="0" applyFont="1" applyFill="1" applyBorder="1" applyAlignment="1" applyProtection="1">
      <alignment vertical="center" wrapText="1"/>
      <protection hidden="1"/>
    </xf>
    <xf numFmtId="0" fontId="38" fillId="27" borderId="0" xfId="0" applyFont="1" applyFill="1" applyAlignment="1" applyProtection="1">
      <alignment horizontal="left" vertical="center" wrapText="1" indent="6"/>
      <protection hidden="1"/>
    </xf>
    <xf numFmtId="0" fontId="38" fillId="27" borderId="0" xfId="0" applyFont="1" applyFill="1" applyAlignment="1" applyProtection="1">
      <alignment vertical="center" wrapText="1"/>
      <protection hidden="1"/>
    </xf>
    <xf numFmtId="0" fontId="113" fillId="27" borderId="52" xfId="0" applyFont="1" applyFill="1" applyBorder="1" applyAlignment="1" applyProtection="1">
      <alignment horizontal="center" vertical="center" wrapText="1"/>
      <protection hidden="1"/>
    </xf>
    <xf numFmtId="0" fontId="133" fillId="27" borderId="0" xfId="0" applyFont="1" applyFill="1" applyAlignment="1" applyProtection="1">
      <alignment horizontal="left" vertical="center"/>
      <protection hidden="1"/>
    </xf>
    <xf numFmtId="0" fontId="92" fillId="27" borderId="0" xfId="0" applyFont="1" applyFill="1" applyAlignment="1" applyProtection="1">
      <alignment horizontal="left" vertical="center" indent="1"/>
      <protection hidden="1"/>
    </xf>
    <xf numFmtId="0" fontId="61" fillId="27" borderId="0" xfId="0" applyFont="1" applyFill="1" applyProtection="1">
      <protection hidden="1"/>
    </xf>
    <xf numFmtId="0" fontId="8" fillId="27" borderId="0" xfId="0" applyFont="1" applyFill="1" applyAlignment="1" applyProtection="1">
      <alignment horizontal="right" vertical="center" indent="1"/>
      <protection hidden="1"/>
    </xf>
    <xf numFmtId="0" fontId="61" fillId="27" borderId="0" xfId="0" applyFont="1" applyFill="1" applyAlignment="1" applyProtection="1">
      <alignment horizontal="left" indent="1"/>
      <protection hidden="1"/>
    </xf>
    <xf numFmtId="0" fontId="5" fillId="4" borderId="8" xfId="0" applyFont="1" applyFill="1" applyBorder="1" applyAlignment="1" applyProtection="1">
      <alignment vertical="center" wrapText="1"/>
      <protection hidden="1"/>
    </xf>
    <xf numFmtId="0" fontId="152" fillId="27" borderId="0" xfId="0" applyFont="1" applyFill="1" applyAlignment="1" applyProtection="1">
      <alignment horizontal="left" vertical="center"/>
      <protection hidden="1"/>
    </xf>
    <xf numFmtId="0" fontId="153" fillId="34" borderId="0" xfId="0" applyFont="1" applyFill="1"/>
    <xf numFmtId="0" fontId="40" fillId="4" borderId="0" xfId="0" applyFont="1" applyFill="1" applyAlignment="1" applyProtection="1">
      <alignment vertical="top" wrapText="1"/>
      <protection hidden="1"/>
    </xf>
    <xf numFmtId="0" fontId="5" fillId="4" borderId="0" xfId="0" applyFont="1" applyFill="1" applyAlignment="1" applyProtection="1">
      <alignment vertical="top"/>
      <protection hidden="1"/>
    </xf>
    <xf numFmtId="0" fontId="0" fillId="4" borderId="230" xfId="0" applyFill="1" applyBorder="1" applyAlignment="1">
      <alignment horizontal="left" vertical="center" indent="1"/>
    </xf>
    <xf numFmtId="0" fontId="7" fillId="28" borderId="0" xfId="0" applyFont="1" applyFill="1" applyAlignment="1" applyProtection="1">
      <alignment horizontal="left" vertical="center"/>
      <protection hidden="1"/>
    </xf>
    <xf numFmtId="0" fontId="1" fillId="28" borderId="0" xfId="0" applyFont="1" applyFill="1" applyAlignment="1" applyProtection="1">
      <alignment horizontal="left" vertical="center"/>
      <protection hidden="1"/>
    </xf>
    <xf numFmtId="0" fontId="2" fillId="28" borderId="0" xfId="0" applyFont="1" applyFill="1" applyAlignment="1" applyProtection="1">
      <alignment horizontal="left" vertical="center"/>
      <protection hidden="1"/>
    </xf>
    <xf numFmtId="0" fontId="3" fillId="27" borderId="49" xfId="0" applyFont="1" applyFill="1" applyBorder="1" applyAlignment="1" applyProtection="1">
      <alignment vertical="center" wrapText="1"/>
      <protection hidden="1"/>
    </xf>
    <xf numFmtId="0" fontId="38" fillId="27" borderId="50" xfId="0" applyFont="1" applyFill="1" applyBorder="1" applyAlignment="1" applyProtection="1">
      <alignment horizontal="left" vertical="top" wrapText="1"/>
      <protection hidden="1"/>
    </xf>
    <xf numFmtId="0" fontId="3" fillId="27" borderId="50" xfId="0" applyFont="1" applyFill="1" applyBorder="1" applyAlignment="1" applyProtection="1">
      <alignment vertical="center" wrapText="1"/>
      <protection hidden="1"/>
    </xf>
    <xf numFmtId="0" fontId="3" fillId="27" borderId="51" xfId="0" applyFont="1" applyFill="1" applyBorder="1" applyAlignment="1" applyProtection="1">
      <alignment vertical="center" wrapText="1"/>
      <protection hidden="1"/>
    </xf>
    <xf numFmtId="0" fontId="35" fillId="27" borderId="52" xfId="0" applyFont="1" applyFill="1" applyBorder="1" applyAlignment="1" applyProtection="1">
      <alignment horizontal="left" vertical="center" indent="1"/>
      <protection hidden="1"/>
    </xf>
    <xf numFmtId="0" fontId="76" fillId="27" borderId="0" xfId="0" applyFont="1" applyFill="1" applyAlignment="1" applyProtection="1">
      <alignment horizontal="left"/>
      <protection hidden="1"/>
    </xf>
    <xf numFmtId="0" fontId="127" fillId="27" borderId="0" xfId="0" applyFont="1" applyFill="1" applyAlignment="1" applyProtection="1">
      <alignment horizontal="left" vertical="top"/>
      <protection hidden="1"/>
    </xf>
    <xf numFmtId="0" fontId="120" fillId="27" borderId="0" xfId="0" applyFont="1" applyFill="1" applyAlignment="1" applyProtection="1">
      <alignment horizontal="center" vertical="top"/>
      <protection hidden="1"/>
    </xf>
    <xf numFmtId="0" fontId="9" fillId="27" borderId="56" xfId="0" applyFont="1" applyFill="1" applyBorder="1" applyAlignment="1" applyProtection="1">
      <alignment vertical="top" wrapText="1"/>
      <protection hidden="1"/>
    </xf>
    <xf numFmtId="0" fontId="38" fillId="27" borderId="56" xfId="0" applyFont="1" applyFill="1" applyBorder="1" applyAlignment="1" applyProtection="1">
      <alignment horizontal="left" vertical="top" wrapText="1"/>
      <protection hidden="1"/>
    </xf>
    <xf numFmtId="0" fontId="0" fillId="27" borderId="231" xfId="0" applyFill="1" applyBorder="1" applyAlignment="1" applyProtection="1">
      <alignment horizontal="left" vertical="center"/>
      <protection hidden="1"/>
    </xf>
    <xf numFmtId="0" fontId="121" fillId="27" borderId="231" xfId="0" applyFont="1" applyFill="1" applyBorder="1" applyAlignment="1" applyProtection="1">
      <alignment vertical="center" wrapText="1"/>
      <protection hidden="1"/>
    </xf>
    <xf numFmtId="0" fontId="0" fillId="27" borderId="231" xfId="0" applyFill="1" applyBorder="1" applyAlignment="1" applyProtection="1">
      <alignment vertical="center"/>
      <protection hidden="1"/>
    </xf>
    <xf numFmtId="0" fontId="9" fillId="27" borderId="231" xfId="0" applyFont="1" applyFill="1" applyBorder="1" applyAlignment="1" applyProtection="1">
      <alignment vertical="center" wrapText="1"/>
      <protection hidden="1"/>
    </xf>
    <xf numFmtId="0" fontId="118" fillId="27" borderId="231" xfId="0" applyFont="1" applyFill="1" applyBorder="1" applyAlignment="1" applyProtection="1">
      <alignment horizontal="left" vertical="center" wrapText="1"/>
      <protection hidden="1"/>
    </xf>
    <xf numFmtId="0" fontId="121" fillId="27" borderId="231" xfId="0" applyFont="1" applyFill="1" applyBorder="1" applyAlignment="1" applyProtection="1">
      <alignment vertical="center"/>
      <protection hidden="1"/>
    </xf>
    <xf numFmtId="0" fontId="0" fillId="27" borderId="232" xfId="0" applyFill="1" applyBorder="1" applyAlignment="1" applyProtection="1">
      <alignment horizontal="left" vertical="center"/>
      <protection hidden="1"/>
    </xf>
    <xf numFmtId="0" fontId="121" fillId="27" borderId="232" xfId="0" applyFont="1" applyFill="1" applyBorder="1" applyAlignment="1" applyProtection="1">
      <alignment vertical="center" wrapText="1"/>
      <protection hidden="1"/>
    </xf>
    <xf numFmtId="0" fontId="76" fillId="27" borderId="232" xfId="0" applyFont="1" applyFill="1" applyBorder="1" applyAlignment="1" applyProtection="1">
      <alignment horizontal="left" vertical="center"/>
      <protection hidden="1"/>
    </xf>
    <xf numFmtId="0" fontId="75" fillId="27" borderId="232" xfId="0" applyFont="1" applyFill="1" applyBorder="1" applyAlignment="1" applyProtection="1">
      <alignment vertical="center"/>
      <protection hidden="1"/>
    </xf>
    <xf numFmtId="0" fontId="0" fillId="27" borderId="233" xfId="0" applyFill="1" applyBorder="1" applyAlignment="1" applyProtection="1">
      <alignment horizontal="left" vertical="center"/>
      <protection hidden="1"/>
    </xf>
    <xf numFmtId="0" fontId="121" fillId="27" borderId="233" xfId="0" applyFont="1" applyFill="1" applyBorder="1" applyAlignment="1" applyProtection="1">
      <alignment vertical="center" wrapText="1"/>
      <protection hidden="1"/>
    </xf>
    <xf numFmtId="0" fontId="9" fillId="27" borderId="233" xfId="0" applyFont="1" applyFill="1" applyBorder="1" applyAlignment="1" applyProtection="1">
      <alignment vertical="center" wrapText="1"/>
      <protection hidden="1"/>
    </xf>
    <xf numFmtId="0" fontId="75" fillId="27" borderId="0" xfId="0" applyFont="1" applyFill="1" applyAlignment="1" applyProtection="1">
      <alignment vertical="center"/>
      <protection hidden="1"/>
    </xf>
    <xf numFmtId="0" fontId="0" fillId="27" borderId="0" xfId="0" applyFill="1" applyAlignment="1" applyProtection="1">
      <alignment vertical="center"/>
      <protection hidden="1"/>
    </xf>
    <xf numFmtId="0" fontId="0" fillId="27" borderId="55" xfId="0" applyFill="1" applyBorder="1" applyProtection="1">
      <protection hidden="1"/>
    </xf>
    <xf numFmtId="0" fontId="118" fillId="27" borderId="233" xfId="0" applyFont="1" applyFill="1" applyBorder="1" applyAlignment="1" applyProtection="1">
      <alignment horizontal="left" vertical="center" wrapText="1"/>
      <protection hidden="1"/>
    </xf>
    <xf numFmtId="0" fontId="5" fillId="4" borderId="54" xfId="0" applyFont="1" applyFill="1" applyBorder="1" applyAlignment="1" applyProtection="1">
      <alignment vertical="center" wrapText="1"/>
      <protection hidden="1"/>
    </xf>
    <xf numFmtId="0" fontId="0" fillId="4" borderId="7" xfId="0" applyFill="1" applyBorder="1" applyAlignment="1" applyProtection="1">
      <alignment horizontal="left" indent="6"/>
      <protection hidden="1"/>
    </xf>
    <xf numFmtId="0" fontId="0" fillId="4" borderId="7" xfId="0" applyFill="1" applyBorder="1" applyAlignment="1" applyProtection="1">
      <alignment horizontal="left" indent="9"/>
      <protection hidden="1"/>
    </xf>
    <xf numFmtId="0" fontId="0" fillId="4" borderId="46" xfId="0" applyFill="1" applyBorder="1" applyAlignment="1" applyProtection="1">
      <alignment horizontal="left" vertical="center" wrapText="1" indent="2"/>
      <protection hidden="1"/>
    </xf>
    <xf numFmtId="0" fontId="5" fillId="27" borderId="0" xfId="0" applyFont="1" applyFill="1" applyAlignment="1" applyProtection="1">
      <alignment vertical="center" wrapText="1"/>
      <protection hidden="1"/>
    </xf>
    <xf numFmtId="0" fontId="6" fillId="4" borderId="7" xfId="0" applyFont="1" applyFill="1" applyBorder="1" applyAlignment="1" applyProtection="1">
      <alignment horizontal="right" vertical="center" wrapText="1" indent="1"/>
      <protection hidden="1"/>
    </xf>
    <xf numFmtId="0" fontId="6" fillId="4" borderId="0" xfId="0" applyFont="1" applyFill="1" applyAlignment="1" applyProtection="1">
      <alignment horizontal="right" vertical="center" indent="1"/>
      <protection hidden="1"/>
    </xf>
    <xf numFmtId="0" fontId="6" fillId="4" borderId="0" xfId="1" applyFont="1" applyFill="1" applyBorder="1" applyAlignment="1" applyProtection="1">
      <alignment horizontal="right" vertical="center" wrapText="1" indent="1"/>
      <protection hidden="1"/>
    </xf>
    <xf numFmtId="0" fontId="6" fillId="4" borderId="0" xfId="0" applyFont="1" applyFill="1" applyAlignment="1" applyProtection="1">
      <alignment horizontal="center" vertical="center" wrapText="1"/>
      <protection hidden="1"/>
    </xf>
    <xf numFmtId="0" fontId="6" fillId="4" borderId="0" xfId="0" applyFont="1" applyFill="1" applyAlignment="1" applyProtection="1">
      <alignment horizontal="left" vertical="center" wrapText="1" indent="1"/>
      <protection hidden="1"/>
    </xf>
    <xf numFmtId="0" fontId="0" fillId="0" borderId="48" xfId="0" applyBorder="1" applyProtection="1">
      <protection hidden="1"/>
    </xf>
    <xf numFmtId="0" fontId="35" fillId="27" borderId="0" xfId="0" applyFont="1" applyFill="1" applyAlignment="1" applyProtection="1">
      <alignment horizontal="left" vertical="center" wrapText="1" indent="1"/>
      <protection hidden="1"/>
    </xf>
    <xf numFmtId="0" fontId="5" fillId="27" borderId="0" xfId="0" applyFont="1" applyFill="1" applyAlignment="1" applyProtection="1">
      <alignment horizontal="right" vertical="center" wrapText="1" indent="1"/>
      <protection hidden="1"/>
    </xf>
    <xf numFmtId="0" fontId="3" fillId="27" borderId="0" xfId="0" applyFont="1" applyFill="1" applyAlignment="1" applyProtection="1">
      <alignment horizontal="right" vertical="center" wrapText="1" indent="1"/>
      <protection hidden="1"/>
    </xf>
    <xf numFmtId="0" fontId="0" fillId="4" borderId="3" xfId="0" applyFill="1" applyBorder="1" applyAlignment="1" applyProtection="1">
      <alignment horizontal="left" vertical="top" indent="8"/>
      <protection hidden="1"/>
    </xf>
    <xf numFmtId="0" fontId="0" fillId="4" borderId="2" xfId="0" applyFill="1" applyBorder="1" applyAlignment="1" applyProtection="1">
      <alignment horizontal="left" vertical="top"/>
      <protection hidden="1"/>
    </xf>
    <xf numFmtId="0" fontId="0" fillId="4" borderId="2" xfId="0" applyFill="1" applyBorder="1" applyAlignment="1" applyProtection="1">
      <alignment vertical="top"/>
      <protection hidden="1"/>
    </xf>
    <xf numFmtId="0" fontId="44" fillId="4" borderId="0" xfId="0" applyFont="1" applyFill="1" applyAlignment="1" applyProtection="1">
      <alignment horizontal="left" vertical="top"/>
      <protection hidden="1"/>
    </xf>
    <xf numFmtId="0" fontId="61" fillId="4" borderId="7" xfId="0" applyFont="1" applyFill="1" applyBorder="1" applyAlignment="1" applyProtection="1">
      <alignment horizontal="left" vertical="top" indent="6"/>
      <protection hidden="1"/>
    </xf>
    <xf numFmtId="0" fontId="0" fillId="4" borderId="0" xfId="0" applyFill="1" applyAlignment="1" applyProtection="1">
      <alignment horizontal="right" vertical="top" indent="1"/>
      <protection hidden="1"/>
    </xf>
    <xf numFmtId="0" fontId="0" fillId="4" borderId="4" xfId="0" applyFill="1" applyBorder="1" applyAlignment="1" applyProtection="1">
      <alignment horizontal="left" vertical="top" indent="8"/>
      <protection hidden="1"/>
    </xf>
    <xf numFmtId="0" fontId="0" fillId="4" borderId="8" xfId="0" applyFill="1" applyBorder="1" applyAlignment="1" applyProtection="1">
      <alignment horizontal="left" vertical="top"/>
      <protection hidden="1"/>
    </xf>
    <xf numFmtId="0" fontId="0" fillId="4" borderId="8" xfId="0" applyFill="1" applyBorder="1" applyAlignment="1" applyProtection="1">
      <alignment vertical="top"/>
      <protection hidden="1"/>
    </xf>
    <xf numFmtId="0" fontId="0" fillId="4" borderId="54" xfId="0" applyFill="1" applyBorder="1" applyAlignment="1" applyProtection="1">
      <alignment vertical="top"/>
      <protection hidden="1"/>
    </xf>
    <xf numFmtId="0" fontId="44" fillId="4" borderId="0" xfId="0" applyFont="1" applyFill="1" applyAlignment="1" applyProtection="1">
      <alignment horizontal="left" vertical="center" indent="1"/>
      <protection hidden="1"/>
    </xf>
    <xf numFmtId="0" fontId="0" fillId="4" borderId="46" xfId="0" applyFill="1" applyBorder="1" applyAlignment="1" applyProtection="1">
      <alignment vertical="top"/>
      <protection hidden="1"/>
    </xf>
    <xf numFmtId="0" fontId="0" fillId="4" borderId="5" xfId="0" applyFill="1" applyBorder="1" applyAlignment="1" applyProtection="1">
      <alignment vertical="top"/>
      <protection hidden="1"/>
    </xf>
    <xf numFmtId="0" fontId="158" fillId="27" borderId="0" xfId="0" applyFont="1" applyFill="1" applyAlignment="1" applyProtection="1">
      <alignment vertical="center"/>
      <protection hidden="1"/>
    </xf>
    <xf numFmtId="0" fontId="136" fillId="27" borderId="0" xfId="0" applyFont="1" applyFill="1" applyAlignment="1" applyProtection="1">
      <alignment horizontal="left" vertical="top"/>
      <protection hidden="1"/>
    </xf>
    <xf numFmtId="0" fontId="9" fillId="27" borderId="0" xfId="0" applyFont="1" applyFill="1" applyAlignment="1" applyProtection="1">
      <alignment horizontal="left" vertical="top" wrapText="1"/>
      <protection hidden="1"/>
    </xf>
    <xf numFmtId="0" fontId="159" fillId="4" borderId="7" xfId="1" applyFont="1" applyFill="1" applyBorder="1" applyAlignment="1" applyProtection="1">
      <alignment horizontal="right" vertical="center" wrapText="1" indent="1"/>
      <protection hidden="1"/>
    </xf>
    <xf numFmtId="0" fontId="159" fillId="4" borderId="7" xfId="0" applyFont="1" applyFill="1" applyBorder="1" applyAlignment="1" applyProtection="1">
      <alignment horizontal="right" vertical="center" indent="1"/>
      <protection hidden="1"/>
    </xf>
    <xf numFmtId="0" fontId="0" fillId="0" borderId="0" xfId="0" applyAlignment="1" applyProtection="1">
      <alignment horizontal="left"/>
      <protection hidden="1"/>
    </xf>
    <xf numFmtId="0" fontId="0" fillId="0" borderId="0" xfId="0" applyAlignment="1" applyProtection="1">
      <alignment horizontal="left" indent="1"/>
      <protection hidden="1"/>
    </xf>
    <xf numFmtId="0" fontId="160" fillId="0" borderId="0" xfId="0" applyFont="1" applyProtection="1">
      <protection hidden="1"/>
    </xf>
    <xf numFmtId="0" fontId="159" fillId="4" borderId="0" xfId="1" applyFont="1" applyFill="1" applyBorder="1" applyAlignment="1" applyProtection="1">
      <protection hidden="1"/>
    </xf>
    <xf numFmtId="0" fontId="160" fillId="4" borderId="0" xfId="0" applyFont="1" applyFill="1" applyAlignment="1" applyProtection="1">
      <alignment wrapText="1"/>
      <protection hidden="1"/>
    </xf>
    <xf numFmtId="0" fontId="160" fillId="4" borderId="7" xfId="0" applyFont="1" applyFill="1" applyBorder="1" applyAlignment="1" applyProtection="1">
      <alignment horizontal="right"/>
      <protection hidden="1"/>
    </xf>
    <xf numFmtId="0" fontId="159" fillId="4" borderId="7" xfId="0" applyFont="1" applyFill="1" applyBorder="1" applyAlignment="1" applyProtection="1">
      <alignment horizontal="left" vertical="top" indent="12"/>
      <protection hidden="1"/>
    </xf>
    <xf numFmtId="0" fontId="44" fillId="4" borderId="0" xfId="0" applyFont="1" applyFill="1" applyAlignment="1" applyProtection="1">
      <alignment horizontal="right" vertical="center" indent="1"/>
      <protection hidden="1"/>
    </xf>
    <xf numFmtId="0" fontId="0" fillId="27" borderId="234" xfId="0" applyFill="1" applyBorder="1" applyAlignment="1" applyProtection="1">
      <alignment horizontal="left" vertical="center"/>
      <protection hidden="1"/>
    </xf>
    <xf numFmtId="0" fontId="121" fillId="27" borderId="234" xfId="0" applyFont="1" applyFill="1" applyBorder="1" applyAlignment="1" applyProtection="1">
      <alignment vertical="center" wrapText="1"/>
      <protection hidden="1"/>
    </xf>
    <xf numFmtId="0" fontId="121" fillId="27" borderId="234" xfId="0" applyFont="1" applyFill="1" applyBorder="1" applyAlignment="1" applyProtection="1">
      <alignment vertical="center"/>
      <protection hidden="1"/>
    </xf>
    <xf numFmtId="0" fontId="9" fillId="27" borderId="234" xfId="0" applyFont="1" applyFill="1" applyBorder="1" applyAlignment="1" applyProtection="1">
      <alignment vertical="center" wrapText="1"/>
      <protection hidden="1"/>
    </xf>
    <xf numFmtId="0" fontId="118" fillId="27" borderId="234" xfId="0" applyFont="1" applyFill="1" applyBorder="1" applyAlignment="1" applyProtection="1">
      <alignment horizontal="left" vertical="center" wrapText="1"/>
      <protection hidden="1"/>
    </xf>
    <xf numFmtId="0" fontId="162" fillId="4" borderId="7" xfId="0" applyFont="1" applyFill="1" applyBorder="1" applyAlignment="1" applyProtection="1">
      <alignment horizontal="left" indent="5"/>
      <protection hidden="1"/>
    </xf>
    <xf numFmtId="0" fontId="9" fillId="4" borderId="7" xfId="0" applyFont="1" applyFill="1" applyBorder="1" applyAlignment="1" applyProtection="1">
      <alignment horizontal="left" vertical="top" indent="7"/>
      <protection hidden="1"/>
    </xf>
    <xf numFmtId="0" fontId="9" fillId="4" borderId="7" xfId="0" applyFont="1" applyFill="1" applyBorder="1" applyAlignment="1" applyProtection="1">
      <alignment horizontal="left" vertical="center" indent="5"/>
      <protection hidden="1"/>
    </xf>
    <xf numFmtId="0" fontId="160" fillId="4" borderId="7" xfId="0" applyFont="1" applyFill="1" applyBorder="1" applyProtection="1">
      <protection hidden="1"/>
    </xf>
    <xf numFmtId="0" fontId="160" fillId="4" borderId="0" xfId="0" applyFont="1" applyFill="1" applyAlignment="1" applyProtection="1">
      <alignment horizontal="left" indent="1"/>
      <protection hidden="1"/>
    </xf>
    <xf numFmtId="0" fontId="160" fillId="4" borderId="0" xfId="0" applyFont="1" applyFill="1" applyAlignment="1" applyProtection="1">
      <alignment horizontal="left" vertical="center" wrapText="1" indent="1"/>
      <protection hidden="1"/>
    </xf>
    <xf numFmtId="0" fontId="160" fillId="4" borderId="7" xfId="0" applyFont="1" applyFill="1" applyBorder="1" applyAlignment="1" applyProtection="1">
      <alignment horizontal="left" indent="8"/>
      <protection hidden="1"/>
    </xf>
    <xf numFmtId="0" fontId="163" fillId="4" borderId="0" xfId="1" applyFont="1" applyFill="1" applyBorder="1" applyAlignment="1" applyProtection="1">
      <alignment horizontal="left" vertical="center" wrapText="1" indent="1"/>
      <protection locked="0"/>
    </xf>
    <xf numFmtId="0" fontId="159" fillId="4" borderId="0" xfId="1" applyFont="1" applyFill="1" applyBorder="1" applyAlignment="1" applyProtection="1">
      <alignment vertical="center"/>
      <protection hidden="1"/>
    </xf>
    <xf numFmtId="0" fontId="160" fillId="4" borderId="63" xfId="0" applyFont="1" applyFill="1" applyBorder="1" applyAlignment="1" applyProtection="1">
      <alignment horizontal="right" vertical="center" indent="1"/>
      <protection hidden="1"/>
    </xf>
    <xf numFmtId="0" fontId="160" fillId="4" borderId="7" xfId="0" applyFont="1" applyFill="1" applyBorder="1" applyAlignment="1" applyProtection="1">
      <alignment horizontal="left" vertical="center"/>
      <protection hidden="1"/>
    </xf>
    <xf numFmtId="0" fontId="5" fillId="4" borderId="63" xfId="0" applyFont="1" applyFill="1" applyBorder="1" applyAlignment="1" applyProtection="1">
      <alignment horizontal="right" vertical="center" indent="1"/>
      <protection hidden="1"/>
    </xf>
    <xf numFmtId="0" fontId="161" fillId="4" borderId="7" xfId="0" applyFont="1" applyFill="1" applyBorder="1" applyAlignment="1" applyProtection="1">
      <alignment vertical="center"/>
      <protection hidden="1"/>
    </xf>
    <xf numFmtId="0" fontId="161" fillId="4" borderId="0" xfId="0" applyFont="1" applyFill="1" applyAlignment="1" applyProtection="1">
      <alignment vertical="center"/>
      <protection hidden="1"/>
    </xf>
    <xf numFmtId="0" fontId="160" fillId="0" borderId="46" xfId="0" applyFont="1" applyBorder="1" applyAlignment="1" applyProtection="1">
      <alignment horizontal="left"/>
      <protection hidden="1"/>
    </xf>
    <xf numFmtId="0" fontId="164" fillId="0" borderId="46" xfId="0" applyFont="1" applyBorder="1" applyAlignment="1" applyProtection="1">
      <alignment horizontal="left"/>
      <protection hidden="1"/>
    </xf>
    <xf numFmtId="0" fontId="164" fillId="4" borderId="0" xfId="0" applyFont="1" applyFill="1" applyAlignment="1" applyProtection="1">
      <alignment horizontal="left"/>
      <protection hidden="1"/>
    </xf>
    <xf numFmtId="0" fontId="0" fillId="27" borderId="0" xfId="0" applyFill="1" applyAlignment="1" applyProtection="1">
      <alignment horizontal="left"/>
      <protection hidden="1"/>
    </xf>
    <xf numFmtId="0" fontId="151" fillId="27" borderId="0" xfId="0" applyFont="1" applyFill="1" applyAlignment="1" applyProtection="1">
      <alignment vertical="center"/>
      <protection hidden="1"/>
    </xf>
    <xf numFmtId="0" fontId="0" fillId="27" borderId="0" xfId="0" applyFill="1" applyAlignment="1" applyProtection="1">
      <alignment horizontal="left" vertical="center" wrapText="1" indent="2"/>
      <protection hidden="1"/>
    </xf>
    <xf numFmtId="0" fontId="38" fillId="27" borderId="0" xfId="0" applyFont="1" applyFill="1" applyAlignment="1" applyProtection="1">
      <alignment horizontal="left" indent="3"/>
      <protection hidden="1"/>
    </xf>
    <xf numFmtId="0" fontId="9" fillId="27" borderId="0" xfId="0" applyFont="1" applyFill="1" applyAlignment="1" applyProtection="1">
      <alignment horizontal="left" vertical="center" indent="3"/>
      <protection hidden="1"/>
    </xf>
    <xf numFmtId="0" fontId="7" fillId="28" borderId="0" xfId="0" applyFont="1" applyFill="1" applyAlignment="1" applyProtection="1">
      <alignment horizontal="left" vertical="center" indent="1"/>
      <protection hidden="1"/>
    </xf>
    <xf numFmtId="0" fontId="109" fillId="27" borderId="0" xfId="0" applyFont="1" applyFill="1" applyAlignment="1" applyProtection="1">
      <alignment horizontal="left" vertical="top" wrapText="1" indent="5"/>
      <protection hidden="1"/>
    </xf>
    <xf numFmtId="0" fontId="166" fillId="35" borderId="235" xfId="0" applyFont="1" applyFill="1" applyBorder="1" applyAlignment="1" applyProtection="1">
      <alignment horizontal="left" vertical="center" indent="1"/>
      <protection hidden="1"/>
    </xf>
    <xf numFmtId="0" fontId="136" fillId="35" borderId="236" xfId="0" applyFont="1" applyFill="1" applyBorder="1" applyAlignment="1" applyProtection="1">
      <alignment horizontal="left" vertical="top"/>
      <protection hidden="1"/>
    </xf>
    <xf numFmtId="0" fontId="0" fillId="35" borderId="237" xfId="0" applyFill="1" applyBorder="1" applyProtection="1">
      <protection hidden="1"/>
    </xf>
    <xf numFmtId="0" fontId="166" fillId="35" borderId="236" xfId="0" applyFont="1" applyFill="1" applyBorder="1" applyAlignment="1" applyProtection="1">
      <alignment horizontal="left" vertical="center" indent="1"/>
      <protection hidden="1"/>
    </xf>
    <xf numFmtId="0" fontId="166" fillId="35" borderId="237" xfId="0" applyFont="1" applyFill="1" applyBorder="1" applyAlignment="1" applyProtection="1">
      <alignment horizontal="left" vertical="center" indent="1"/>
      <protection hidden="1"/>
    </xf>
    <xf numFmtId="0" fontId="10" fillId="27" borderId="0" xfId="0" applyFont="1" applyFill="1" applyAlignment="1" applyProtection="1">
      <alignment horizontal="center" vertical="center"/>
      <protection hidden="1"/>
    </xf>
    <xf numFmtId="0" fontId="9" fillId="27" borderId="0" xfId="0" applyFont="1" applyFill="1" applyAlignment="1" applyProtection="1">
      <alignment horizontal="left" vertical="top" indent="2"/>
      <protection hidden="1"/>
    </xf>
    <xf numFmtId="0" fontId="9" fillId="27" borderId="0" xfId="0" applyFont="1" applyFill="1" applyAlignment="1" applyProtection="1">
      <alignment horizontal="left" vertical="top"/>
      <protection hidden="1"/>
    </xf>
    <xf numFmtId="0" fontId="38" fillId="27" borderId="0" xfId="0" applyFont="1" applyFill="1" applyAlignment="1" applyProtection="1">
      <alignment horizontal="left" vertical="top"/>
      <protection hidden="1"/>
    </xf>
    <xf numFmtId="0" fontId="38" fillId="27" borderId="0" xfId="0" applyFont="1" applyFill="1" applyAlignment="1" applyProtection="1">
      <alignment horizontal="left" vertical="top" indent="2"/>
      <protection hidden="1"/>
    </xf>
    <xf numFmtId="0" fontId="37" fillId="4" borderId="7" xfId="0" applyFont="1" applyFill="1" applyBorder="1" applyAlignment="1" applyProtection="1">
      <alignment horizontal="left" indent="2"/>
      <protection hidden="1"/>
    </xf>
    <xf numFmtId="0" fontId="37" fillId="4" borderId="0" xfId="0" applyFont="1" applyFill="1" applyAlignment="1" applyProtection="1">
      <alignment horizontal="left" indent="2"/>
      <protection hidden="1"/>
    </xf>
    <xf numFmtId="0" fontId="0" fillId="0" borderId="0" xfId="0" applyAlignment="1" applyProtection="1">
      <alignment horizontal="left" indent="2"/>
      <protection hidden="1"/>
    </xf>
    <xf numFmtId="0" fontId="35" fillId="4" borderId="7" xfId="0" applyFont="1" applyFill="1" applyBorder="1" applyAlignment="1" applyProtection="1">
      <alignment horizontal="left" vertical="center" indent="2"/>
      <protection hidden="1"/>
    </xf>
    <xf numFmtId="0" fontId="35" fillId="4" borderId="0" xfId="0" applyFont="1" applyFill="1" applyAlignment="1" applyProtection="1">
      <alignment horizontal="left" vertical="center" indent="2"/>
      <protection hidden="1"/>
    </xf>
    <xf numFmtId="0" fontId="0" fillId="27" borderId="8" xfId="0" applyFill="1" applyBorder="1" applyProtection="1">
      <protection hidden="1"/>
    </xf>
    <xf numFmtId="0" fontId="0" fillId="27" borderId="238" xfId="0" applyFill="1" applyBorder="1" applyProtection="1">
      <protection hidden="1"/>
    </xf>
    <xf numFmtId="0" fontId="159" fillId="4" borderId="7" xfId="0" applyFont="1" applyFill="1" applyBorder="1" applyAlignment="1" applyProtection="1">
      <alignment horizontal="right" vertical="center" wrapText="1" indent="1"/>
      <protection hidden="1"/>
    </xf>
    <xf numFmtId="0" fontId="159" fillId="4" borderId="0" xfId="0" applyFont="1" applyFill="1" applyAlignment="1" applyProtection="1">
      <alignment horizontal="right" vertical="center" indent="2"/>
      <protection hidden="1"/>
    </xf>
    <xf numFmtId="0" fontId="44" fillId="27" borderId="0" xfId="0" applyFont="1" applyFill="1" applyAlignment="1" applyProtection="1">
      <alignment horizontal="left"/>
      <protection hidden="1"/>
    </xf>
    <xf numFmtId="0" fontId="134" fillId="0" borderId="0" xfId="0" applyFont="1" applyAlignment="1" applyProtection="1">
      <alignment horizontal="left" vertical="center" indent="7"/>
      <protection hidden="1"/>
    </xf>
    <xf numFmtId="0" fontId="5" fillId="27" borderId="0" xfId="0" applyFont="1" applyFill="1" applyAlignment="1" applyProtection="1">
      <alignment vertical="top"/>
      <protection hidden="1"/>
    </xf>
    <xf numFmtId="0" fontId="72" fillId="27" borderId="52" xfId="0" applyFont="1" applyFill="1" applyBorder="1" applyAlignment="1" applyProtection="1">
      <alignment horizontal="left" vertical="center" indent="2"/>
      <protection hidden="1"/>
    </xf>
    <xf numFmtId="0" fontId="61" fillId="0" borderId="0" xfId="0" applyFont="1" applyAlignment="1" applyProtection="1">
      <alignment vertical="center"/>
      <protection hidden="1"/>
    </xf>
    <xf numFmtId="0" fontId="159" fillId="4" borderId="7" xfId="0" applyFont="1" applyFill="1" applyBorder="1" applyAlignment="1" applyProtection="1">
      <alignment vertical="center" wrapText="1"/>
      <protection hidden="1"/>
    </xf>
    <xf numFmtId="0" fontId="141" fillId="4" borderId="48" xfId="0" applyFont="1" applyFill="1" applyBorder="1" applyAlignment="1" applyProtection="1">
      <alignment horizontal="left" vertical="center" wrapText="1" indent="1"/>
      <protection locked="0"/>
    </xf>
    <xf numFmtId="0" fontId="141" fillId="4" borderId="1" xfId="0" applyFont="1" applyFill="1" applyBorder="1" applyAlignment="1" applyProtection="1">
      <alignment horizontal="left" vertical="center" wrapText="1" indent="1"/>
      <protection hidden="1"/>
    </xf>
    <xf numFmtId="0" fontId="6" fillId="4" borderId="1" xfId="0" applyFont="1" applyFill="1" applyBorder="1" applyAlignment="1" applyProtection="1">
      <alignment horizontal="left" vertical="center" indent="1"/>
      <protection hidden="1"/>
    </xf>
    <xf numFmtId="0" fontId="141" fillId="4" borderId="0" xfId="0" applyFont="1" applyFill="1" applyAlignment="1" applyProtection="1">
      <alignment vertical="center" wrapText="1"/>
      <protection locked="0"/>
    </xf>
    <xf numFmtId="0" fontId="170" fillId="5" borderId="52" xfId="0" applyFont="1" applyFill="1" applyBorder="1" applyAlignment="1" applyProtection="1">
      <alignment horizontal="left" vertical="center" indent="2"/>
      <protection hidden="1"/>
    </xf>
    <xf numFmtId="0" fontId="171" fillId="5" borderId="0" xfId="0" applyFont="1" applyFill="1" applyAlignment="1" applyProtection="1">
      <alignment horizontal="left" vertical="top"/>
      <protection hidden="1"/>
    </xf>
    <xf numFmtId="0" fontId="44" fillId="5" borderId="0" xfId="0" applyFont="1" applyFill="1" applyAlignment="1" applyProtection="1">
      <alignment horizontal="left" vertical="center" indent="6"/>
      <protection hidden="1"/>
    </xf>
    <xf numFmtId="0" fontId="9" fillId="5" borderId="0" xfId="0" applyFont="1" applyFill="1" applyAlignment="1" applyProtection="1">
      <alignment horizontal="left" indent="6"/>
      <protection hidden="1"/>
    </xf>
    <xf numFmtId="164" fontId="40" fillId="31" borderId="248" xfId="0" applyNumberFormat="1" applyFont="1" applyFill="1" applyBorder="1" applyAlignment="1" applyProtection="1">
      <alignment horizontal="center" vertical="center"/>
      <protection locked="0"/>
    </xf>
    <xf numFmtId="0" fontId="146" fillId="4" borderId="249" xfId="0" applyFont="1" applyFill="1" applyBorder="1" applyAlignment="1" applyProtection="1">
      <alignment horizontal="left" vertical="center"/>
      <protection locked="0"/>
    </xf>
    <xf numFmtId="0" fontId="173" fillId="4" borderId="48" xfId="0" applyFont="1" applyFill="1" applyBorder="1" applyAlignment="1" applyProtection="1">
      <alignment horizontal="right" vertical="center" wrapText="1"/>
      <protection hidden="1"/>
    </xf>
    <xf numFmtId="0" fontId="173" fillId="4" borderId="0" xfId="0" applyFont="1" applyFill="1" applyAlignment="1" applyProtection="1">
      <alignment horizontal="right" vertical="center" wrapText="1"/>
      <protection hidden="1"/>
    </xf>
    <xf numFmtId="0" fontId="0" fillId="0" borderId="63" xfId="0" applyBorder="1"/>
    <xf numFmtId="0" fontId="31" fillId="4" borderId="23" xfId="0" applyFont="1" applyFill="1" applyBorder="1" applyAlignment="1" applyProtection="1">
      <alignment horizontal="left" indent="1"/>
      <protection hidden="1"/>
    </xf>
    <xf numFmtId="0" fontId="31" fillId="4" borderId="38" xfId="0" applyFont="1" applyFill="1" applyBorder="1" applyAlignment="1" applyProtection="1">
      <alignment horizontal="left" vertical="top"/>
      <protection hidden="1"/>
    </xf>
    <xf numFmtId="0" fontId="0" fillId="4" borderId="38" xfId="0" applyFill="1" applyBorder="1" applyProtection="1">
      <protection hidden="1"/>
    </xf>
    <xf numFmtId="0" fontId="0" fillId="4" borderId="38" xfId="0" applyFill="1" applyBorder="1" applyAlignment="1" applyProtection="1">
      <alignment vertical="center"/>
      <protection hidden="1"/>
    </xf>
    <xf numFmtId="0" fontId="14" fillId="4" borderId="38" xfId="0" applyFont="1" applyFill="1" applyBorder="1" applyAlignment="1" applyProtection="1">
      <alignment vertical="center"/>
      <protection hidden="1"/>
    </xf>
    <xf numFmtId="0" fontId="31" fillId="5" borderId="250" xfId="0" applyFont="1" applyFill="1" applyBorder="1" applyAlignment="1" applyProtection="1">
      <alignment horizontal="left" indent="1"/>
      <protection hidden="1"/>
    </xf>
    <xf numFmtId="0" fontId="0" fillId="5" borderId="250" xfId="0" applyFill="1" applyBorder="1" applyAlignment="1" applyProtection="1">
      <alignment vertical="center"/>
      <protection hidden="1"/>
    </xf>
    <xf numFmtId="0" fontId="5" fillId="5" borderId="250" xfId="0" applyFont="1" applyFill="1" applyBorder="1" applyAlignment="1" applyProtection="1">
      <alignment vertical="center"/>
      <protection hidden="1"/>
    </xf>
    <xf numFmtId="0" fontId="12" fillId="5" borderId="250" xfId="0" applyFont="1" applyFill="1" applyBorder="1" applyAlignment="1" applyProtection="1">
      <alignment vertical="center"/>
      <protection hidden="1"/>
    </xf>
    <xf numFmtId="0" fontId="12" fillId="5" borderId="250" xfId="0" applyFont="1" applyFill="1" applyBorder="1" applyProtection="1">
      <protection hidden="1"/>
    </xf>
    <xf numFmtId="0" fontId="31" fillId="4" borderId="19" xfId="0" applyFont="1" applyFill="1" applyBorder="1" applyAlignment="1" applyProtection="1">
      <alignment horizontal="left" vertical="top"/>
      <protection hidden="1"/>
    </xf>
    <xf numFmtId="0" fontId="10" fillId="4" borderId="20" xfId="0" applyFont="1" applyFill="1" applyBorder="1" applyProtection="1">
      <protection hidden="1"/>
    </xf>
    <xf numFmtId="0" fontId="31" fillId="4" borderId="20" xfId="0" applyFont="1" applyFill="1" applyBorder="1" applyAlignment="1" applyProtection="1">
      <alignment horizontal="left" indent="1"/>
      <protection hidden="1"/>
    </xf>
    <xf numFmtId="0" fontId="1" fillId="4" borderId="20" xfId="0" applyFont="1" applyFill="1" applyBorder="1" applyProtection="1">
      <protection hidden="1"/>
    </xf>
    <xf numFmtId="0" fontId="28" fillId="4" borderId="20" xfId="0" applyFont="1" applyFill="1" applyBorder="1" applyAlignment="1" applyProtection="1">
      <alignment horizontal="left" vertical="center" indent="1"/>
      <protection hidden="1"/>
    </xf>
    <xf numFmtId="0" fontId="31" fillId="4" borderId="20" xfId="0" applyFont="1" applyFill="1" applyBorder="1" applyAlignment="1" applyProtection="1">
      <alignment horizontal="left" vertical="top"/>
      <protection hidden="1"/>
    </xf>
    <xf numFmtId="0" fontId="31" fillId="4" borderId="20" xfId="0" applyFont="1" applyFill="1" applyBorder="1" applyAlignment="1" applyProtection="1">
      <alignment horizontal="left" vertical="center"/>
      <protection hidden="1"/>
    </xf>
    <xf numFmtId="0" fontId="31" fillId="4" borderId="21" xfId="0" applyFont="1" applyFill="1" applyBorder="1" applyAlignment="1" applyProtection="1">
      <alignment horizontal="center" vertical="center"/>
      <protection hidden="1"/>
    </xf>
    <xf numFmtId="0" fontId="0" fillId="0" borderId="23" xfId="0" applyBorder="1" applyAlignment="1" applyProtection="1">
      <alignment vertical="center"/>
      <protection hidden="1"/>
    </xf>
    <xf numFmtId="0" fontId="17" fillId="4" borderId="23" xfId="0" applyFont="1" applyFill="1" applyBorder="1" applyAlignment="1" applyProtection="1">
      <alignment horizontal="left" vertical="center" indent="1"/>
      <protection hidden="1"/>
    </xf>
    <xf numFmtId="0" fontId="47" fillId="4" borderId="22" xfId="0" applyFont="1" applyFill="1" applyBorder="1" applyAlignment="1" applyProtection="1">
      <alignment horizontal="left"/>
      <protection hidden="1"/>
    </xf>
    <xf numFmtId="3" fontId="19" fillId="4" borderId="0" xfId="0" applyNumberFormat="1" applyFont="1" applyFill="1" applyAlignment="1" applyProtection="1">
      <alignment vertical="center"/>
      <protection hidden="1"/>
    </xf>
    <xf numFmtId="0" fontId="17" fillId="4" borderId="22" xfId="0" applyFont="1" applyFill="1" applyBorder="1" applyAlignment="1" applyProtection="1">
      <alignment horizontal="left" vertical="center" indent="1"/>
      <protection hidden="1"/>
    </xf>
    <xf numFmtId="3" fontId="19" fillId="4" borderId="22" xfId="0" applyNumberFormat="1" applyFont="1" applyFill="1" applyBorder="1" applyAlignment="1" applyProtection="1">
      <alignment vertical="center"/>
      <protection hidden="1"/>
    </xf>
    <xf numFmtId="0" fontId="14" fillId="4" borderId="23" xfId="0" applyFont="1" applyFill="1" applyBorder="1" applyAlignment="1" applyProtection="1">
      <alignment horizontal="right" vertical="center"/>
      <protection hidden="1"/>
    </xf>
    <xf numFmtId="0" fontId="10" fillId="36" borderId="44" xfId="0" applyFont="1" applyFill="1" applyBorder="1" applyProtection="1">
      <protection hidden="1"/>
    </xf>
    <xf numFmtId="0" fontId="31" fillId="36" borderId="44" xfId="0" applyFont="1" applyFill="1" applyBorder="1" applyAlignment="1" applyProtection="1">
      <alignment horizontal="left" indent="1"/>
      <protection hidden="1"/>
    </xf>
    <xf numFmtId="0" fontId="1" fillId="36" borderId="44" xfId="0" applyFont="1" applyFill="1" applyBorder="1" applyProtection="1">
      <protection hidden="1"/>
    </xf>
    <xf numFmtId="0" fontId="12" fillId="36" borderId="44" xfId="0" applyFont="1" applyFill="1" applyBorder="1" applyProtection="1">
      <protection hidden="1"/>
    </xf>
    <xf numFmtId="0" fontId="28" fillId="36" borderId="44" xfId="0" applyFont="1" applyFill="1" applyBorder="1" applyAlignment="1" applyProtection="1">
      <alignment horizontal="left" vertical="center" indent="1"/>
      <protection hidden="1"/>
    </xf>
    <xf numFmtId="0" fontId="31" fillId="36" borderId="44" xfId="0" applyFont="1" applyFill="1" applyBorder="1" applyAlignment="1" applyProtection="1">
      <alignment horizontal="left" vertical="top"/>
      <protection hidden="1"/>
    </xf>
    <xf numFmtId="0" fontId="31" fillId="36" borderId="44" xfId="0" applyFont="1" applyFill="1" applyBorder="1" applyAlignment="1" applyProtection="1">
      <alignment horizontal="left" vertical="center"/>
      <protection hidden="1"/>
    </xf>
    <xf numFmtId="0" fontId="0" fillId="36" borderId="43" xfId="0" applyFill="1" applyBorder="1" applyProtection="1">
      <protection hidden="1"/>
    </xf>
    <xf numFmtId="0" fontId="28" fillId="36" borderId="44" xfId="0" applyFont="1" applyFill="1" applyBorder="1" applyAlignment="1" applyProtection="1">
      <alignment horizontal="left" vertical="top" indent="3"/>
      <protection hidden="1"/>
    </xf>
    <xf numFmtId="0" fontId="31" fillId="36" borderId="44" xfId="0" applyFont="1" applyFill="1" applyBorder="1" applyAlignment="1" applyProtection="1">
      <alignment horizontal="center" vertical="center"/>
      <protection hidden="1"/>
    </xf>
    <xf numFmtId="0" fontId="10" fillId="36" borderId="43" xfId="0" applyFont="1" applyFill="1" applyBorder="1" applyProtection="1">
      <protection hidden="1"/>
    </xf>
    <xf numFmtId="0" fontId="1" fillId="10" borderId="0" xfId="0" applyFont="1" applyFill="1" applyAlignment="1" applyProtection="1">
      <alignment vertical="center"/>
      <protection hidden="1"/>
    </xf>
    <xf numFmtId="0" fontId="183" fillId="9" borderId="0" xfId="0" applyFont="1" applyFill="1" applyAlignment="1" applyProtection="1">
      <alignment horizontal="right" vertical="center"/>
      <protection hidden="1"/>
    </xf>
    <xf numFmtId="0" fontId="137" fillId="9" borderId="0" xfId="0" applyFont="1" applyFill="1" applyAlignment="1" applyProtection="1">
      <alignment horizontal="right"/>
      <protection hidden="1"/>
    </xf>
    <xf numFmtId="0" fontId="184" fillId="9" borderId="0" xfId="0" applyFont="1" applyFill="1" applyAlignment="1" applyProtection="1">
      <alignment vertical="top"/>
      <protection hidden="1"/>
    </xf>
    <xf numFmtId="0" fontId="185" fillId="9" borderId="0" xfId="0" applyFont="1" applyFill="1" applyAlignment="1" applyProtection="1">
      <alignment horizontal="right" vertical="top"/>
      <protection hidden="1"/>
    </xf>
    <xf numFmtId="0" fontId="186" fillId="36" borderId="42" xfId="0" applyFont="1" applyFill="1" applyBorder="1" applyAlignment="1" applyProtection="1">
      <alignment horizontal="left" vertical="center" indent="1"/>
      <protection hidden="1"/>
    </xf>
    <xf numFmtId="0" fontId="51" fillId="23" borderId="5" xfId="0" applyFont="1" applyFill="1" applyBorder="1" applyAlignment="1" applyProtection="1">
      <alignment horizontal="left" vertical="center" wrapText="1" indent="1"/>
      <protection locked="0"/>
    </xf>
    <xf numFmtId="0" fontId="187" fillId="36" borderId="44" xfId="0" applyFont="1" applyFill="1" applyBorder="1" applyProtection="1">
      <protection hidden="1"/>
    </xf>
    <xf numFmtId="0" fontId="187" fillId="36" borderId="44" xfId="0" applyFont="1" applyFill="1" applyBorder="1" applyAlignment="1" applyProtection="1">
      <alignment horizontal="left" vertical="top"/>
      <protection hidden="1"/>
    </xf>
    <xf numFmtId="0" fontId="187" fillId="36" borderId="44" xfId="0" applyFont="1" applyFill="1" applyBorder="1" applyAlignment="1" applyProtection="1">
      <alignment horizontal="left" vertical="center"/>
      <protection hidden="1"/>
    </xf>
    <xf numFmtId="0" fontId="187" fillId="36" borderId="44" xfId="0" applyFont="1" applyFill="1" applyBorder="1" applyAlignment="1" applyProtection="1">
      <alignment horizontal="center" vertical="center"/>
      <protection hidden="1"/>
    </xf>
    <xf numFmtId="0" fontId="187" fillId="36" borderId="44" xfId="0" applyFont="1" applyFill="1" applyBorder="1" applyAlignment="1" applyProtection="1">
      <alignment horizontal="left" indent="1"/>
      <protection hidden="1"/>
    </xf>
    <xf numFmtId="0" fontId="186" fillId="36" borderId="44" xfId="0" applyFont="1" applyFill="1" applyBorder="1" applyProtection="1">
      <protection hidden="1"/>
    </xf>
    <xf numFmtId="0" fontId="186" fillId="36" borderId="44" xfId="0" applyFont="1" applyFill="1" applyBorder="1" applyAlignment="1" applyProtection="1">
      <alignment horizontal="left" vertical="top" indent="3"/>
      <protection hidden="1"/>
    </xf>
    <xf numFmtId="0" fontId="186" fillId="36" borderId="43" xfId="0" applyFont="1" applyFill="1" applyBorder="1" applyAlignment="1" applyProtection="1">
      <alignment horizontal="left" vertical="top" indent="3"/>
      <protection hidden="1"/>
    </xf>
    <xf numFmtId="0" fontId="10" fillId="0" borderId="0" xfId="0" applyFont="1" applyProtection="1">
      <protection hidden="1"/>
    </xf>
    <xf numFmtId="0" fontId="125" fillId="4" borderId="0" xfId="0" applyFont="1" applyFill="1" applyAlignment="1" applyProtection="1">
      <alignment horizontal="left" vertical="center"/>
      <protection hidden="1"/>
    </xf>
    <xf numFmtId="0" fontId="125" fillId="4" borderId="22" xfId="0" applyFont="1" applyFill="1" applyBorder="1" applyAlignment="1" applyProtection="1">
      <alignment horizontal="left" vertical="center" indent="1"/>
      <protection hidden="1"/>
    </xf>
    <xf numFmtId="0" fontId="64" fillId="4" borderId="0" xfId="0" applyFont="1" applyFill="1" applyAlignment="1" applyProtection="1">
      <alignment vertical="center" wrapText="1"/>
      <protection hidden="1"/>
    </xf>
    <xf numFmtId="0" fontId="128" fillId="0" borderId="143" xfId="0" applyFont="1" applyBorder="1" applyAlignment="1" applyProtection="1">
      <alignment vertical="center"/>
      <protection hidden="1"/>
    </xf>
    <xf numFmtId="0" fontId="14" fillId="4" borderId="252" xfId="0" applyFont="1" applyFill="1" applyBorder="1" applyAlignment="1" applyProtection="1">
      <alignment horizontal="right" wrapText="1"/>
      <protection hidden="1"/>
    </xf>
    <xf numFmtId="0" fontId="0" fillId="0" borderId="251" xfId="0" applyBorder="1" applyProtection="1">
      <protection hidden="1"/>
    </xf>
    <xf numFmtId="0" fontId="129" fillId="0" borderId="254" xfId="0" applyFont="1" applyBorder="1" applyProtection="1">
      <protection hidden="1"/>
    </xf>
    <xf numFmtId="0" fontId="16" fillId="4" borderId="0" xfId="0" applyFont="1" applyFill="1" applyAlignment="1" applyProtection="1">
      <alignment horizontal="left" vertical="center"/>
      <protection hidden="1"/>
    </xf>
    <xf numFmtId="0" fontId="15" fillId="4" borderId="143" xfId="0" applyFont="1" applyFill="1" applyBorder="1" applyAlignment="1" applyProtection="1">
      <alignment horizontal="left" vertical="center" indent="1"/>
      <protection hidden="1"/>
    </xf>
    <xf numFmtId="0" fontId="24" fillId="4" borderId="23" xfId="0" applyFont="1" applyFill="1" applyBorder="1" applyAlignment="1" applyProtection="1">
      <alignment horizontal="left" vertical="center" wrapText="1" indent="3"/>
      <protection hidden="1"/>
    </xf>
    <xf numFmtId="0" fontId="15" fillId="4" borderId="23" xfId="0" applyFont="1" applyFill="1" applyBorder="1" applyAlignment="1" applyProtection="1">
      <alignment horizontal="left" indent="4"/>
      <protection hidden="1"/>
    </xf>
    <xf numFmtId="0" fontId="48" fillId="4" borderId="22" xfId="0" applyFont="1" applyFill="1" applyBorder="1" applyAlignment="1" applyProtection="1">
      <alignment vertical="center" wrapText="1"/>
      <protection hidden="1"/>
    </xf>
    <xf numFmtId="0" fontId="14" fillId="4" borderId="22" xfId="0" applyFont="1" applyFill="1" applyBorder="1" applyAlignment="1" applyProtection="1">
      <alignment wrapText="1"/>
      <protection hidden="1"/>
    </xf>
    <xf numFmtId="0" fontId="5" fillId="0" borderId="22" xfId="0" applyFont="1" applyBorder="1" applyProtection="1">
      <protection hidden="1"/>
    </xf>
    <xf numFmtId="0" fontId="5" fillId="0" borderId="22" xfId="0" applyFont="1" applyBorder="1" applyAlignment="1" applyProtection="1">
      <alignment vertical="center"/>
      <protection hidden="1"/>
    </xf>
    <xf numFmtId="0" fontId="24" fillId="4" borderId="131" xfId="0" applyFont="1" applyFill="1" applyBorder="1" applyAlignment="1" applyProtection="1">
      <alignment horizontal="left" vertical="center" wrapText="1" indent="1"/>
      <protection hidden="1"/>
    </xf>
    <xf numFmtId="0" fontId="24" fillId="4" borderId="255" xfId="0" applyFont="1" applyFill="1" applyBorder="1" applyAlignment="1" applyProtection="1">
      <alignment horizontal="left" vertical="center" wrapText="1" indent="1"/>
      <protection hidden="1"/>
    </xf>
    <xf numFmtId="0" fontId="29" fillId="5" borderId="27" xfId="0" applyFont="1" applyFill="1" applyBorder="1" applyAlignment="1" applyProtection="1">
      <alignment horizontal="left" vertical="top" indent="1"/>
      <protection hidden="1"/>
    </xf>
    <xf numFmtId="0" fontId="14" fillId="5" borderId="27" xfId="0" applyFont="1" applyFill="1" applyBorder="1" applyAlignment="1" applyProtection="1">
      <alignment wrapText="1"/>
      <protection hidden="1"/>
    </xf>
    <xf numFmtId="0" fontId="48" fillId="0" borderId="0" xfId="0" applyFont="1" applyAlignment="1" applyProtection="1">
      <alignment vertical="center" wrapText="1"/>
      <protection hidden="1"/>
    </xf>
    <xf numFmtId="0" fontId="0" fillId="4" borderId="131" xfId="0" applyFill="1" applyBorder="1" applyProtection="1">
      <protection hidden="1"/>
    </xf>
    <xf numFmtId="0" fontId="13" fillId="4" borderId="0" xfId="0" applyFont="1" applyFill="1" applyAlignment="1" applyProtection="1">
      <alignment vertical="top"/>
      <protection hidden="1"/>
    </xf>
    <xf numFmtId="0" fontId="131" fillId="4" borderId="0" xfId="0" applyFont="1" applyFill="1" applyAlignment="1" applyProtection="1">
      <alignment vertical="center"/>
      <protection hidden="1"/>
    </xf>
    <xf numFmtId="0" fontId="141" fillId="23" borderId="179" xfId="0" applyFont="1" applyFill="1" applyBorder="1" applyAlignment="1" applyProtection="1">
      <alignment horizontal="left" vertical="top" wrapText="1" indent="1"/>
      <protection locked="0"/>
    </xf>
    <xf numFmtId="0" fontId="14" fillId="4" borderId="256" xfId="0" applyFont="1" applyFill="1" applyBorder="1" applyProtection="1">
      <protection hidden="1"/>
    </xf>
    <xf numFmtId="0" fontId="26" fillId="4" borderId="20" xfId="0" applyFont="1" applyFill="1" applyBorder="1" applyProtection="1">
      <protection hidden="1"/>
    </xf>
    <xf numFmtId="0" fontId="83" fillId="0" borderId="0" xfId="0" applyFont="1" applyProtection="1">
      <protection hidden="1"/>
    </xf>
    <xf numFmtId="0" fontId="75" fillId="0" borderId="0" xfId="0" applyFont="1" applyProtection="1">
      <protection hidden="1"/>
    </xf>
    <xf numFmtId="0" fontId="83" fillId="0" borderId="0" xfId="0" applyFont="1" applyAlignment="1" applyProtection="1">
      <alignment vertical="center"/>
      <protection hidden="1"/>
    </xf>
    <xf numFmtId="0" fontId="26" fillId="4" borderId="19" xfId="0" applyFont="1" applyFill="1" applyBorder="1" applyProtection="1">
      <protection hidden="1"/>
    </xf>
    <xf numFmtId="0" fontId="83" fillId="4" borderId="22" xfId="0" applyFont="1" applyFill="1" applyBorder="1" applyAlignment="1" applyProtection="1">
      <alignment horizontal="left" vertical="center"/>
      <protection hidden="1"/>
    </xf>
    <xf numFmtId="0" fontId="189" fillId="5" borderId="0" xfId="0" applyFont="1" applyFill="1" applyAlignment="1" applyProtection="1">
      <alignment vertical="center" wrapText="1"/>
      <protection hidden="1"/>
    </xf>
    <xf numFmtId="0" fontId="1" fillId="5" borderId="0" xfId="0" applyFont="1" applyFill="1" applyAlignment="1" applyProtection="1">
      <alignment horizontal="right" vertical="center" wrapText="1"/>
      <protection hidden="1"/>
    </xf>
    <xf numFmtId="0" fontId="3" fillId="33" borderId="56" xfId="0" applyFont="1" applyFill="1" applyBorder="1" applyAlignment="1" applyProtection="1">
      <alignment vertical="center" wrapText="1"/>
      <protection hidden="1"/>
    </xf>
    <xf numFmtId="0" fontId="3" fillId="33" borderId="55" xfId="0" applyFont="1" applyFill="1" applyBorder="1" applyAlignment="1" applyProtection="1">
      <alignment vertical="center" wrapText="1"/>
      <protection hidden="1"/>
    </xf>
    <xf numFmtId="0" fontId="3" fillId="33" borderId="57" xfId="0" applyFont="1" applyFill="1" applyBorder="1" applyAlignment="1" applyProtection="1">
      <alignment vertical="center" wrapText="1"/>
      <protection hidden="1"/>
    </xf>
    <xf numFmtId="0" fontId="147" fillId="33" borderId="265" xfId="0" applyFont="1" applyFill="1" applyBorder="1" applyAlignment="1" applyProtection="1">
      <alignment horizontal="left" vertical="center" indent="1"/>
      <protection hidden="1"/>
    </xf>
    <xf numFmtId="0" fontId="35" fillId="4" borderId="267" xfId="0" applyFont="1" applyFill="1" applyBorder="1" applyAlignment="1" applyProtection="1">
      <alignment horizontal="left" vertical="center" indent="1"/>
      <protection hidden="1"/>
    </xf>
    <xf numFmtId="0" fontId="5" fillId="4" borderId="271" xfId="0" applyFont="1" applyFill="1" applyBorder="1" applyAlignment="1" applyProtection="1">
      <alignment horizontal="left" vertical="center" indent="1"/>
      <protection hidden="1"/>
    </xf>
    <xf numFmtId="0" fontId="35" fillId="4" borderId="278" xfId="0" applyFont="1" applyFill="1" applyBorder="1" applyAlignment="1" applyProtection="1">
      <alignment horizontal="left" vertical="center" indent="1"/>
      <protection hidden="1"/>
    </xf>
    <xf numFmtId="0" fontId="147" fillId="33" borderId="52" xfId="0" applyFont="1" applyFill="1" applyBorder="1" applyAlignment="1" applyProtection="1">
      <alignment horizontal="left" vertical="center" indent="1"/>
      <protection hidden="1"/>
    </xf>
    <xf numFmtId="164" fontId="148" fillId="33" borderId="284" xfId="0" applyNumberFormat="1" applyFont="1" applyFill="1" applyBorder="1" applyAlignment="1">
      <alignment horizontal="center" vertical="center"/>
    </xf>
    <xf numFmtId="164" fontId="148" fillId="33" borderId="285" xfId="0" applyNumberFormat="1" applyFont="1" applyFill="1" applyBorder="1" applyAlignment="1">
      <alignment horizontal="center" vertical="center"/>
    </xf>
    <xf numFmtId="164" fontId="148" fillId="33" borderId="286" xfId="0" applyNumberFormat="1" applyFont="1" applyFill="1" applyBorder="1" applyAlignment="1">
      <alignment horizontal="center" vertical="center"/>
    </xf>
    <xf numFmtId="0" fontId="0" fillId="0" borderId="8" xfId="0" applyBorder="1" applyAlignment="1">
      <alignment horizontal="left"/>
    </xf>
    <xf numFmtId="164" fontId="4" fillId="0" borderId="8" xfId="0" applyNumberFormat="1" applyFont="1" applyBorder="1"/>
    <xf numFmtId="164" fontId="5" fillId="0" borderId="8" xfId="0" applyNumberFormat="1" applyFont="1" applyBorder="1"/>
    <xf numFmtId="164" fontId="0" fillId="0" borderId="8" xfId="0" applyNumberFormat="1" applyBorder="1"/>
    <xf numFmtId="0" fontId="0" fillId="0" borderId="2" xfId="0" applyBorder="1" applyAlignment="1">
      <alignment horizontal="left"/>
    </xf>
    <xf numFmtId="164" fontId="5" fillId="0" borderId="2" xfId="0" applyNumberFormat="1" applyFont="1" applyBorder="1"/>
    <xf numFmtId="164" fontId="0" fillId="0" borderId="2" xfId="0" applyNumberFormat="1" applyBorder="1"/>
    <xf numFmtId="0" fontId="0" fillId="0" borderId="48" xfId="0" applyBorder="1" applyAlignment="1">
      <alignment vertical="center"/>
    </xf>
    <xf numFmtId="164" fontId="40" fillId="31" borderId="146" xfId="0" applyNumberFormat="1" applyFont="1" applyFill="1" applyBorder="1" applyAlignment="1" applyProtection="1">
      <alignment horizontal="center" vertical="center"/>
      <protection locked="0"/>
    </xf>
    <xf numFmtId="164" fontId="40" fillId="31" borderId="147" xfId="0" applyNumberFormat="1" applyFont="1" applyFill="1" applyBorder="1" applyAlignment="1" applyProtection="1">
      <alignment horizontal="center" vertical="center"/>
      <protection locked="0"/>
    </xf>
    <xf numFmtId="164" fontId="40" fillId="31" borderId="148" xfId="0" applyNumberFormat="1" applyFont="1" applyFill="1" applyBorder="1" applyAlignment="1" applyProtection="1">
      <alignment horizontal="center" vertical="center"/>
      <protection locked="0"/>
    </xf>
    <xf numFmtId="164" fontId="40" fillId="31" borderId="289" xfId="0" applyNumberFormat="1" applyFont="1" applyFill="1" applyBorder="1" applyAlignment="1" applyProtection="1">
      <alignment horizontal="center" vertical="center"/>
      <protection locked="0"/>
    </xf>
    <xf numFmtId="164" fontId="40" fillId="31" borderId="290" xfId="0" applyNumberFormat="1" applyFont="1" applyFill="1" applyBorder="1" applyAlignment="1" applyProtection="1">
      <alignment horizontal="center" vertical="center"/>
      <protection locked="0"/>
    </xf>
    <xf numFmtId="164" fontId="40" fillId="31" borderId="291" xfId="0" applyNumberFormat="1" applyFont="1" applyFill="1" applyBorder="1" applyAlignment="1" applyProtection="1">
      <alignment horizontal="center" vertical="center"/>
      <protection locked="0"/>
    </xf>
    <xf numFmtId="164" fontId="40" fillId="31" borderId="292" xfId="0" applyNumberFormat="1" applyFont="1" applyFill="1" applyBorder="1" applyAlignment="1" applyProtection="1">
      <alignment horizontal="center" vertical="center"/>
      <protection locked="0"/>
    </xf>
    <xf numFmtId="164" fontId="79" fillId="4" borderId="32" xfId="0" applyNumberFormat="1" applyFont="1" applyFill="1" applyBorder="1" applyAlignment="1" applyProtection="1">
      <alignment vertical="center"/>
      <protection hidden="1"/>
    </xf>
    <xf numFmtId="164" fontId="79" fillId="4" borderId="31" xfId="0" applyNumberFormat="1" applyFont="1" applyFill="1" applyBorder="1" applyAlignment="1" applyProtection="1">
      <alignment vertical="center"/>
      <protection hidden="1"/>
    </xf>
    <xf numFmtId="164" fontId="79" fillId="4" borderId="30" xfId="0" applyNumberFormat="1" applyFont="1" applyFill="1" applyBorder="1" applyAlignment="1" applyProtection="1">
      <alignment vertical="center"/>
      <protection hidden="1"/>
    </xf>
    <xf numFmtId="164" fontId="79" fillId="4" borderId="28" xfId="0" applyNumberFormat="1" applyFont="1" applyFill="1" applyBorder="1" applyAlignment="1" applyProtection="1">
      <alignment vertical="center"/>
      <protection hidden="1"/>
    </xf>
    <xf numFmtId="164" fontId="79" fillId="4" borderId="29" xfId="0" applyNumberFormat="1" applyFont="1" applyFill="1" applyBorder="1" applyAlignment="1" applyProtection="1">
      <alignment vertical="center"/>
      <protection hidden="1"/>
    </xf>
    <xf numFmtId="164" fontId="79" fillId="4" borderId="33" xfId="0" applyNumberFormat="1" applyFont="1" applyFill="1" applyBorder="1" applyAlignment="1" applyProtection="1">
      <alignment vertical="center"/>
      <protection hidden="1"/>
    </xf>
    <xf numFmtId="164" fontId="74" fillId="4" borderId="0" xfId="0" applyNumberFormat="1" applyFont="1" applyFill="1" applyAlignment="1" applyProtection="1">
      <alignment horizontal="right"/>
      <protection hidden="1"/>
    </xf>
    <xf numFmtId="0" fontId="74" fillId="4" borderId="0" xfId="0" applyFont="1" applyFill="1" applyAlignment="1" applyProtection="1">
      <alignment horizontal="right"/>
      <protection hidden="1"/>
    </xf>
    <xf numFmtId="0" fontId="0" fillId="0" borderId="0" xfId="0" applyAlignment="1" applyProtection="1">
      <alignment horizontal="right"/>
      <protection hidden="1"/>
    </xf>
    <xf numFmtId="0" fontId="0" fillId="0" borderId="0" xfId="0" applyAlignment="1" applyProtection="1">
      <alignment horizontal="right" indent="1"/>
      <protection hidden="1"/>
    </xf>
    <xf numFmtId="0" fontId="74" fillId="4" borderId="0" xfId="0" applyFont="1" applyFill="1" applyAlignment="1" applyProtection="1">
      <alignment horizontal="right" indent="2"/>
      <protection hidden="1"/>
    </xf>
    <xf numFmtId="164" fontId="74" fillId="4" borderId="0" xfId="0" applyNumberFormat="1" applyFont="1" applyFill="1" applyAlignment="1" applyProtection="1">
      <alignment horizontal="right" indent="2"/>
      <protection hidden="1"/>
    </xf>
    <xf numFmtId="164" fontId="74" fillId="4" borderId="0" xfId="0" applyNumberFormat="1" applyFont="1" applyFill="1" applyAlignment="1" applyProtection="1">
      <alignment horizontal="right" vertical="center" indent="2"/>
      <protection hidden="1"/>
    </xf>
    <xf numFmtId="164" fontId="74" fillId="4" borderId="0" xfId="0" applyNumberFormat="1" applyFont="1" applyFill="1" applyAlignment="1" applyProtection="1">
      <alignment horizontal="right" vertical="center"/>
      <protection hidden="1"/>
    </xf>
    <xf numFmtId="0" fontId="200" fillId="0" borderId="0" xfId="0" applyFont="1" applyProtection="1">
      <protection hidden="1"/>
    </xf>
    <xf numFmtId="0" fontId="199" fillId="4" borderId="0" xfId="0" applyFont="1" applyFill="1" applyAlignment="1" applyProtection="1">
      <alignment horizontal="right" indent="1"/>
      <protection hidden="1"/>
    </xf>
    <xf numFmtId="0" fontId="199" fillId="4" borderId="0" xfId="0" applyFont="1" applyFill="1" applyAlignment="1" applyProtection="1">
      <alignment horizontal="right"/>
      <protection hidden="1"/>
    </xf>
    <xf numFmtId="0" fontId="199" fillId="4" borderId="0" xfId="0" applyFont="1" applyFill="1" applyProtection="1">
      <protection hidden="1"/>
    </xf>
    <xf numFmtId="0" fontId="57" fillId="4" borderId="0" xfId="0" applyFont="1" applyFill="1" applyAlignment="1" applyProtection="1">
      <alignment horizontal="left" vertical="center" indent="1"/>
      <protection hidden="1"/>
    </xf>
    <xf numFmtId="0" fontId="32" fillId="4" borderId="32" xfId="0" applyFont="1" applyFill="1" applyBorder="1" applyAlignment="1" applyProtection="1">
      <alignment horizontal="left" vertical="top"/>
      <protection hidden="1"/>
    </xf>
    <xf numFmtId="0" fontId="32" fillId="4" borderId="31" xfId="0" applyFont="1" applyFill="1" applyBorder="1" applyAlignment="1" applyProtection="1">
      <alignment horizontal="left" vertical="top"/>
      <protection hidden="1"/>
    </xf>
    <xf numFmtId="164" fontId="57" fillId="4" borderId="0" xfId="0" applyNumberFormat="1" applyFont="1" applyFill="1" applyAlignment="1" applyProtection="1">
      <alignment horizontal="left" vertical="top" indent="1"/>
      <protection hidden="1"/>
    </xf>
    <xf numFmtId="0" fontId="32" fillId="4" borderId="30" xfId="0" applyFont="1" applyFill="1" applyBorder="1" applyAlignment="1" applyProtection="1">
      <alignment horizontal="left" vertical="top"/>
      <protection hidden="1"/>
    </xf>
    <xf numFmtId="0" fontId="32" fillId="4" borderId="28" xfId="0" applyFont="1" applyFill="1" applyBorder="1" applyAlignment="1" applyProtection="1">
      <alignment horizontal="left" vertical="top"/>
      <protection hidden="1"/>
    </xf>
    <xf numFmtId="0" fontId="32" fillId="4" borderId="29" xfId="0" applyFont="1" applyFill="1" applyBorder="1" applyAlignment="1" applyProtection="1">
      <alignment horizontal="left" vertical="top"/>
      <protection hidden="1"/>
    </xf>
    <xf numFmtId="164" fontId="57" fillId="4" borderId="0" xfId="0" applyNumberFormat="1" applyFont="1" applyFill="1" applyAlignment="1" applyProtection="1">
      <alignment horizontal="left" vertical="top"/>
      <protection hidden="1"/>
    </xf>
    <xf numFmtId="0" fontId="57" fillId="4" borderId="0" xfId="0" applyFont="1" applyFill="1" applyAlignment="1" applyProtection="1">
      <alignment horizontal="left" vertical="top"/>
      <protection hidden="1"/>
    </xf>
    <xf numFmtId="0" fontId="14" fillId="4" borderId="256" xfId="0" applyFont="1" applyFill="1" applyBorder="1" applyAlignment="1" applyProtection="1">
      <alignment horizontal="right" wrapText="1"/>
      <protection hidden="1"/>
    </xf>
    <xf numFmtId="0" fontId="14" fillId="4" borderId="251" xfId="0" applyFont="1" applyFill="1" applyBorder="1" applyProtection="1">
      <protection hidden="1"/>
    </xf>
    <xf numFmtId="0" fontId="128" fillId="0" borderId="253" xfId="0" applyFont="1" applyBorder="1" applyAlignment="1" applyProtection="1">
      <alignment horizontal="left" vertical="center" indent="2"/>
      <protection hidden="1"/>
    </xf>
    <xf numFmtId="0" fontId="128" fillId="0" borderId="254" xfId="0" applyFont="1" applyBorder="1" applyAlignment="1" applyProtection="1">
      <alignment horizontal="left" vertical="center" indent="2"/>
      <protection hidden="1"/>
    </xf>
    <xf numFmtId="0" fontId="128" fillId="0" borderId="294" xfId="0" applyFont="1" applyBorder="1" applyAlignment="1" applyProtection="1">
      <alignment horizontal="left" vertical="center" indent="3"/>
      <protection hidden="1"/>
    </xf>
    <xf numFmtId="0" fontId="0" fillId="0" borderId="8" xfId="0" applyBorder="1"/>
    <xf numFmtId="0" fontId="64" fillId="4" borderId="7" xfId="0" applyFont="1" applyFill="1" applyBorder="1" applyAlignment="1" applyProtection="1">
      <alignment horizontal="left" vertical="center" indent="1"/>
      <protection hidden="1"/>
    </xf>
    <xf numFmtId="164" fontId="4" fillId="0" borderId="8" xfId="0" applyNumberFormat="1" applyFont="1" applyBorder="1" applyAlignment="1">
      <alignment horizontal="right"/>
    </xf>
    <xf numFmtId="0" fontId="29" fillId="4" borderId="0" xfId="0" applyFont="1" applyFill="1" applyAlignment="1" applyProtection="1">
      <alignment vertical="center"/>
      <protection hidden="1"/>
    </xf>
    <xf numFmtId="0" fontId="29" fillId="4" borderId="0" xfId="0" applyFont="1" applyFill="1" applyAlignment="1" applyProtection="1">
      <alignment horizontal="left" vertical="center" indent="1"/>
      <protection hidden="1"/>
    </xf>
    <xf numFmtId="0" fontId="29" fillId="4" borderId="22" xfId="0" applyFont="1" applyFill="1" applyBorder="1" applyAlignment="1" applyProtection="1">
      <alignment horizontal="left" vertical="center" indent="1"/>
      <protection hidden="1"/>
    </xf>
    <xf numFmtId="165" fontId="86" fillId="0" borderId="0" xfId="0" applyNumberFormat="1" applyFont="1" applyAlignment="1" applyProtection="1">
      <alignment horizontal="left"/>
      <protection hidden="1"/>
    </xf>
    <xf numFmtId="0" fontId="13" fillId="4" borderId="22" xfId="0" applyFont="1" applyFill="1" applyBorder="1" applyAlignment="1" applyProtection="1">
      <alignment vertical="top"/>
      <protection hidden="1"/>
    </xf>
    <xf numFmtId="0" fontId="14" fillId="4" borderId="0" xfId="0" applyFont="1" applyFill="1" applyAlignment="1" applyProtection="1">
      <alignment horizontal="left" vertical="center" indent="1"/>
      <protection hidden="1"/>
    </xf>
    <xf numFmtId="0" fontId="0" fillId="0" borderId="257" xfId="0" applyBorder="1" applyProtection="1">
      <protection hidden="1"/>
    </xf>
    <xf numFmtId="0" fontId="14" fillId="4" borderId="257" xfId="0" applyFont="1" applyFill="1" applyBorder="1" applyAlignment="1" applyProtection="1">
      <alignment horizontal="left"/>
      <protection hidden="1"/>
    </xf>
    <xf numFmtId="0" fontId="70" fillId="4" borderId="257" xfId="0" applyFont="1" applyFill="1" applyBorder="1" applyAlignment="1" applyProtection="1">
      <alignment horizontal="left"/>
      <protection hidden="1"/>
    </xf>
    <xf numFmtId="0" fontId="128" fillId="0" borderId="257" xfId="0" applyFont="1" applyBorder="1" applyProtection="1">
      <protection hidden="1"/>
    </xf>
    <xf numFmtId="0" fontId="129" fillId="0" borderId="258" xfId="0" applyFont="1" applyBorder="1" applyProtection="1">
      <protection hidden="1"/>
    </xf>
    <xf numFmtId="0" fontId="128" fillId="0" borderId="258" xfId="0" applyFont="1" applyBorder="1" applyAlignment="1" applyProtection="1">
      <alignment horizontal="left"/>
      <protection hidden="1"/>
    </xf>
    <xf numFmtId="0" fontId="48" fillId="4" borderId="257" xfId="0" applyFont="1" applyFill="1" applyBorder="1" applyAlignment="1" applyProtection="1">
      <alignment horizontal="left" indent="1"/>
      <protection hidden="1"/>
    </xf>
    <xf numFmtId="0" fontId="128" fillId="0" borderId="295" xfId="0" applyFont="1" applyBorder="1" applyAlignment="1" applyProtection="1">
      <alignment horizontal="right"/>
      <protection hidden="1"/>
    </xf>
    <xf numFmtId="0" fontId="5" fillId="4" borderId="269" xfId="0" applyFont="1" applyFill="1" applyBorder="1" applyAlignment="1" applyProtection="1">
      <alignment horizontal="left" vertical="center" indent="1"/>
      <protection hidden="1"/>
    </xf>
    <xf numFmtId="0" fontId="5" fillId="4" borderId="118" xfId="0" applyFont="1" applyFill="1" applyBorder="1" applyAlignment="1" applyProtection="1">
      <alignment horizontal="left" vertical="center" indent="1"/>
      <protection hidden="1"/>
    </xf>
    <xf numFmtId="0" fontId="5" fillId="4" borderId="267" xfId="0" applyFont="1" applyFill="1" applyBorder="1" applyAlignment="1" applyProtection="1">
      <alignment horizontal="left" vertical="center" indent="1"/>
      <protection hidden="1"/>
    </xf>
    <xf numFmtId="0" fontId="201" fillId="0" borderId="0" xfId="0" applyFont="1" applyAlignment="1" applyProtection="1">
      <alignment horizontal="right"/>
      <protection hidden="1"/>
    </xf>
    <xf numFmtId="0" fontId="147" fillId="33" borderId="55" xfId="0" applyFont="1" applyFill="1" applyBorder="1" applyAlignment="1" applyProtection="1">
      <alignment horizontal="left" vertical="center" indent="1"/>
      <protection hidden="1"/>
    </xf>
    <xf numFmtId="0" fontId="147" fillId="33" borderId="246" xfId="0" applyFont="1" applyFill="1" applyBorder="1" applyAlignment="1" applyProtection="1">
      <alignment horizontal="right" vertical="center" indent="1"/>
      <protection hidden="1"/>
    </xf>
    <xf numFmtId="0" fontId="5" fillId="4" borderId="303" xfId="0" applyFont="1" applyFill="1" applyBorder="1" applyAlignment="1" applyProtection="1">
      <alignment horizontal="left" vertical="center" indent="1"/>
      <protection hidden="1"/>
    </xf>
    <xf numFmtId="0" fontId="5" fillId="4" borderId="52" xfId="0" applyFont="1" applyFill="1" applyBorder="1" applyAlignment="1" applyProtection="1">
      <alignment horizontal="left" vertical="center" indent="1"/>
      <protection hidden="1"/>
    </xf>
    <xf numFmtId="164" fontId="204" fillId="33" borderId="284" xfId="0" applyNumberFormat="1" applyFont="1" applyFill="1" applyBorder="1" applyAlignment="1">
      <alignment horizontal="center" vertical="center"/>
    </xf>
    <xf numFmtId="164" fontId="204" fillId="33" borderId="285" xfId="0" applyNumberFormat="1" applyFont="1" applyFill="1" applyBorder="1" applyAlignment="1">
      <alignment horizontal="center" vertical="center"/>
    </xf>
    <xf numFmtId="164" fontId="204" fillId="33" borderId="286" xfId="0" applyNumberFormat="1" applyFont="1" applyFill="1" applyBorder="1" applyAlignment="1">
      <alignment horizontal="center" vertical="center"/>
    </xf>
    <xf numFmtId="0" fontId="37" fillId="4" borderId="172" xfId="0" applyFont="1" applyFill="1" applyBorder="1" applyAlignment="1" applyProtection="1">
      <alignment horizontal="center" vertical="center"/>
      <protection hidden="1"/>
    </xf>
    <xf numFmtId="0" fontId="147" fillId="33" borderId="180" xfId="0" applyFont="1" applyFill="1" applyBorder="1" applyAlignment="1" applyProtection="1">
      <alignment horizontal="left" vertical="center" indent="1"/>
      <protection hidden="1"/>
    </xf>
    <xf numFmtId="0" fontId="147" fillId="33" borderId="280" xfId="0" applyFont="1" applyFill="1" applyBorder="1" applyAlignment="1" applyProtection="1">
      <alignment horizontal="left" vertical="center" indent="1"/>
      <protection hidden="1"/>
    </xf>
    <xf numFmtId="0" fontId="6" fillId="4" borderId="245" xfId="0" applyFont="1" applyFill="1" applyBorder="1" applyAlignment="1" applyProtection="1">
      <alignment horizontal="left" vertical="center" indent="1"/>
      <protection hidden="1"/>
    </xf>
    <xf numFmtId="0" fontId="147" fillId="33" borderId="56" xfId="0" applyFont="1" applyFill="1" applyBorder="1" applyAlignment="1" applyProtection="1">
      <alignment horizontal="left" vertical="center" indent="1"/>
      <protection hidden="1"/>
    </xf>
    <xf numFmtId="0" fontId="147" fillId="33" borderId="57" xfId="0" applyFont="1" applyFill="1" applyBorder="1" applyAlignment="1" applyProtection="1">
      <alignment horizontal="left" vertical="center" indent="1"/>
      <protection hidden="1"/>
    </xf>
    <xf numFmtId="0" fontId="94" fillId="4" borderId="314" xfId="0" applyFont="1" applyFill="1" applyBorder="1" applyAlignment="1" applyProtection="1">
      <alignment horizontal="center" vertical="center"/>
      <protection hidden="1"/>
    </xf>
    <xf numFmtId="0" fontId="37" fillId="4" borderId="315" xfId="0" applyFont="1" applyFill="1" applyBorder="1" applyAlignment="1" applyProtection="1">
      <alignment horizontal="center" vertical="center"/>
      <protection hidden="1"/>
    </xf>
    <xf numFmtId="0" fontId="37" fillId="4" borderId="316" xfId="0" applyFont="1" applyFill="1" applyBorder="1" applyAlignment="1" applyProtection="1">
      <alignment horizontal="center" vertical="center"/>
      <protection hidden="1"/>
    </xf>
    <xf numFmtId="164" fontId="40" fillId="4" borderId="171" xfId="0" applyNumberFormat="1" applyFont="1" applyFill="1" applyBorder="1" applyAlignment="1">
      <alignment horizontal="center" vertical="center"/>
    </xf>
    <xf numFmtId="164" fontId="40" fillId="4" borderId="218" xfId="0" applyNumberFormat="1" applyFont="1" applyFill="1" applyBorder="1" applyAlignment="1">
      <alignment horizontal="center" vertical="center"/>
    </xf>
    <xf numFmtId="0" fontId="6" fillId="4" borderId="319" xfId="0" applyFont="1" applyFill="1" applyBorder="1" applyAlignment="1" applyProtection="1">
      <alignment horizontal="left" vertical="center" indent="1"/>
      <protection hidden="1"/>
    </xf>
    <xf numFmtId="165" fontId="187" fillId="0" borderId="23" xfId="0" applyNumberFormat="1" applyFont="1" applyBorder="1" applyProtection="1">
      <protection hidden="1"/>
    </xf>
    <xf numFmtId="165" fontId="187" fillId="0" borderId="0" xfId="0" applyNumberFormat="1" applyFont="1" applyProtection="1">
      <protection hidden="1"/>
    </xf>
    <xf numFmtId="0" fontId="0" fillId="0" borderId="23" xfId="0" applyBorder="1" applyProtection="1">
      <protection hidden="1"/>
    </xf>
    <xf numFmtId="0" fontId="186" fillId="36" borderId="43" xfId="0" applyFont="1" applyFill="1" applyBorder="1" applyAlignment="1" applyProtection="1">
      <alignment horizontal="left" vertical="center" indent="1"/>
      <protection hidden="1"/>
    </xf>
    <xf numFmtId="0" fontId="186" fillId="36" borderId="44" xfId="0" applyFont="1" applyFill="1" applyBorder="1" applyAlignment="1" applyProtection="1">
      <alignment horizontal="left" vertical="center" indent="1"/>
      <protection hidden="1"/>
    </xf>
    <xf numFmtId="0" fontId="186" fillId="36" borderId="42" xfId="0" applyFont="1" applyFill="1" applyBorder="1" applyAlignment="1" applyProtection="1">
      <alignment horizontal="left" vertical="center"/>
      <protection hidden="1"/>
    </xf>
    <xf numFmtId="0" fontId="186" fillId="4" borderId="22" xfId="0" applyFont="1" applyFill="1" applyBorder="1" applyAlignment="1" applyProtection="1">
      <alignment horizontal="left" vertical="center" indent="1"/>
      <protection hidden="1"/>
    </xf>
    <xf numFmtId="0" fontId="6" fillId="0" borderId="0" xfId="0" applyFont="1" applyAlignment="1" applyProtection="1">
      <alignment horizontal="right" vertical="center"/>
      <protection hidden="1"/>
    </xf>
    <xf numFmtId="0" fontId="52" fillId="0" borderId="10" xfId="0" applyFont="1" applyBorder="1" applyAlignment="1" applyProtection="1">
      <alignment horizontal="center"/>
      <protection hidden="1"/>
    </xf>
    <xf numFmtId="0" fontId="104" fillId="0" borderId="142" xfId="0" applyFont="1" applyBorder="1" applyAlignment="1" applyProtection="1">
      <alignment horizontal="center"/>
      <protection hidden="1"/>
    </xf>
    <xf numFmtId="0" fontId="43" fillId="18" borderId="0" xfId="0" applyFont="1" applyFill="1" applyAlignment="1" applyProtection="1">
      <alignment horizontal="left" vertical="center" wrapText="1" indent="1"/>
      <protection hidden="1"/>
    </xf>
    <xf numFmtId="0" fontId="43" fillId="17" borderId="0" xfId="0" applyFont="1" applyFill="1" applyAlignment="1" applyProtection="1">
      <alignment horizontal="left" vertical="center" wrapText="1" indent="1"/>
      <protection hidden="1"/>
    </xf>
    <xf numFmtId="0" fontId="43" fillId="16" borderId="0" xfId="0" applyFont="1" applyFill="1" applyAlignment="1" applyProtection="1">
      <alignment horizontal="left" vertical="center" wrapText="1" indent="1"/>
      <protection hidden="1"/>
    </xf>
    <xf numFmtId="0" fontId="43" fillId="15" borderId="0" xfId="0" applyFont="1" applyFill="1" applyAlignment="1" applyProtection="1">
      <alignment horizontal="left" vertical="center" wrapText="1" indent="1"/>
      <protection hidden="1"/>
    </xf>
    <xf numFmtId="0" fontId="5" fillId="27" borderId="0" xfId="0" applyFont="1" applyFill="1" applyAlignment="1" applyProtection="1">
      <alignment horizontal="center" vertical="top"/>
      <protection hidden="1"/>
    </xf>
    <xf numFmtId="0" fontId="38" fillId="27" borderId="0" xfId="0" applyFont="1" applyFill="1" applyAlignment="1" applyProtection="1">
      <alignment horizontal="left" vertical="top" wrapText="1" indent="2"/>
      <protection hidden="1"/>
    </xf>
    <xf numFmtId="0" fontId="9" fillId="27" borderId="0" xfId="0" applyFont="1" applyFill="1" applyAlignment="1" applyProtection="1">
      <alignment horizontal="left" vertical="top" wrapText="1" indent="2"/>
      <protection hidden="1"/>
    </xf>
    <xf numFmtId="0" fontId="133" fillId="0" borderId="0" xfId="0" applyFont="1" applyAlignment="1" applyProtection="1">
      <alignment horizontal="right" vertical="center" indent="1"/>
      <protection hidden="1"/>
    </xf>
    <xf numFmtId="0" fontId="0" fillId="27" borderId="0" xfId="0" applyFill="1" applyAlignment="1" applyProtection="1">
      <alignment horizontal="left" vertical="top" wrapText="1"/>
      <protection hidden="1"/>
    </xf>
    <xf numFmtId="0" fontId="163" fillId="4" borderId="0" xfId="0" applyFont="1" applyFill="1" applyAlignment="1" applyProtection="1">
      <alignment horizontal="left" vertical="center" wrapText="1" indent="1"/>
      <protection hidden="1"/>
    </xf>
    <xf numFmtId="0" fontId="163" fillId="4" borderId="0" xfId="1" applyFont="1" applyFill="1" applyBorder="1" applyAlignment="1" applyProtection="1">
      <alignment horizontal="left" vertical="center" wrapText="1" indent="1"/>
      <protection hidden="1"/>
    </xf>
    <xf numFmtId="0" fontId="0" fillId="27" borderId="0" xfId="0" applyFill="1" applyAlignment="1" applyProtection="1">
      <alignment horizontal="right" vertical="top" indent="1"/>
      <protection locked="0"/>
    </xf>
    <xf numFmtId="0" fontId="122" fillId="27" borderId="232" xfId="3" applyFill="1" applyBorder="1" applyAlignment="1" applyProtection="1">
      <alignment horizontal="right" vertical="center" wrapText="1" indent="1"/>
      <protection locked="0"/>
    </xf>
    <xf numFmtId="0" fontId="122" fillId="27" borderId="231" xfId="3" applyFill="1" applyBorder="1" applyAlignment="1" applyProtection="1">
      <alignment horizontal="right" vertical="center" wrapText="1" indent="1"/>
      <protection locked="0"/>
    </xf>
    <xf numFmtId="0" fontId="122" fillId="27" borderId="234" xfId="3" applyFill="1" applyBorder="1" applyAlignment="1" applyProtection="1">
      <alignment horizontal="right" vertical="center" wrapText="1" indent="1"/>
      <protection locked="0"/>
    </xf>
    <xf numFmtId="0" fontId="122" fillId="27" borderId="233" xfId="3" applyFill="1" applyBorder="1" applyAlignment="1" applyProtection="1">
      <alignment horizontal="right" vertical="center" wrapText="1" indent="1"/>
      <protection locked="0"/>
    </xf>
    <xf numFmtId="0" fontId="0" fillId="0" borderId="0" xfId="0" applyProtection="1">
      <protection locked="0"/>
    </xf>
    <xf numFmtId="0" fontId="51" fillId="15" borderId="59" xfId="0" applyFont="1" applyFill="1" applyBorder="1" applyAlignment="1" applyProtection="1">
      <alignment vertical="center" wrapText="1"/>
      <protection hidden="1"/>
    </xf>
    <xf numFmtId="0" fontId="89" fillId="15" borderId="1" xfId="2" applyFont="1" applyFill="1" applyBorder="1" applyAlignment="1" applyProtection="1">
      <alignment horizontal="center" vertical="center" wrapText="1"/>
      <protection hidden="1"/>
    </xf>
    <xf numFmtId="0" fontId="209" fillId="27" borderId="0" xfId="0" applyFont="1" applyFill="1" applyAlignment="1" applyProtection="1">
      <alignment horizontal="right" vertical="top" wrapText="1"/>
      <protection hidden="1"/>
    </xf>
    <xf numFmtId="0" fontId="168" fillId="0" borderId="0" xfId="0" applyFont="1" applyAlignment="1" applyProtection="1">
      <alignment horizontal="center" vertical="top"/>
      <protection hidden="1"/>
    </xf>
    <xf numFmtId="0" fontId="169" fillId="0" borderId="0" xfId="0" applyFont="1" applyAlignment="1" applyProtection="1">
      <alignment vertical="center"/>
      <protection hidden="1"/>
    </xf>
    <xf numFmtId="0" fontId="73" fillId="0" borderId="0" xfId="0" applyFont="1" applyAlignment="1" applyProtection="1">
      <alignment horizontal="center" vertical="center"/>
      <protection hidden="1"/>
    </xf>
    <xf numFmtId="0" fontId="0" fillId="4" borderId="0" xfId="0" applyFill="1" applyAlignment="1" applyProtection="1">
      <alignment vertical="top" wrapText="1"/>
      <protection hidden="1"/>
    </xf>
    <xf numFmtId="0" fontId="10" fillId="27" borderId="49" xfId="0" applyFont="1" applyFill="1" applyBorder="1" applyProtection="1">
      <protection hidden="1"/>
    </xf>
    <xf numFmtId="0" fontId="10" fillId="27" borderId="50" xfId="0" applyFont="1" applyFill="1" applyBorder="1" applyProtection="1">
      <protection hidden="1"/>
    </xf>
    <xf numFmtId="0" fontId="10" fillId="27" borderId="51" xfId="0" applyFont="1" applyFill="1" applyBorder="1" applyProtection="1">
      <protection hidden="1"/>
    </xf>
    <xf numFmtId="0" fontId="0" fillId="27" borderId="52" xfId="0" applyFill="1" applyBorder="1" applyProtection="1">
      <protection hidden="1"/>
    </xf>
    <xf numFmtId="0" fontId="152" fillId="27" borderId="52" xfId="0" applyFont="1" applyFill="1" applyBorder="1" applyAlignment="1" applyProtection="1">
      <alignment vertical="center"/>
      <protection hidden="1"/>
    </xf>
    <xf numFmtId="0" fontId="10" fillId="27" borderId="52" xfId="0" applyFont="1" applyFill="1" applyBorder="1" applyProtection="1">
      <protection hidden="1"/>
    </xf>
    <xf numFmtId="0" fontId="10" fillId="4" borderId="49" xfId="0" applyFont="1" applyFill="1" applyBorder="1" applyProtection="1">
      <protection hidden="1"/>
    </xf>
    <xf numFmtId="0" fontId="10" fillId="4" borderId="50" xfId="0" applyFont="1" applyFill="1" applyBorder="1" applyProtection="1">
      <protection hidden="1"/>
    </xf>
    <xf numFmtId="0" fontId="44" fillId="4" borderId="50" xfId="0" applyFont="1" applyFill="1" applyBorder="1" applyAlignment="1" applyProtection="1">
      <alignment vertical="top" wrapText="1"/>
      <protection hidden="1"/>
    </xf>
    <xf numFmtId="0" fontId="44" fillId="4" borderId="247" xfId="0" applyFont="1" applyFill="1" applyBorder="1" applyAlignment="1" applyProtection="1">
      <alignment vertical="top" wrapText="1"/>
      <protection hidden="1"/>
    </xf>
    <xf numFmtId="0" fontId="44" fillId="4" borderId="243" xfId="0" applyFont="1" applyFill="1" applyBorder="1" applyAlignment="1" applyProtection="1">
      <alignment vertical="top" wrapText="1"/>
      <protection hidden="1"/>
    </xf>
    <xf numFmtId="0" fontId="44" fillId="4" borderId="51" xfId="0" applyFont="1" applyFill="1" applyBorder="1" applyAlignment="1" applyProtection="1">
      <alignment vertical="top"/>
      <protection hidden="1"/>
    </xf>
    <xf numFmtId="0" fontId="10" fillId="4" borderId="52" xfId="0" applyFont="1" applyFill="1" applyBorder="1" applyProtection="1">
      <protection hidden="1"/>
    </xf>
    <xf numFmtId="0" fontId="44" fillId="4" borderId="46" xfId="0" applyFont="1" applyFill="1" applyBorder="1" applyAlignment="1" applyProtection="1">
      <alignment vertical="top" wrapText="1"/>
      <protection hidden="1"/>
    </xf>
    <xf numFmtId="0" fontId="10" fillId="4" borderId="241" xfId="0" applyFont="1" applyFill="1" applyBorder="1" applyProtection="1">
      <protection hidden="1"/>
    </xf>
    <xf numFmtId="0" fontId="10" fillId="4" borderId="2" xfId="0" applyFont="1" applyFill="1" applyBorder="1" applyProtection="1">
      <protection hidden="1"/>
    </xf>
    <xf numFmtId="0" fontId="0" fillId="4" borderId="3" xfId="0" applyFill="1" applyBorder="1" applyProtection="1">
      <protection hidden="1"/>
    </xf>
    <xf numFmtId="0" fontId="44" fillId="4" borderId="2" xfId="0" applyFont="1" applyFill="1" applyBorder="1" applyAlignment="1" applyProtection="1">
      <alignment vertical="top" wrapText="1"/>
      <protection hidden="1"/>
    </xf>
    <xf numFmtId="0" fontId="44" fillId="4" borderId="54" xfId="0" applyFont="1" applyFill="1" applyBorder="1" applyAlignment="1" applyProtection="1">
      <alignment vertical="top" wrapText="1"/>
      <protection hidden="1"/>
    </xf>
    <xf numFmtId="0" fontId="44" fillId="4" borderId="3" xfId="0" applyFont="1" applyFill="1" applyBorder="1" applyAlignment="1" applyProtection="1">
      <alignment horizontal="left" vertical="top" wrapText="1" indent="1"/>
      <protection hidden="1"/>
    </xf>
    <xf numFmtId="0" fontId="44" fillId="4" borderId="54" xfId="0" applyFont="1" applyFill="1" applyBorder="1" applyAlignment="1" applyProtection="1">
      <alignment horizontal="left" vertical="top" wrapText="1" indent="1"/>
      <protection hidden="1"/>
    </xf>
    <xf numFmtId="0" fontId="44" fillId="4" borderId="240" xfId="0" applyFont="1" applyFill="1" applyBorder="1" applyAlignment="1" applyProtection="1">
      <alignment horizontal="left" vertical="top" indent="1"/>
      <protection hidden="1"/>
    </xf>
    <xf numFmtId="0" fontId="10" fillId="4" borderId="245" xfId="0" applyFont="1" applyFill="1" applyBorder="1" applyProtection="1">
      <protection hidden="1"/>
    </xf>
    <xf numFmtId="0" fontId="10" fillId="4" borderId="8" xfId="0" applyFont="1" applyFill="1" applyBorder="1" applyProtection="1">
      <protection hidden="1"/>
    </xf>
    <xf numFmtId="0" fontId="44" fillId="4" borderId="5" xfId="0" applyFont="1" applyFill="1" applyBorder="1" applyAlignment="1" applyProtection="1">
      <alignment vertical="top" wrapText="1"/>
      <protection hidden="1"/>
    </xf>
    <xf numFmtId="0" fontId="44" fillId="4" borderId="0" xfId="0" applyFont="1" applyFill="1" applyAlignment="1" applyProtection="1">
      <alignment vertical="top" wrapText="1"/>
      <protection hidden="1"/>
    </xf>
    <xf numFmtId="0" fontId="44" fillId="4" borderId="7" xfId="0" applyFont="1" applyFill="1" applyBorder="1" applyAlignment="1" applyProtection="1">
      <alignment horizontal="left" vertical="top" wrapText="1" indent="1"/>
      <protection hidden="1"/>
    </xf>
    <xf numFmtId="0" fontId="44" fillId="4" borderId="46" xfId="0" applyFont="1" applyFill="1" applyBorder="1" applyAlignment="1" applyProtection="1">
      <alignment horizontal="left" vertical="top" wrapText="1" indent="1"/>
      <protection hidden="1"/>
    </xf>
    <xf numFmtId="0" fontId="44" fillId="4" borderId="53" xfId="0" applyFont="1" applyFill="1" applyBorder="1" applyAlignment="1" applyProtection="1">
      <alignment horizontal="left" vertical="top" indent="1"/>
      <protection hidden="1"/>
    </xf>
    <xf numFmtId="0" fontId="10" fillId="4" borderId="55" xfId="0" applyFont="1" applyFill="1" applyBorder="1" applyProtection="1">
      <protection hidden="1"/>
    </xf>
    <xf numFmtId="0" fontId="10" fillId="4" borderId="56" xfId="0" applyFont="1" applyFill="1" applyBorder="1" applyProtection="1">
      <protection hidden="1"/>
    </xf>
    <xf numFmtId="0" fontId="44" fillId="4" borderId="246" xfId="0" applyFont="1" applyFill="1" applyBorder="1" applyAlignment="1" applyProtection="1">
      <alignment vertical="top" wrapText="1"/>
      <protection hidden="1"/>
    </xf>
    <xf numFmtId="0" fontId="10" fillId="27" borderId="55" xfId="0" applyFont="1" applyFill="1" applyBorder="1" applyProtection="1">
      <protection hidden="1"/>
    </xf>
    <xf numFmtId="0" fontId="10" fillId="27" borderId="56" xfId="0" applyFont="1" applyFill="1" applyBorder="1" applyProtection="1">
      <protection hidden="1"/>
    </xf>
    <xf numFmtId="0" fontId="165" fillId="27" borderId="56" xfId="0" applyFont="1" applyFill="1" applyBorder="1" applyAlignment="1" applyProtection="1">
      <alignment horizontal="left" vertical="center" wrapText="1" indent="1"/>
      <protection hidden="1"/>
    </xf>
    <xf numFmtId="0" fontId="44" fillId="27" borderId="56" xfId="0" applyFont="1" applyFill="1" applyBorder="1" applyAlignment="1" applyProtection="1">
      <alignment horizontal="left" vertical="top" wrapText="1" indent="1"/>
      <protection hidden="1"/>
    </xf>
    <xf numFmtId="0" fontId="44" fillId="27" borderId="56" xfId="0" applyFont="1" applyFill="1" applyBorder="1" applyAlignment="1" applyProtection="1">
      <alignment vertical="top" wrapText="1"/>
      <protection hidden="1"/>
    </xf>
    <xf numFmtId="0" fontId="3" fillId="5" borderId="52" xfId="0" applyFont="1" applyFill="1" applyBorder="1" applyAlignment="1" applyProtection="1">
      <alignment vertical="center" wrapText="1"/>
      <protection locked="0"/>
    </xf>
    <xf numFmtId="0" fontId="156" fillId="4" borderId="229" xfId="0" applyFont="1" applyFill="1" applyBorder="1" applyAlignment="1" applyProtection="1">
      <alignment horizontal="left" vertical="center" indent="1"/>
      <protection hidden="1"/>
    </xf>
    <xf numFmtId="0" fontId="156" fillId="4" borderId="230" xfId="0" applyFont="1" applyFill="1" applyBorder="1" applyAlignment="1" applyProtection="1">
      <alignment horizontal="left" vertical="center" indent="1"/>
      <protection hidden="1"/>
    </xf>
    <xf numFmtId="0" fontId="0" fillId="4" borderId="230" xfId="0" applyFill="1" applyBorder="1" applyAlignment="1" applyProtection="1">
      <alignment horizontal="left" vertical="center" indent="1"/>
      <protection hidden="1"/>
    </xf>
    <xf numFmtId="0" fontId="0" fillId="4" borderId="230" xfId="0" applyFill="1" applyBorder="1" applyProtection="1">
      <protection hidden="1"/>
    </xf>
    <xf numFmtId="0" fontId="154" fillId="34" borderId="0" xfId="0" applyFont="1" applyFill="1" applyProtection="1">
      <protection hidden="1"/>
    </xf>
    <xf numFmtId="0" fontId="10" fillId="34" borderId="0" xfId="0" applyFont="1" applyFill="1" applyProtection="1">
      <protection hidden="1"/>
    </xf>
    <xf numFmtId="0" fontId="153" fillId="34" borderId="0" xfId="0" applyFont="1" applyFill="1" applyProtection="1">
      <protection hidden="1"/>
    </xf>
    <xf numFmtId="0" fontId="0" fillId="4" borderId="58" xfId="0" applyFill="1" applyBorder="1" applyProtection="1">
      <protection hidden="1"/>
    </xf>
    <xf numFmtId="0" fontId="0" fillId="4" borderId="59" xfId="0" applyFill="1" applyBorder="1" applyProtection="1">
      <protection hidden="1"/>
    </xf>
    <xf numFmtId="0" fontId="0" fillId="4" borderId="58" xfId="0" applyFill="1" applyBorder="1" applyAlignment="1" applyProtection="1">
      <alignment horizontal="left"/>
      <protection hidden="1"/>
    </xf>
    <xf numFmtId="0" fontId="0" fillId="4" borderId="48" xfId="0" applyFill="1" applyBorder="1" applyProtection="1">
      <protection hidden="1"/>
    </xf>
    <xf numFmtId="0" fontId="0" fillId="4" borderId="58" xfId="0" applyFill="1" applyBorder="1" applyAlignment="1" applyProtection="1">
      <alignment horizontal="left" wrapText="1"/>
      <protection hidden="1"/>
    </xf>
    <xf numFmtId="0" fontId="0" fillId="4" borderId="6" xfId="0" applyFill="1" applyBorder="1" applyProtection="1">
      <protection hidden="1"/>
    </xf>
    <xf numFmtId="0" fontId="0" fillId="4" borderId="6" xfId="0" applyFill="1" applyBorder="1" applyAlignment="1" applyProtection="1">
      <alignment horizontal="left"/>
      <protection hidden="1"/>
    </xf>
    <xf numFmtId="169" fontId="0" fillId="4" borderId="58" xfId="0" applyNumberFormat="1" applyFill="1" applyBorder="1" applyAlignment="1" applyProtection="1">
      <alignment horizontal="left" wrapText="1"/>
      <protection hidden="1"/>
    </xf>
    <xf numFmtId="0" fontId="153" fillId="0" borderId="0" xfId="0" applyFont="1" applyProtection="1">
      <protection hidden="1"/>
    </xf>
    <xf numFmtId="0" fontId="0" fillId="0" borderId="58" xfId="0" applyBorder="1" applyAlignment="1" applyProtection="1">
      <alignment vertical="center"/>
      <protection hidden="1"/>
    </xf>
    <xf numFmtId="0" fontId="0" fillId="0" borderId="48" xfId="0" applyBorder="1" applyAlignment="1" applyProtection="1">
      <alignment vertical="center"/>
      <protection hidden="1"/>
    </xf>
    <xf numFmtId="0" fontId="0" fillId="0" borderId="59" xfId="0" applyBorder="1" applyAlignment="1" applyProtection="1">
      <alignment vertical="center"/>
      <protection hidden="1"/>
    </xf>
    <xf numFmtId="0" fontId="0" fillId="0" borderId="58" xfId="0" applyBorder="1" applyAlignment="1" applyProtection="1">
      <alignment vertical="center" wrapText="1"/>
      <protection hidden="1"/>
    </xf>
    <xf numFmtId="0" fontId="0" fillId="0" borderId="1" xfId="0" applyBorder="1" applyAlignment="1" applyProtection="1">
      <alignment vertical="center"/>
      <protection hidden="1"/>
    </xf>
    <xf numFmtId="0" fontId="5" fillId="0" borderId="58" xfId="0" applyFont="1" applyBorder="1" applyAlignment="1" applyProtection="1">
      <alignment vertical="center"/>
      <protection hidden="1"/>
    </xf>
    <xf numFmtId="0" fontId="0" fillId="0" borderId="1" xfId="0" applyBorder="1" applyAlignment="1" applyProtection="1">
      <alignment vertical="center" wrapText="1"/>
      <protection hidden="1"/>
    </xf>
    <xf numFmtId="0" fontId="0" fillId="0" borderId="102" xfId="0" applyBorder="1" applyProtection="1">
      <protection hidden="1"/>
    </xf>
    <xf numFmtId="0" fontId="0" fillId="0" borderId="296" xfId="0" applyBorder="1" applyProtection="1">
      <protection hidden="1"/>
    </xf>
    <xf numFmtId="0" fontId="4" fillId="0" borderId="103" xfId="0" applyFont="1" applyBorder="1" applyAlignment="1" applyProtection="1">
      <alignment horizontal="right"/>
      <protection hidden="1"/>
    </xf>
    <xf numFmtId="164" fontId="4" fillId="0" borderId="102" xfId="0" applyNumberFormat="1" applyFont="1" applyBorder="1" applyProtection="1">
      <protection hidden="1"/>
    </xf>
    <xf numFmtId="167" fontId="4" fillId="0" borderId="128" xfId="0" applyNumberFormat="1" applyFont="1" applyBorder="1" applyAlignment="1" applyProtection="1">
      <alignment horizontal="left"/>
      <protection hidden="1"/>
    </xf>
    <xf numFmtId="167" fontId="4" fillId="0" borderId="7" xfId="0" applyNumberFormat="1" applyFont="1" applyBorder="1" applyProtection="1">
      <protection hidden="1"/>
    </xf>
    <xf numFmtId="0" fontId="0" fillId="0" borderId="46" xfId="0" applyBorder="1" applyProtection="1">
      <protection hidden="1"/>
    </xf>
    <xf numFmtId="165" fontId="4" fillId="0" borderId="63" xfId="0" applyNumberFormat="1" applyFont="1" applyBorder="1" applyProtection="1">
      <protection hidden="1"/>
    </xf>
    <xf numFmtId="0" fontId="0" fillId="0" borderId="104" xfId="0" applyBorder="1" applyAlignment="1" applyProtection="1">
      <alignment vertical="top"/>
      <protection hidden="1"/>
    </xf>
    <xf numFmtId="0" fontId="0" fillId="0" borderId="45" xfId="0" applyBorder="1" applyAlignment="1" applyProtection="1">
      <alignment vertical="top"/>
      <protection hidden="1"/>
    </xf>
    <xf numFmtId="0" fontId="4" fillId="0" borderId="105" xfId="0" applyFont="1" applyBorder="1" applyAlignment="1" applyProtection="1">
      <alignment horizontal="right" vertical="top"/>
      <protection hidden="1"/>
    </xf>
    <xf numFmtId="164" fontId="4" fillId="0" borderId="104" xfId="0" applyNumberFormat="1" applyFont="1" applyBorder="1" applyAlignment="1" applyProtection="1">
      <alignment vertical="top"/>
      <protection hidden="1"/>
    </xf>
    <xf numFmtId="168" fontId="4" fillId="0" borderId="129" xfId="0" applyNumberFormat="1" applyFont="1" applyBorder="1" applyAlignment="1" applyProtection="1">
      <alignment horizontal="left" vertical="top"/>
      <protection hidden="1"/>
    </xf>
    <xf numFmtId="168" fontId="4" fillId="0" borderId="7" xfId="0" applyNumberFormat="1" applyFont="1" applyBorder="1" applyAlignment="1" applyProtection="1">
      <alignment vertical="top"/>
      <protection hidden="1"/>
    </xf>
    <xf numFmtId="165" fontId="4" fillId="0" borderId="63" xfId="0" applyNumberFormat="1" applyFont="1" applyBorder="1" applyAlignment="1" applyProtection="1">
      <alignment vertical="top"/>
      <protection hidden="1"/>
    </xf>
    <xf numFmtId="0" fontId="0" fillId="0" borderId="63" xfId="0" applyBorder="1" applyAlignment="1" applyProtection="1">
      <alignment vertical="top"/>
      <protection hidden="1"/>
    </xf>
    <xf numFmtId="0" fontId="0" fillId="0" borderId="106" xfId="0" applyBorder="1" applyProtection="1">
      <protection hidden="1"/>
    </xf>
    <xf numFmtId="0" fontId="0" fillId="0" borderId="135" xfId="0" applyBorder="1" applyProtection="1">
      <protection hidden="1"/>
    </xf>
    <xf numFmtId="0" fontId="123" fillId="0" borderId="107" xfId="0" applyFont="1" applyBorder="1" applyAlignment="1" applyProtection="1">
      <alignment horizontal="right"/>
      <protection hidden="1"/>
    </xf>
    <xf numFmtId="164" fontId="4" fillId="0" borderId="106" xfId="0" applyNumberFormat="1" applyFont="1" applyBorder="1" applyProtection="1">
      <protection hidden="1"/>
    </xf>
    <xf numFmtId="168" fontId="4" fillId="0" borderId="130" xfId="0" applyNumberFormat="1" applyFont="1" applyBorder="1" applyAlignment="1" applyProtection="1">
      <alignment horizontal="left"/>
      <protection hidden="1"/>
    </xf>
    <xf numFmtId="0" fontId="123" fillId="0" borderId="103" xfId="0" applyFont="1" applyBorder="1" applyAlignment="1" applyProtection="1">
      <alignment horizontal="right"/>
      <protection hidden="1"/>
    </xf>
    <xf numFmtId="0" fontId="0" fillId="0" borderId="140" xfId="0" applyBorder="1" applyAlignment="1" applyProtection="1">
      <alignment vertical="top"/>
      <protection hidden="1"/>
    </xf>
    <xf numFmtId="0" fontId="0" fillId="0" borderId="297" xfId="0" applyBorder="1" applyAlignment="1" applyProtection="1">
      <alignment vertical="top"/>
      <protection hidden="1"/>
    </xf>
    <xf numFmtId="0" fontId="123" fillId="0" borderId="141" xfId="0" applyFont="1" applyBorder="1" applyAlignment="1" applyProtection="1">
      <alignment horizontal="right" vertical="top"/>
      <protection hidden="1"/>
    </xf>
    <xf numFmtId="164" fontId="4" fillId="0" borderId="140" xfId="0" applyNumberFormat="1" applyFont="1" applyBorder="1" applyAlignment="1" applyProtection="1">
      <alignment vertical="top"/>
      <protection hidden="1"/>
    </xf>
    <xf numFmtId="168" fontId="4" fillId="0" borderId="138" xfId="0" applyNumberFormat="1" applyFont="1" applyBorder="1" applyAlignment="1" applyProtection="1">
      <alignment horizontal="left" vertical="top"/>
      <protection hidden="1"/>
    </xf>
    <xf numFmtId="0" fontId="0" fillId="0" borderId="46" xfId="0" applyBorder="1" applyAlignment="1" applyProtection="1">
      <alignment vertical="top"/>
      <protection hidden="1"/>
    </xf>
    <xf numFmtId="0" fontId="0" fillId="0" borderId="4" xfId="0" applyBorder="1" applyProtection="1">
      <protection hidden="1"/>
    </xf>
    <xf numFmtId="164" fontId="4" fillId="0" borderId="79" xfId="0" applyNumberFormat="1" applyFont="1" applyBorder="1" applyProtection="1">
      <protection hidden="1"/>
    </xf>
    <xf numFmtId="167" fontId="4" fillId="0" borderId="4" xfId="0" applyNumberFormat="1" applyFont="1" applyBorder="1" applyProtection="1">
      <protection hidden="1"/>
    </xf>
    <xf numFmtId="168" fontId="4" fillId="0" borderId="107" xfId="0" applyNumberFormat="1" applyFont="1" applyBorder="1" applyProtection="1">
      <protection hidden="1"/>
    </xf>
    <xf numFmtId="165" fontId="4" fillId="0" borderId="79" xfId="0" applyNumberFormat="1" applyFont="1" applyBorder="1" applyProtection="1">
      <protection hidden="1"/>
    </xf>
    <xf numFmtId="0" fontId="123" fillId="0" borderId="0" xfId="0" applyFont="1" applyAlignment="1" applyProtection="1">
      <alignment horizontal="right"/>
      <protection hidden="1"/>
    </xf>
    <xf numFmtId="0" fontId="99" fillId="4" borderId="0" xfId="0" applyFont="1" applyFill="1" applyProtection="1">
      <protection hidden="1"/>
    </xf>
    <xf numFmtId="168" fontId="99" fillId="4" borderId="0" xfId="0" applyNumberFormat="1" applyFont="1" applyFill="1" applyProtection="1">
      <protection hidden="1"/>
    </xf>
    <xf numFmtId="167" fontId="4" fillId="0" borderId="0" xfId="0" applyNumberFormat="1" applyFont="1" applyProtection="1">
      <protection hidden="1"/>
    </xf>
    <xf numFmtId="168" fontId="4" fillId="0" borderId="0" xfId="0" applyNumberFormat="1" applyFont="1" applyProtection="1">
      <protection hidden="1"/>
    </xf>
    <xf numFmtId="0" fontId="5" fillId="0" borderId="6" xfId="0" applyFont="1" applyBorder="1" applyAlignment="1" applyProtection="1">
      <alignment vertical="center" wrapText="1"/>
      <protection hidden="1"/>
    </xf>
    <xf numFmtId="0" fontId="0" fillId="0" borderId="79" xfId="0" applyBorder="1" applyProtection="1">
      <protection hidden="1"/>
    </xf>
    <xf numFmtId="168" fontId="0" fillId="0" borderId="0" xfId="0" applyNumberFormat="1" applyProtection="1">
      <protection hidden="1"/>
    </xf>
    <xf numFmtId="168" fontId="61" fillId="0" borderId="0" xfId="0" applyNumberFormat="1" applyFont="1" applyAlignment="1" applyProtection="1">
      <alignment horizontal="right" indent="1"/>
      <protection hidden="1"/>
    </xf>
    <xf numFmtId="168" fontId="61" fillId="0" borderId="0" xfId="0" applyNumberFormat="1" applyFont="1" applyProtection="1">
      <protection hidden="1"/>
    </xf>
    <xf numFmtId="164" fontId="4" fillId="0" borderId="0" xfId="0" applyNumberFormat="1" applyFont="1" applyProtection="1">
      <protection hidden="1"/>
    </xf>
    <xf numFmtId="0" fontId="38" fillId="0" borderId="0" xfId="0" applyFont="1" applyAlignment="1" applyProtection="1">
      <alignment horizontal="right"/>
      <protection hidden="1"/>
    </xf>
    <xf numFmtId="165" fontId="4" fillId="0" borderId="0" xfId="0" applyNumberFormat="1" applyFont="1" applyAlignment="1" applyProtection="1">
      <alignment vertical="top"/>
      <protection hidden="1"/>
    </xf>
    <xf numFmtId="165" fontId="38" fillId="0" borderId="0" xfId="0" applyNumberFormat="1" applyFont="1" applyAlignment="1" applyProtection="1">
      <alignment vertical="top"/>
      <protection hidden="1"/>
    </xf>
    <xf numFmtId="0" fontId="44" fillId="0" borderId="0" xfId="0" applyFont="1" applyAlignment="1" applyProtection="1">
      <alignment vertical="center"/>
      <protection hidden="1"/>
    </xf>
    <xf numFmtId="0" fontId="96" fillId="0" borderId="58" xfId="0" applyFont="1" applyBorder="1" applyAlignment="1" applyProtection="1">
      <alignment horizontal="center" vertical="center"/>
      <protection hidden="1"/>
    </xf>
    <xf numFmtId="0" fontId="96" fillId="0" borderId="59" xfId="0" applyFont="1" applyBorder="1" applyAlignment="1" applyProtection="1">
      <alignment horizontal="center" vertical="center"/>
      <protection hidden="1"/>
    </xf>
    <xf numFmtId="0" fontId="54" fillId="0" borderId="0" xfId="0" applyFont="1" applyAlignment="1" applyProtection="1">
      <alignment horizontal="right" vertical="center"/>
      <protection hidden="1"/>
    </xf>
    <xf numFmtId="0" fontId="5" fillId="0" borderId="0" xfId="0" applyFont="1" applyAlignment="1" applyProtection="1">
      <alignment horizontal="left" vertical="top" wrapText="1"/>
      <protection hidden="1"/>
    </xf>
    <xf numFmtId="0" fontId="0" fillId="0" borderId="5" xfId="0" applyBorder="1" applyAlignment="1" applyProtection="1">
      <alignment vertical="top"/>
      <protection hidden="1"/>
    </xf>
    <xf numFmtId="0" fontId="96" fillId="0" borderId="2" xfId="0" applyFont="1" applyBorder="1" applyAlignment="1" applyProtection="1">
      <alignment horizontal="center" vertical="center" wrapText="1"/>
      <protection hidden="1"/>
    </xf>
    <xf numFmtId="0" fontId="96" fillId="0" borderId="54" xfId="0" applyFont="1" applyBorder="1" applyAlignment="1" applyProtection="1">
      <alignment horizontal="center" vertical="center"/>
      <protection hidden="1"/>
    </xf>
    <xf numFmtId="0" fontId="40" fillId="0" borderId="0" xfId="0" applyFont="1" applyAlignment="1" applyProtection="1">
      <alignment horizontal="right"/>
      <protection hidden="1"/>
    </xf>
    <xf numFmtId="0" fontId="0" fillId="0" borderId="7" xfId="0" applyBorder="1" applyAlignment="1" applyProtection="1">
      <alignment horizontal="right" indent="1"/>
      <protection hidden="1"/>
    </xf>
    <xf numFmtId="0" fontId="4" fillId="0" borderId="3" xfId="0" applyFont="1" applyBorder="1" applyAlignment="1" applyProtection="1">
      <alignment horizontal="center"/>
      <protection hidden="1"/>
    </xf>
    <xf numFmtId="0" fontId="4" fillId="0" borderId="54" xfId="0" applyFont="1" applyBorder="1" applyAlignment="1" applyProtection="1">
      <alignment horizontal="center"/>
      <protection hidden="1"/>
    </xf>
    <xf numFmtId="0" fontId="4" fillId="0" borderId="7" xfId="0" applyFont="1" applyBorder="1" applyAlignment="1" applyProtection="1">
      <alignment horizontal="center"/>
      <protection hidden="1"/>
    </xf>
    <xf numFmtId="0" fontId="4" fillId="0" borderId="46" xfId="0" applyFont="1" applyBorder="1" applyAlignment="1" applyProtection="1">
      <alignment horizontal="center"/>
      <protection hidden="1"/>
    </xf>
    <xf numFmtId="0" fontId="0" fillId="0" borderId="4" xfId="0" applyBorder="1" applyAlignment="1" applyProtection="1">
      <alignment horizontal="right" indent="1"/>
      <protection hidden="1"/>
    </xf>
    <xf numFmtId="0" fontId="4" fillId="0" borderId="4" xfId="0" applyFont="1" applyBorder="1" applyAlignment="1" applyProtection="1">
      <alignment horizontal="center"/>
      <protection hidden="1"/>
    </xf>
    <xf numFmtId="0" fontId="4" fillId="0" borderId="5" xfId="0" applyFont="1" applyBorder="1" applyAlignment="1" applyProtection="1">
      <alignment horizontal="center"/>
      <protection hidden="1"/>
    </xf>
    <xf numFmtId="0" fontId="5" fillId="0" borderId="0" xfId="0" applyFont="1" applyAlignment="1" applyProtection="1">
      <alignment horizontal="right"/>
      <protection hidden="1"/>
    </xf>
    <xf numFmtId="0" fontId="54" fillId="0" borderId="0" xfId="0" applyFont="1" applyAlignment="1" applyProtection="1">
      <alignment vertical="center"/>
      <protection hidden="1"/>
    </xf>
    <xf numFmtId="0" fontId="0" fillId="0" borderId="7" xfId="0" applyBorder="1" applyAlignment="1" applyProtection="1">
      <alignment horizontal="center" vertical="center"/>
      <protection hidden="1"/>
    </xf>
    <xf numFmtId="0" fontId="0" fillId="0" borderId="0" xfId="0" applyAlignment="1" applyProtection="1">
      <alignment horizontal="center" vertical="center"/>
      <protection hidden="1"/>
    </xf>
    <xf numFmtId="0" fontId="0" fillId="0" borderId="46" xfId="0" applyBorder="1" applyAlignment="1" applyProtection="1">
      <alignment horizontal="left"/>
      <protection hidden="1"/>
    </xf>
    <xf numFmtId="0" fontId="0" fillId="0" borderId="4" xfId="0" applyBorder="1" applyAlignment="1" applyProtection="1">
      <alignment horizontal="center" vertical="center"/>
      <protection hidden="1"/>
    </xf>
    <xf numFmtId="0" fontId="0" fillId="0" borderId="5" xfId="0" applyBorder="1" applyProtection="1">
      <protection hidden="1"/>
    </xf>
    <xf numFmtId="0" fontId="0" fillId="0" borderId="8" xfId="0" applyBorder="1" applyAlignment="1" applyProtection="1">
      <alignment horizontal="center" vertical="center"/>
      <protection hidden="1"/>
    </xf>
    <xf numFmtId="0" fontId="0" fillId="0" borderId="5" xfId="0" applyBorder="1" applyAlignment="1" applyProtection="1">
      <alignment horizontal="left"/>
      <protection hidden="1"/>
    </xf>
    <xf numFmtId="0" fontId="0" fillId="0" borderId="3" xfId="0" applyBorder="1" applyAlignment="1" applyProtection="1">
      <alignment horizontal="center" vertical="center"/>
      <protection hidden="1"/>
    </xf>
    <xf numFmtId="0" fontId="0" fillId="0" borderId="54" xfId="0" applyBorder="1" applyProtection="1">
      <protection hidden="1"/>
    </xf>
    <xf numFmtId="0" fontId="0" fillId="0" borderId="54" xfId="0" applyBorder="1" applyAlignment="1" applyProtection="1">
      <alignment horizontal="left"/>
      <protection hidden="1"/>
    </xf>
    <xf numFmtId="0" fontId="96" fillId="0" borderId="8" xfId="0" applyFont="1" applyBorder="1" applyProtection="1">
      <protection hidden="1"/>
    </xf>
    <xf numFmtId="0" fontId="96" fillId="0" borderId="8" xfId="0" applyFont="1" applyBorder="1" applyAlignment="1" applyProtection="1">
      <alignment horizontal="right"/>
      <protection hidden="1"/>
    </xf>
    <xf numFmtId="0" fontId="96" fillId="0" borderId="0" xfId="0" applyFont="1" applyProtection="1">
      <protection hidden="1"/>
    </xf>
    <xf numFmtId="0" fontId="54" fillId="0" borderId="0" xfId="0" applyFont="1" applyAlignment="1" applyProtection="1">
      <alignment horizontal="right"/>
      <protection hidden="1"/>
    </xf>
    <xf numFmtId="0" fontId="5" fillId="0" borderId="0" xfId="0" applyFont="1" applyAlignment="1" applyProtection="1">
      <alignment horizontal="left" indent="1"/>
      <protection hidden="1"/>
    </xf>
    <xf numFmtId="0" fontId="5" fillId="0" borderId="0" xfId="0" applyFont="1" applyAlignment="1" applyProtection="1">
      <alignment horizontal="left"/>
      <protection hidden="1"/>
    </xf>
    <xf numFmtId="0" fontId="5" fillId="0" borderId="1" xfId="0" applyFont="1" applyBorder="1" applyAlignment="1" applyProtection="1">
      <alignment horizontal="left"/>
      <protection hidden="1"/>
    </xf>
    <xf numFmtId="0" fontId="14" fillId="0" borderId="0" xfId="0" applyFont="1" applyAlignment="1" applyProtection="1">
      <alignment horizontal="right" indent="1"/>
      <protection hidden="1"/>
    </xf>
    <xf numFmtId="0" fontId="0" fillId="0" borderId="1" xfId="0" applyBorder="1" applyAlignment="1" applyProtection="1">
      <alignment horizontal="left" vertical="center"/>
      <protection hidden="1"/>
    </xf>
    <xf numFmtId="0" fontId="0" fillId="0" borderId="1" xfId="0" applyBorder="1" applyAlignment="1" applyProtection="1">
      <alignment horizontal="center" vertical="center"/>
      <protection hidden="1"/>
    </xf>
    <xf numFmtId="0" fontId="76" fillId="0" borderId="0" xfId="0" applyFont="1" applyProtection="1">
      <protection hidden="1"/>
    </xf>
    <xf numFmtId="0" fontId="5" fillId="0" borderId="1" xfId="0" applyFont="1" applyBorder="1" applyProtection="1">
      <protection hidden="1"/>
    </xf>
    <xf numFmtId="0" fontId="56" fillId="0" borderId="0" xfId="0" applyFont="1" applyAlignment="1" applyProtection="1">
      <alignment vertical="top"/>
      <protection hidden="1"/>
    </xf>
    <xf numFmtId="0" fontId="190" fillId="0" borderId="0" xfId="0" applyFont="1" applyAlignment="1" applyProtection="1">
      <alignment horizontal="left"/>
      <protection hidden="1"/>
    </xf>
    <xf numFmtId="0" fontId="0" fillId="0" borderId="2" xfId="0" applyBorder="1" applyProtection="1">
      <protection hidden="1"/>
    </xf>
    <xf numFmtId="0" fontId="0" fillId="0" borderId="2" xfId="0" applyBorder="1" applyAlignment="1" applyProtection="1">
      <alignment horizontal="left" indent="1"/>
      <protection hidden="1"/>
    </xf>
    <xf numFmtId="0" fontId="77" fillId="0" borderId="2" xfId="0" applyFont="1" applyBorder="1" applyAlignment="1" applyProtection="1">
      <alignment horizontal="right"/>
      <protection hidden="1"/>
    </xf>
    <xf numFmtId="164" fontId="78" fillId="0" borderId="2" xfId="0" applyNumberFormat="1" applyFont="1" applyBorder="1" applyProtection="1">
      <protection hidden="1"/>
    </xf>
    <xf numFmtId="164" fontId="191" fillId="0" borderId="2" xfId="0" applyNumberFormat="1" applyFont="1" applyBorder="1" applyProtection="1">
      <protection hidden="1"/>
    </xf>
    <xf numFmtId="0" fontId="0" fillId="0" borderId="8" xfId="0" applyBorder="1" applyAlignment="1" applyProtection="1">
      <alignment horizontal="left"/>
      <protection hidden="1"/>
    </xf>
    <xf numFmtId="164" fontId="4" fillId="0" borderId="8" xfId="0" applyNumberFormat="1" applyFont="1" applyBorder="1" applyProtection="1">
      <protection hidden="1"/>
    </xf>
    <xf numFmtId="0" fontId="54" fillId="0" borderId="0" xfId="0" applyFont="1" applyProtection="1">
      <protection hidden="1"/>
    </xf>
    <xf numFmtId="164" fontId="4" fillId="0" borderId="0" xfId="0" applyNumberFormat="1" applyFont="1" applyAlignment="1" applyProtection="1">
      <alignment horizontal="right"/>
      <protection hidden="1"/>
    </xf>
    <xf numFmtId="0" fontId="4" fillId="0" borderId="0" xfId="0" applyFont="1" applyAlignment="1" applyProtection="1">
      <alignment vertical="center"/>
      <protection hidden="1"/>
    </xf>
    <xf numFmtId="0" fontId="61" fillId="0" borderId="0" xfId="0" applyFont="1" applyAlignment="1" applyProtection="1">
      <alignment horizontal="left" indent="1"/>
      <protection hidden="1"/>
    </xf>
    <xf numFmtId="0" fontId="8" fillId="0" borderId="0" xfId="0" applyFont="1" applyAlignment="1" applyProtection="1">
      <alignment horizontal="left" indent="1"/>
      <protection hidden="1"/>
    </xf>
    <xf numFmtId="0" fontId="4" fillId="0" borderId="0" xfId="0" applyFont="1" applyAlignment="1" applyProtection="1">
      <alignment horizontal="right" vertical="center"/>
      <protection hidden="1"/>
    </xf>
    <xf numFmtId="0" fontId="0" fillId="0" borderId="8" xfId="0" applyBorder="1" applyAlignment="1" applyProtection="1">
      <alignment horizontal="right"/>
      <protection hidden="1"/>
    </xf>
    <xf numFmtId="164" fontId="4" fillId="0" borderId="8" xfId="0" applyNumberFormat="1" applyFont="1" applyBorder="1" applyAlignment="1" applyProtection="1">
      <alignment horizontal="right"/>
      <protection hidden="1"/>
    </xf>
    <xf numFmtId="167" fontId="176" fillId="0" borderId="0" xfId="0" applyNumberFormat="1" applyFont="1" applyAlignment="1" applyProtection="1">
      <alignment vertical="top"/>
      <protection hidden="1"/>
    </xf>
    <xf numFmtId="0" fontId="0" fillId="0" borderId="0" xfId="0" applyAlignment="1" applyProtection="1">
      <alignment horizontal="right" wrapText="1"/>
      <protection hidden="1"/>
    </xf>
    <xf numFmtId="164" fontId="0" fillId="0" borderId="8" xfId="0" applyNumberFormat="1" applyBorder="1" applyAlignment="1" applyProtection="1">
      <alignment horizontal="right" vertical="center"/>
      <protection hidden="1"/>
    </xf>
    <xf numFmtId="0" fontId="0" fillId="0" borderId="2" xfId="0" applyBorder="1" applyAlignment="1" applyProtection="1">
      <alignment horizontal="left"/>
      <protection hidden="1"/>
    </xf>
    <xf numFmtId="164" fontId="5" fillId="0" borderId="2" xfId="0" applyNumberFormat="1" applyFont="1" applyBorder="1" applyProtection="1">
      <protection hidden="1"/>
    </xf>
    <xf numFmtId="164" fontId="0" fillId="0" borderId="2" xfId="0" applyNumberFormat="1" applyBorder="1" applyProtection="1">
      <protection hidden="1"/>
    </xf>
    <xf numFmtId="164" fontId="0" fillId="0" borderId="0" xfId="0" applyNumberFormat="1" applyAlignment="1" applyProtection="1">
      <alignment horizontal="right"/>
      <protection hidden="1"/>
    </xf>
    <xf numFmtId="164" fontId="58" fillId="0" borderId="0" xfId="0" applyNumberFormat="1" applyFont="1" applyAlignment="1" applyProtection="1">
      <alignment horizontal="right"/>
      <protection hidden="1"/>
    </xf>
    <xf numFmtId="164" fontId="5" fillId="0" borderId="0" xfId="0" applyNumberFormat="1" applyFont="1" applyProtection="1">
      <protection hidden="1"/>
    </xf>
    <xf numFmtId="164" fontId="0" fillId="0" borderId="0" xfId="0" applyNumberFormat="1" applyProtection="1">
      <protection hidden="1"/>
    </xf>
    <xf numFmtId="164" fontId="58" fillId="0" borderId="0" xfId="0" applyNumberFormat="1" applyFont="1" applyProtection="1">
      <protection hidden="1"/>
    </xf>
    <xf numFmtId="164" fontId="5" fillId="0" borderId="8" xfId="0" applyNumberFormat="1" applyFont="1" applyBorder="1" applyProtection="1">
      <protection hidden="1"/>
    </xf>
    <xf numFmtId="164" fontId="0" fillId="0" borderId="8" xfId="0" applyNumberFormat="1" applyBorder="1" applyProtection="1">
      <protection hidden="1"/>
    </xf>
    <xf numFmtId="0" fontId="0" fillId="0" borderId="1" xfId="0" applyBorder="1" applyAlignment="1" applyProtection="1">
      <alignment horizontal="left" vertical="center" indent="1"/>
      <protection hidden="1"/>
    </xf>
    <xf numFmtId="0" fontId="0" fillId="0" borderId="0" xfId="0" applyAlignment="1" applyProtection="1">
      <alignment horizontal="left" vertical="center" indent="1"/>
      <protection hidden="1"/>
    </xf>
    <xf numFmtId="0" fontId="0" fillId="0" borderId="48" xfId="0" applyBorder="1" applyAlignment="1" applyProtection="1">
      <alignment horizontal="right" vertical="center"/>
      <protection hidden="1"/>
    </xf>
    <xf numFmtId="0" fontId="35" fillId="0" borderId="48" xfId="0" applyFont="1" applyBorder="1" applyAlignment="1" applyProtection="1">
      <alignment horizontal="left" vertical="center" indent="1"/>
      <protection hidden="1"/>
    </xf>
    <xf numFmtId="0" fontId="77" fillId="0" borderId="0" xfId="0" applyFont="1" applyAlignment="1" applyProtection="1">
      <alignment horizontal="right"/>
      <protection hidden="1"/>
    </xf>
    <xf numFmtId="164" fontId="78" fillId="0" borderId="0" xfId="0" applyNumberFormat="1" applyFont="1" applyAlignment="1" applyProtection="1">
      <alignment horizontal="right"/>
      <protection hidden="1"/>
    </xf>
    <xf numFmtId="164" fontId="78" fillId="0" borderId="0" xfId="0" applyNumberFormat="1" applyFont="1" applyProtection="1">
      <protection hidden="1"/>
    </xf>
    <xf numFmtId="164" fontId="196" fillId="0" borderId="0" xfId="0" applyNumberFormat="1" applyFont="1" applyProtection="1">
      <protection hidden="1"/>
    </xf>
    <xf numFmtId="164" fontId="5" fillId="0" borderId="0" xfId="0" applyNumberFormat="1" applyFont="1" applyAlignment="1" applyProtection="1">
      <alignment horizontal="right"/>
      <protection hidden="1"/>
    </xf>
    <xf numFmtId="164" fontId="37" fillId="0" borderId="0" xfId="0" applyNumberFormat="1" applyFont="1" applyAlignment="1" applyProtection="1">
      <alignment horizontal="right"/>
      <protection hidden="1"/>
    </xf>
    <xf numFmtId="165" fontId="0" fillId="0" borderId="0" xfId="0" applyNumberFormat="1" applyAlignment="1" applyProtection="1">
      <alignment horizontal="left" indent="1"/>
      <protection hidden="1"/>
    </xf>
    <xf numFmtId="0" fontId="0" fillId="0" borderId="48" xfId="0" applyBorder="1" applyAlignment="1" applyProtection="1">
      <alignment horizontal="left"/>
      <protection hidden="1"/>
    </xf>
    <xf numFmtId="164" fontId="5" fillId="0" borderId="48" xfId="0" applyNumberFormat="1" applyFont="1" applyBorder="1" applyAlignment="1" applyProtection="1">
      <alignment horizontal="right"/>
      <protection hidden="1"/>
    </xf>
    <xf numFmtId="164" fontId="37" fillId="0" borderId="48" xfId="0" applyNumberFormat="1" applyFont="1" applyBorder="1" applyAlignment="1" applyProtection="1">
      <alignment horizontal="right"/>
      <protection hidden="1"/>
    </xf>
    <xf numFmtId="165" fontId="0" fillId="0" borderId="0" xfId="0" applyNumberFormat="1" applyAlignment="1" applyProtection="1">
      <alignment horizontal="left" indent="2"/>
      <protection hidden="1"/>
    </xf>
    <xf numFmtId="0" fontId="54" fillId="0" borderId="6" xfId="0" applyFont="1" applyBorder="1" applyAlignment="1" applyProtection="1">
      <alignment horizontal="left"/>
      <protection hidden="1"/>
    </xf>
    <xf numFmtId="0" fontId="0" fillId="0" borderId="79" xfId="0" applyBorder="1" applyAlignment="1" applyProtection="1">
      <alignment horizontal="left"/>
      <protection hidden="1"/>
    </xf>
    <xf numFmtId="164" fontId="76" fillId="0" borderId="0" xfId="0" applyNumberFormat="1" applyFont="1" applyProtection="1">
      <protection hidden="1"/>
    </xf>
    <xf numFmtId="165" fontId="0" fillId="0" borderId="0" xfId="0" applyNumberFormat="1" applyAlignment="1" applyProtection="1">
      <alignment vertical="center"/>
      <protection hidden="1"/>
    </xf>
    <xf numFmtId="164" fontId="76" fillId="0" borderId="0" xfId="0" applyNumberFormat="1" applyFont="1" applyAlignment="1" applyProtection="1">
      <alignment vertical="center"/>
      <protection hidden="1"/>
    </xf>
    <xf numFmtId="165" fontId="0" fillId="0" borderId="0" xfId="0" applyNumberFormat="1" applyProtection="1">
      <protection hidden="1"/>
    </xf>
    <xf numFmtId="167" fontId="97" fillId="0" borderId="0" xfId="0" applyNumberFormat="1" applyFont="1" applyAlignment="1" applyProtection="1">
      <alignment vertical="center"/>
      <protection hidden="1"/>
    </xf>
    <xf numFmtId="164" fontId="12" fillId="0" borderId="0" xfId="0" applyNumberFormat="1" applyFont="1" applyProtection="1">
      <protection hidden="1"/>
    </xf>
    <xf numFmtId="0" fontId="0" fillId="0" borderId="58" xfId="0" applyBorder="1" applyAlignment="1" applyProtection="1">
      <alignment horizontal="right" indent="1"/>
      <protection hidden="1"/>
    </xf>
    <xf numFmtId="0" fontId="96" fillId="0" borderId="59" xfId="0" applyFont="1" applyBorder="1" applyAlignment="1" applyProtection="1">
      <alignment horizontal="right" vertical="center" indent="1"/>
      <protection hidden="1"/>
    </xf>
    <xf numFmtId="0" fontId="0" fillId="0" borderId="58" xfId="0" applyBorder="1" applyAlignment="1" applyProtection="1">
      <alignment horizontal="right" vertical="center" indent="1"/>
      <protection hidden="1"/>
    </xf>
    <xf numFmtId="0" fontId="0" fillId="0" borderId="6" xfId="0" applyBorder="1" applyAlignment="1" applyProtection="1">
      <alignment horizontal="right" vertical="center"/>
      <protection hidden="1"/>
    </xf>
    <xf numFmtId="164" fontId="174" fillId="0" borderId="0" xfId="0" applyNumberFormat="1" applyFont="1" applyAlignment="1" applyProtection="1">
      <alignment vertical="center"/>
      <protection hidden="1"/>
    </xf>
    <xf numFmtId="0" fontId="0" fillId="0" borderId="58" xfId="0" applyBorder="1" applyAlignment="1" applyProtection="1">
      <alignment horizontal="center" vertical="center"/>
      <protection hidden="1"/>
    </xf>
    <xf numFmtId="0" fontId="0" fillId="0" borderId="48" xfId="0" applyBorder="1" applyAlignment="1" applyProtection="1">
      <alignment horizontal="center" vertical="center"/>
      <protection hidden="1"/>
    </xf>
    <xf numFmtId="0" fontId="0" fillId="0" borderId="3" xfId="0" applyBorder="1" applyProtection="1">
      <protection hidden="1"/>
    </xf>
    <xf numFmtId="0" fontId="96" fillId="0" borderId="0" xfId="0" applyFont="1" applyAlignment="1" applyProtection="1">
      <alignment horizontal="right" vertical="center" indent="1"/>
      <protection hidden="1"/>
    </xf>
    <xf numFmtId="164" fontId="4" fillId="0" borderId="7" xfId="0" applyNumberFormat="1" applyFont="1" applyBorder="1" applyAlignment="1" applyProtection="1">
      <alignment horizontal="right" vertical="center"/>
      <protection hidden="1"/>
    </xf>
    <xf numFmtId="164" fontId="4" fillId="0" borderId="0" xfId="0" applyNumberFormat="1" applyFont="1" applyAlignment="1" applyProtection="1">
      <alignment horizontal="right" vertical="center"/>
      <protection hidden="1"/>
    </xf>
    <xf numFmtId="164" fontId="4" fillId="0" borderId="46" xfId="0" applyNumberFormat="1" applyFont="1" applyBorder="1" applyAlignment="1" applyProtection="1">
      <alignment horizontal="right" vertical="center"/>
      <protection hidden="1"/>
    </xf>
    <xf numFmtId="0" fontId="0" fillId="0" borderId="63" xfId="0" applyBorder="1" applyAlignment="1" applyProtection="1">
      <alignment horizontal="center" vertical="center"/>
      <protection hidden="1"/>
    </xf>
    <xf numFmtId="167" fontId="97" fillId="0" borderId="0" xfId="0" applyNumberFormat="1" applyFont="1" applyAlignment="1" applyProtection="1">
      <alignment vertical="center" wrapText="1"/>
      <protection hidden="1"/>
    </xf>
    <xf numFmtId="0" fontId="0" fillId="0" borderId="8" xfId="0" applyBorder="1" applyAlignment="1" applyProtection="1">
      <alignment horizontal="right" indent="1"/>
      <protection hidden="1"/>
    </xf>
    <xf numFmtId="164" fontId="4" fillId="0" borderId="4" xfId="0" applyNumberFormat="1" applyFont="1" applyBorder="1" applyAlignment="1" applyProtection="1">
      <alignment horizontal="right" vertical="center"/>
      <protection hidden="1"/>
    </xf>
    <xf numFmtId="164" fontId="4" fillId="0" borderId="8" xfId="0" applyNumberFormat="1" applyFont="1" applyBorder="1" applyAlignment="1" applyProtection="1">
      <alignment horizontal="right" vertical="center"/>
      <protection hidden="1"/>
    </xf>
    <xf numFmtId="164" fontId="4" fillId="0" borderId="5" xfId="0" applyNumberFormat="1" applyFont="1" applyBorder="1" applyAlignment="1" applyProtection="1">
      <alignment horizontal="right" vertical="center"/>
      <protection hidden="1"/>
    </xf>
    <xf numFmtId="164" fontId="15" fillId="0" borderId="4" xfId="0" applyNumberFormat="1" applyFont="1" applyBorder="1" applyAlignment="1" applyProtection="1">
      <alignment horizontal="right" vertical="center"/>
      <protection hidden="1"/>
    </xf>
    <xf numFmtId="164" fontId="15" fillId="0" borderId="8" xfId="0" applyNumberFormat="1" applyFont="1" applyBorder="1" applyAlignment="1" applyProtection="1">
      <alignment horizontal="right" vertical="center"/>
      <protection hidden="1"/>
    </xf>
    <xf numFmtId="164" fontId="15" fillId="0" borderId="5" xfId="0" applyNumberFormat="1" applyFont="1" applyBorder="1" applyAlignment="1" applyProtection="1">
      <alignment horizontal="right" vertical="center"/>
      <protection hidden="1"/>
    </xf>
    <xf numFmtId="165" fontId="0" fillId="0" borderId="6" xfId="0" applyNumberFormat="1" applyBorder="1" applyProtection="1">
      <protection hidden="1"/>
    </xf>
    <xf numFmtId="165" fontId="0" fillId="0" borderId="79" xfId="0" applyNumberFormat="1" applyBorder="1" applyProtection="1">
      <protection hidden="1"/>
    </xf>
    <xf numFmtId="6" fontId="5" fillId="0" borderId="0" xfId="0" applyNumberFormat="1" applyFont="1" applyProtection="1">
      <protection hidden="1"/>
    </xf>
    <xf numFmtId="0" fontId="0" fillId="0" borderId="1" xfId="0" applyBorder="1" applyProtection="1">
      <protection hidden="1"/>
    </xf>
    <xf numFmtId="0" fontId="5" fillId="0" borderId="1" xfId="0" applyFont="1" applyBorder="1" applyAlignment="1" applyProtection="1">
      <alignment horizontal="right" vertical="center"/>
      <protection hidden="1"/>
    </xf>
    <xf numFmtId="0" fontId="5" fillId="0" borderId="0" xfId="0" applyFont="1" applyAlignment="1" applyProtection="1">
      <alignment horizontal="right" vertical="center"/>
      <protection hidden="1"/>
    </xf>
    <xf numFmtId="0" fontId="31" fillId="0" borderId="0" xfId="0" applyFont="1" applyProtection="1">
      <protection hidden="1"/>
    </xf>
    <xf numFmtId="0" fontId="6" fillId="0" borderId="0" xfId="0" applyFont="1" applyProtection="1">
      <protection hidden="1"/>
    </xf>
    <xf numFmtId="0" fontId="54" fillId="0" borderId="8" xfId="0" applyFont="1" applyBorder="1" applyAlignment="1" applyProtection="1">
      <alignment horizontal="left" vertical="center"/>
      <protection hidden="1"/>
    </xf>
    <xf numFmtId="0" fontId="6" fillId="0" borderId="8" xfId="0" applyFont="1" applyBorder="1" applyAlignment="1" applyProtection="1">
      <alignment vertical="center"/>
      <protection hidden="1"/>
    </xf>
    <xf numFmtId="0" fontId="197" fillId="0" borderId="0" xfId="0" applyFont="1" applyProtection="1">
      <protection hidden="1"/>
    </xf>
    <xf numFmtId="0" fontId="44" fillId="0" borderId="0" xfId="0" applyFont="1" applyAlignment="1" applyProtection="1">
      <alignment horizontal="right"/>
      <protection hidden="1"/>
    </xf>
    <xf numFmtId="0" fontId="6" fillId="0" borderId="0" xfId="0" applyFont="1" applyAlignment="1" applyProtection="1">
      <alignment horizontal="right"/>
      <protection hidden="1"/>
    </xf>
    <xf numFmtId="0" fontId="44" fillId="0" borderId="3" xfId="0" applyFont="1" applyBorder="1" applyAlignment="1" applyProtection="1">
      <alignment horizontal="right" vertical="center"/>
      <protection hidden="1"/>
    </xf>
    <xf numFmtId="1" fontId="206" fillId="0" borderId="54" xfId="0" applyNumberFormat="1" applyFont="1" applyBorder="1" applyAlignment="1" applyProtection="1">
      <alignment horizontal="center" vertical="center"/>
      <protection hidden="1"/>
    </xf>
    <xf numFmtId="0" fontId="44" fillId="0" borderId="4" xfId="0" applyFont="1" applyBorder="1" applyAlignment="1" applyProtection="1">
      <alignment horizontal="right" vertical="center"/>
      <protection hidden="1"/>
    </xf>
    <xf numFmtId="1" fontId="206" fillId="0" borderId="5" xfId="0" applyNumberFormat="1" applyFont="1" applyBorder="1" applyAlignment="1" applyProtection="1">
      <alignment horizontal="center" vertical="center"/>
      <protection hidden="1"/>
    </xf>
    <xf numFmtId="1" fontId="153" fillId="0" borderId="0" xfId="0" applyNumberFormat="1" applyFont="1" applyProtection="1">
      <protection hidden="1"/>
    </xf>
    <xf numFmtId="0" fontId="155" fillId="4" borderId="229" xfId="0" applyFont="1" applyFill="1" applyBorder="1" applyAlignment="1" applyProtection="1">
      <alignment horizontal="left" vertical="center" indent="1"/>
      <protection hidden="1"/>
    </xf>
    <xf numFmtId="0" fontId="154" fillId="34" borderId="0" xfId="0" applyFont="1" applyFill="1" applyAlignment="1" applyProtection="1">
      <alignment vertical="center"/>
      <protection hidden="1"/>
    </xf>
    <xf numFmtId="0" fontId="0" fillId="0" borderId="0" xfId="0" applyAlignment="1" applyProtection="1">
      <alignment horizontal="center"/>
      <protection hidden="1"/>
    </xf>
    <xf numFmtId="0" fontId="32" fillId="4" borderId="0" xfId="0" applyFont="1" applyFill="1" applyAlignment="1" applyProtection="1">
      <alignment horizontal="center"/>
      <protection hidden="1"/>
    </xf>
    <xf numFmtId="167" fontId="0" fillId="0" borderId="0" xfId="0" applyNumberFormat="1"/>
    <xf numFmtId="0" fontId="5" fillId="0" borderId="102" xfId="0" applyFont="1" applyBorder="1" applyAlignment="1">
      <alignment vertical="top"/>
    </xf>
    <xf numFmtId="0" fontId="212" fillId="0" borderId="0" xfId="0" applyFont="1" applyAlignment="1">
      <alignment horizontal="right"/>
    </xf>
    <xf numFmtId="0" fontId="136" fillId="0" borderId="0" xfId="0" applyFont="1" applyAlignment="1">
      <alignment horizontal="right"/>
    </xf>
    <xf numFmtId="0" fontId="4" fillId="0" borderId="0" xfId="0" applyFont="1" applyAlignment="1">
      <alignment horizontal="right" vertical="top" wrapText="1"/>
    </xf>
    <xf numFmtId="0" fontId="40" fillId="0" borderId="0" xfId="0" applyFont="1" applyAlignment="1">
      <alignment vertical="center"/>
    </xf>
    <xf numFmtId="165" fontId="4" fillId="0" borderId="0" xfId="0" applyNumberFormat="1" applyFont="1" applyAlignment="1">
      <alignment horizontal="right" vertical="center"/>
    </xf>
    <xf numFmtId="165" fontId="0" fillId="0" borderId="0" xfId="0" applyNumberFormat="1" applyAlignment="1">
      <alignment horizontal="right" vertical="center"/>
    </xf>
    <xf numFmtId="0" fontId="0" fillId="0" borderId="0" xfId="0" applyAlignment="1">
      <alignment horizontal="right" vertical="center"/>
    </xf>
    <xf numFmtId="0" fontId="5" fillId="0" borderId="0" xfId="0" applyFont="1" applyAlignment="1">
      <alignment horizontal="left" vertical="center"/>
    </xf>
    <xf numFmtId="165" fontId="4" fillId="0" borderId="0" xfId="0" applyNumberFormat="1" applyFont="1" applyAlignment="1">
      <alignment vertical="center"/>
    </xf>
    <xf numFmtId="0" fontId="35" fillId="0" borderId="0" xfId="0" applyFont="1"/>
    <xf numFmtId="0" fontId="61" fillId="0" borderId="0" xfId="0" applyFont="1"/>
    <xf numFmtId="0" fontId="0" fillId="0" borderId="0" xfId="0" applyAlignment="1">
      <alignment horizontal="center"/>
    </xf>
    <xf numFmtId="164" fontId="4" fillId="0" borderId="0" xfId="0" applyNumberFormat="1" applyFont="1" applyAlignment="1">
      <alignment wrapText="1"/>
    </xf>
    <xf numFmtId="164" fontId="216" fillId="0" borderId="0" xfId="0" applyNumberFormat="1" applyFont="1"/>
    <xf numFmtId="0" fontId="208" fillId="4" borderId="0" xfId="0" applyFont="1" applyFill="1" applyAlignment="1" applyProtection="1">
      <alignment horizontal="left"/>
      <protection hidden="1"/>
    </xf>
    <xf numFmtId="0" fontId="12" fillId="27" borderId="11" xfId="0" applyFont="1" applyFill="1" applyBorder="1" applyProtection="1">
      <protection hidden="1"/>
    </xf>
    <xf numFmtId="0" fontId="12" fillId="27" borderId="12" xfId="0" applyFont="1" applyFill="1" applyBorder="1" applyProtection="1">
      <protection hidden="1"/>
    </xf>
    <xf numFmtId="0" fontId="12" fillId="27" borderId="13" xfId="0" applyFont="1" applyFill="1" applyBorder="1" applyProtection="1">
      <protection hidden="1"/>
    </xf>
    <xf numFmtId="0" fontId="12" fillId="4" borderId="14" xfId="0" applyFont="1" applyFill="1" applyBorder="1" applyProtection="1">
      <protection hidden="1"/>
    </xf>
    <xf numFmtId="0" fontId="12" fillId="27" borderId="19" xfId="0" applyFont="1" applyFill="1" applyBorder="1" applyProtection="1">
      <protection hidden="1"/>
    </xf>
    <xf numFmtId="0" fontId="12" fillId="27" borderId="20" xfId="0" applyFont="1" applyFill="1" applyBorder="1" applyProtection="1">
      <protection hidden="1"/>
    </xf>
    <xf numFmtId="0" fontId="12" fillId="27" borderId="14" xfId="0" applyFont="1" applyFill="1" applyBorder="1" applyProtection="1">
      <protection hidden="1"/>
    </xf>
    <xf numFmtId="0" fontId="12" fillId="27" borderId="15" xfId="0" applyFont="1" applyFill="1" applyBorder="1" applyProtection="1">
      <protection hidden="1"/>
    </xf>
    <xf numFmtId="0" fontId="31" fillId="27" borderId="14" xfId="0" applyFont="1" applyFill="1" applyBorder="1" applyAlignment="1" applyProtection="1">
      <alignment horizontal="left" vertical="top"/>
      <protection hidden="1"/>
    </xf>
    <xf numFmtId="0" fontId="29" fillId="4" borderId="19" xfId="0" applyFont="1" applyFill="1" applyBorder="1" applyAlignment="1" applyProtection="1">
      <alignment horizontal="left" vertical="top" indent="1"/>
      <protection hidden="1"/>
    </xf>
    <xf numFmtId="0" fontId="12" fillId="27" borderId="27" xfId="0" applyFont="1" applyFill="1" applyBorder="1" applyProtection="1">
      <protection hidden="1"/>
    </xf>
    <xf numFmtId="0" fontId="12" fillId="27" borderId="323" xfId="0" applyFont="1" applyFill="1" applyBorder="1" applyProtection="1">
      <protection hidden="1"/>
    </xf>
    <xf numFmtId="0" fontId="0" fillId="27" borderId="27" xfId="0" applyFill="1" applyBorder="1" applyProtection="1">
      <protection hidden="1"/>
    </xf>
    <xf numFmtId="0" fontId="31" fillId="27" borderId="15" xfId="0" applyFont="1" applyFill="1" applyBorder="1" applyAlignment="1" applyProtection="1">
      <alignment horizontal="left" vertical="top"/>
      <protection hidden="1"/>
    </xf>
    <xf numFmtId="0" fontId="0" fillId="4" borderId="14" xfId="0" applyFill="1" applyBorder="1" applyProtection="1">
      <protection hidden="1"/>
    </xf>
    <xf numFmtId="0" fontId="31" fillId="4" borderId="22" xfId="0" applyFont="1" applyFill="1" applyBorder="1" applyAlignment="1" applyProtection="1">
      <alignment horizontal="center" vertical="center"/>
      <protection hidden="1"/>
    </xf>
    <xf numFmtId="0" fontId="31" fillId="27" borderId="27" xfId="0" applyFont="1" applyFill="1" applyBorder="1" applyAlignment="1" applyProtection="1">
      <alignment horizontal="left" indent="1"/>
      <protection hidden="1"/>
    </xf>
    <xf numFmtId="0" fontId="1" fillId="27" borderId="323" xfId="0" applyFont="1" applyFill="1" applyBorder="1" applyProtection="1">
      <protection hidden="1"/>
    </xf>
    <xf numFmtId="0" fontId="31" fillId="4" borderId="14" xfId="0" applyFont="1" applyFill="1" applyBorder="1" applyAlignment="1" applyProtection="1">
      <alignment horizontal="left" vertical="center"/>
      <protection hidden="1"/>
    </xf>
    <xf numFmtId="0" fontId="0" fillId="27" borderId="23" xfId="0" applyFill="1" applyBorder="1" applyProtection="1">
      <protection hidden="1"/>
    </xf>
    <xf numFmtId="0" fontId="17" fillId="27" borderId="14" xfId="0" applyFont="1" applyFill="1" applyBorder="1" applyAlignment="1" applyProtection="1">
      <alignment horizontal="left"/>
      <protection hidden="1"/>
    </xf>
    <xf numFmtId="0" fontId="17" fillId="4" borderId="22" xfId="0" applyFont="1" applyFill="1" applyBorder="1" applyAlignment="1" applyProtection="1">
      <alignment horizontal="left" vertical="center"/>
      <protection hidden="1"/>
    </xf>
    <xf numFmtId="0" fontId="12" fillId="27" borderId="14" xfId="0" applyFont="1" applyFill="1" applyBorder="1" applyAlignment="1" applyProtection="1">
      <alignment vertical="center"/>
      <protection hidden="1"/>
    </xf>
    <xf numFmtId="0" fontId="17" fillId="27" borderId="15" xfId="0" applyFont="1" applyFill="1" applyBorder="1" applyAlignment="1" applyProtection="1">
      <alignment horizontal="left"/>
      <protection hidden="1"/>
    </xf>
    <xf numFmtId="0" fontId="17" fillId="4" borderId="14" xfId="0" applyFont="1" applyFill="1" applyBorder="1" applyAlignment="1" applyProtection="1">
      <alignment horizontal="left"/>
      <protection hidden="1"/>
    </xf>
    <xf numFmtId="0" fontId="47" fillId="4" borderId="0" xfId="0" applyFont="1" applyFill="1" applyAlignment="1" applyProtection="1">
      <alignment horizontal="left" vertical="center"/>
      <protection hidden="1"/>
    </xf>
    <xf numFmtId="0" fontId="17" fillId="27" borderId="27" xfId="0" applyFont="1" applyFill="1" applyBorder="1" applyAlignment="1" applyProtection="1">
      <alignment horizontal="left"/>
      <protection hidden="1"/>
    </xf>
    <xf numFmtId="0" fontId="17" fillId="27" borderId="323" xfId="0" applyFont="1" applyFill="1" applyBorder="1" applyAlignment="1" applyProtection="1">
      <alignment horizontal="left"/>
      <protection hidden="1"/>
    </xf>
    <xf numFmtId="0" fontId="0" fillId="27" borderId="27" xfId="0" applyFill="1" applyBorder="1" applyAlignment="1" applyProtection="1">
      <alignment vertical="center"/>
      <protection hidden="1"/>
    </xf>
    <xf numFmtId="0" fontId="14" fillId="27" borderId="14" xfId="0" applyFont="1" applyFill="1" applyBorder="1" applyAlignment="1" applyProtection="1">
      <alignment vertical="center"/>
      <protection hidden="1"/>
    </xf>
    <xf numFmtId="166" fontId="14" fillId="4" borderId="22" xfId="0" applyNumberFormat="1" applyFont="1" applyFill="1" applyBorder="1" applyAlignment="1" applyProtection="1">
      <alignment vertical="center"/>
      <protection hidden="1"/>
    </xf>
    <xf numFmtId="0" fontId="5" fillId="4" borderId="23" xfId="0" applyFont="1" applyFill="1" applyBorder="1" applyAlignment="1" applyProtection="1">
      <alignment vertical="center"/>
      <protection hidden="1"/>
    </xf>
    <xf numFmtId="0" fontId="14" fillId="27" borderId="15" xfId="0" applyFont="1" applyFill="1" applyBorder="1" applyAlignment="1" applyProtection="1">
      <alignment vertical="center"/>
      <protection hidden="1"/>
    </xf>
    <xf numFmtId="0" fontId="14" fillId="4" borderId="14" xfId="0" applyFont="1" applyFill="1" applyBorder="1" applyAlignment="1" applyProtection="1">
      <alignment horizontal="right" vertical="center"/>
      <protection hidden="1"/>
    </xf>
    <xf numFmtId="0" fontId="0" fillId="27" borderId="14" xfId="0" applyFill="1" applyBorder="1" applyAlignment="1" applyProtection="1">
      <alignment vertical="center"/>
      <protection hidden="1"/>
    </xf>
    <xf numFmtId="0" fontId="0" fillId="0" borderId="22" xfId="0" applyBorder="1" applyAlignment="1" applyProtection="1">
      <alignment vertical="center"/>
      <protection hidden="1"/>
    </xf>
    <xf numFmtId="0" fontId="14" fillId="27" borderId="27" xfId="0" applyFont="1" applyFill="1" applyBorder="1" applyAlignment="1" applyProtection="1">
      <alignment vertical="center"/>
      <protection hidden="1"/>
    </xf>
    <xf numFmtId="3" fontId="14" fillId="27" borderId="323" xfId="0" applyNumberFormat="1" applyFont="1" applyFill="1" applyBorder="1" applyAlignment="1" applyProtection="1">
      <alignment vertical="center"/>
      <protection hidden="1"/>
    </xf>
    <xf numFmtId="3" fontId="14" fillId="4" borderId="0" xfId="0" applyNumberFormat="1" applyFont="1" applyFill="1" applyAlignment="1" applyProtection="1">
      <alignment vertical="center"/>
      <protection hidden="1"/>
    </xf>
    <xf numFmtId="0" fontId="12" fillId="4" borderId="24" xfId="0" applyFont="1" applyFill="1" applyBorder="1" applyAlignment="1" applyProtection="1">
      <alignment vertical="center"/>
      <protection hidden="1"/>
    </xf>
    <xf numFmtId="0" fontId="17" fillId="4" borderId="25" xfId="0" applyFont="1" applyFill="1" applyBorder="1" applyAlignment="1" applyProtection="1">
      <alignment vertical="center"/>
      <protection hidden="1"/>
    </xf>
    <xf numFmtId="3" fontId="14" fillId="27" borderId="323" xfId="0" applyNumberFormat="1" applyFont="1" applyFill="1" applyBorder="1" applyAlignment="1" applyProtection="1">
      <alignment horizontal="right" vertical="center"/>
      <protection hidden="1"/>
    </xf>
    <xf numFmtId="0" fontId="12" fillId="27" borderId="44" xfId="0" applyFont="1" applyFill="1" applyBorder="1" applyAlignment="1" applyProtection="1">
      <alignment vertical="center"/>
      <protection hidden="1"/>
    </xf>
    <xf numFmtId="0" fontId="17" fillId="27" borderId="44" xfId="0" applyFont="1" applyFill="1" applyBorder="1" applyAlignment="1" applyProtection="1">
      <alignment vertical="center"/>
      <protection hidden="1"/>
    </xf>
    <xf numFmtId="0" fontId="5" fillId="27" borderId="44" xfId="0" applyFont="1" applyFill="1" applyBorder="1" applyAlignment="1" applyProtection="1">
      <alignment vertical="center"/>
      <protection hidden="1"/>
    </xf>
    <xf numFmtId="0" fontId="17" fillId="4" borderId="0" xfId="0" applyFont="1" applyFill="1" applyProtection="1">
      <protection hidden="1"/>
    </xf>
    <xf numFmtId="0" fontId="12" fillId="27" borderId="22" xfId="0" applyFont="1" applyFill="1" applyBorder="1" applyAlignment="1" applyProtection="1">
      <alignment vertical="center"/>
      <protection hidden="1"/>
    </xf>
    <xf numFmtId="0" fontId="13" fillId="4" borderId="0" xfId="0" applyFont="1" applyFill="1" applyAlignment="1" applyProtection="1">
      <alignment vertical="center"/>
      <protection hidden="1"/>
    </xf>
    <xf numFmtId="0" fontId="14" fillId="27" borderId="23" xfId="0" applyFont="1" applyFill="1" applyBorder="1" applyAlignment="1" applyProtection="1">
      <alignment vertical="center"/>
      <protection hidden="1"/>
    </xf>
    <xf numFmtId="0" fontId="12" fillId="27" borderId="15" xfId="0" applyFont="1" applyFill="1" applyBorder="1" applyAlignment="1" applyProtection="1">
      <alignment vertical="center"/>
      <protection hidden="1"/>
    </xf>
    <xf numFmtId="0" fontId="12" fillId="4" borderId="14" xfId="0" applyFont="1" applyFill="1" applyBorder="1" applyAlignment="1" applyProtection="1">
      <alignment vertical="center"/>
      <protection hidden="1"/>
    </xf>
    <xf numFmtId="0" fontId="12" fillId="27" borderId="27" xfId="0" applyFont="1" applyFill="1" applyBorder="1" applyAlignment="1" applyProtection="1">
      <alignment vertical="center"/>
      <protection hidden="1"/>
    </xf>
    <xf numFmtId="0" fontId="12" fillId="27" borderId="323" xfId="0" applyFont="1" applyFill="1" applyBorder="1" applyAlignment="1" applyProtection="1">
      <alignment vertical="center"/>
      <protection hidden="1"/>
    </xf>
    <xf numFmtId="0" fontId="12" fillId="4" borderId="26" xfId="0" applyFont="1" applyFill="1" applyBorder="1" applyAlignment="1" applyProtection="1">
      <alignment vertical="center"/>
      <protection hidden="1"/>
    </xf>
    <xf numFmtId="0" fontId="12" fillId="27" borderId="17" xfId="0" applyFont="1" applyFill="1" applyBorder="1" applyAlignment="1" applyProtection="1">
      <alignment vertical="center"/>
      <protection hidden="1"/>
    </xf>
    <xf numFmtId="0" fontId="12" fillId="27" borderId="16" xfId="0" applyFont="1" applyFill="1" applyBorder="1" applyAlignment="1" applyProtection="1">
      <alignment vertical="center"/>
      <protection hidden="1"/>
    </xf>
    <xf numFmtId="0" fontId="17" fillId="27" borderId="16" xfId="0" applyFont="1" applyFill="1" applyBorder="1" applyAlignment="1" applyProtection="1">
      <alignment vertical="center"/>
      <protection hidden="1"/>
    </xf>
    <xf numFmtId="0" fontId="12" fillId="27" borderId="18" xfId="0" applyFont="1" applyFill="1" applyBorder="1" applyAlignment="1" applyProtection="1">
      <alignment vertical="center"/>
      <protection hidden="1"/>
    </xf>
    <xf numFmtId="0" fontId="12" fillId="27" borderId="17" xfId="0" applyFont="1" applyFill="1" applyBorder="1" applyProtection="1">
      <protection hidden="1"/>
    </xf>
    <xf numFmtId="0" fontId="12" fillId="27" borderId="16" xfId="0" applyFont="1" applyFill="1" applyBorder="1" applyProtection="1">
      <protection hidden="1"/>
    </xf>
    <xf numFmtId="0" fontId="12" fillId="27" borderId="18" xfId="0" applyFont="1" applyFill="1" applyBorder="1" applyProtection="1">
      <protection hidden="1"/>
    </xf>
    <xf numFmtId="0" fontId="12" fillId="27" borderId="325" xfId="0" applyFont="1" applyFill="1" applyBorder="1" applyProtection="1">
      <protection hidden="1"/>
    </xf>
    <xf numFmtId="0" fontId="12" fillId="4" borderId="15" xfId="0" applyFont="1" applyFill="1" applyBorder="1" applyProtection="1">
      <protection hidden="1"/>
    </xf>
    <xf numFmtId="0" fontId="221" fillId="4" borderId="0" xfId="0" applyFont="1" applyFill="1" applyAlignment="1" applyProtection="1">
      <alignment horizontal="left" vertical="center"/>
      <protection hidden="1"/>
    </xf>
    <xf numFmtId="0" fontId="218" fillId="4" borderId="0" xfId="0" applyFont="1" applyFill="1" applyProtection="1">
      <protection hidden="1"/>
    </xf>
    <xf numFmtId="0" fontId="218" fillId="27" borderId="323" xfId="0" applyFont="1" applyFill="1" applyBorder="1" applyProtection="1">
      <protection hidden="1"/>
    </xf>
    <xf numFmtId="0" fontId="221" fillId="4" borderId="0" xfId="0" applyFont="1" applyFill="1" applyAlignment="1" applyProtection="1">
      <alignment vertical="center"/>
      <protection hidden="1"/>
    </xf>
    <xf numFmtId="165" fontId="86" fillId="0" borderId="0" xfId="0" applyNumberFormat="1" applyFont="1" applyProtection="1">
      <protection hidden="1"/>
    </xf>
    <xf numFmtId="0" fontId="86" fillId="0" borderId="0" xfId="0" applyFont="1" applyProtection="1">
      <protection hidden="1"/>
    </xf>
    <xf numFmtId="164" fontId="12" fillId="4" borderId="0" xfId="0" applyNumberFormat="1" applyFont="1" applyFill="1" applyAlignment="1" applyProtection="1">
      <alignment horizontal="center" vertical="center"/>
      <protection hidden="1"/>
    </xf>
    <xf numFmtId="164" fontId="12" fillId="4" borderId="0" xfId="0" applyNumberFormat="1" applyFont="1" applyFill="1" applyAlignment="1" applyProtection="1">
      <alignment vertical="center"/>
      <protection hidden="1"/>
    </xf>
    <xf numFmtId="0" fontId="223" fillId="0" borderId="0" xfId="0" applyFont="1" applyProtection="1">
      <protection hidden="1"/>
    </xf>
    <xf numFmtId="0" fontId="84" fillId="0" borderId="0" xfId="0" applyFont="1" applyAlignment="1" applyProtection="1">
      <alignment horizontal="left" indent="1"/>
      <protection hidden="1"/>
    </xf>
    <xf numFmtId="0" fontId="221" fillId="4" borderId="0" xfId="0" applyFont="1" applyFill="1" applyAlignment="1" applyProtection="1">
      <alignment horizontal="left"/>
      <protection hidden="1"/>
    </xf>
    <xf numFmtId="0" fontId="208" fillId="0" borderId="0" xfId="0" applyFont="1" applyAlignment="1" applyProtection="1">
      <alignment horizontal="left" vertical="center"/>
      <protection hidden="1"/>
    </xf>
    <xf numFmtId="0" fontId="12" fillId="27" borderId="0" xfId="0" applyFont="1" applyFill="1" applyProtection="1">
      <protection hidden="1"/>
    </xf>
    <xf numFmtId="0" fontId="12" fillId="27" borderId="25" xfId="0" applyFont="1" applyFill="1" applyBorder="1" applyProtection="1">
      <protection hidden="1"/>
    </xf>
    <xf numFmtId="0" fontId="12" fillId="27" borderId="26" xfId="0" applyFont="1" applyFill="1" applyBorder="1" applyProtection="1">
      <protection hidden="1"/>
    </xf>
    <xf numFmtId="0" fontId="12" fillId="27" borderId="11" xfId="0" applyFont="1" applyFill="1" applyBorder="1" applyAlignment="1" applyProtection="1">
      <alignment vertical="center"/>
      <protection hidden="1"/>
    </xf>
    <xf numFmtId="0" fontId="12" fillId="27" borderId="12" xfId="0" applyFont="1" applyFill="1" applyBorder="1" applyAlignment="1" applyProtection="1">
      <alignment vertical="center"/>
      <protection hidden="1"/>
    </xf>
    <xf numFmtId="0" fontId="0" fillId="27" borderId="12" xfId="0" applyFill="1" applyBorder="1" applyProtection="1">
      <protection hidden="1"/>
    </xf>
    <xf numFmtId="0" fontId="17" fillId="27" borderId="12" xfId="0" applyFont="1" applyFill="1" applyBorder="1" applyAlignment="1" applyProtection="1">
      <alignment vertical="center"/>
      <protection hidden="1"/>
    </xf>
    <xf numFmtId="0" fontId="0" fillId="27" borderId="20" xfId="0" applyFill="1" applyBorder="1" applyProtection="1">
      <protection hidden="1"/>
    </xf>
    <xf numFmtId="0" fontId="223" fillId="27" borderId="20" xfId="0" applyFont="1" applyFill="1" applyBorder="1" applyProtection="1">
      <protection hidden="1"/>
    </xf>
    <xf numFmtId="0" fontId="12" fillId="27" borderId="21" xfId="0" applyFont="1" applyFill="1" applyBorder="1" applyProtection="1">
      <protection hidden="1"/>
    </xf>
    <xf numFmtId="0" fontId="12" fillId="4" borderId="19" xfId="0" applyFont="1" applyFill="1" applyBorder="1" applyAlignment="1" applyProtection="1">
      <alignment vertical="center"/>
      <protection hidden="1"/>
    </xf>
    <xf numFmtId="0" fontId="17" fillId="4" borderId="20" xfId="0" applyFont="1" applyFill="1" applyBorder="1" applyAlignment="1" applyProtection="1">
      <alignment vertical="center"/>
      <protection hidden="1"/>
    </xf>
    <xf numFmtId="0" fontId="223" fillId="4" borderId="20" xfId="0" applyFont="1" applyFill="1" applyBorder="1" applyProtection="1">
      <protection hidden="1"/>
    </xf>
    <xf numFmtId="0" fontId="12" fillId="27" borderId="23" xfId="0" applyFont="1" applyFill="1" applyBorder="1" applyProtection="1">
      <protection hidden="1"/>
    </xf>
    <xf numFmtId="0" fontId="17" fillId="4" borderId="0" xfId="0" applyFont="1" applyFill="1" applyAlignment="1" applyProtection="1">
      <alignment vertical="top"/>
      <protection hidden="1"/>
    </xf>
    <xf numFmtId="0" fontId="0" fillId="27" borderId="14" xfId="0" applyFill="1" applyBorder="1" applyProtection="1">
      <protection hidden="1"/>
    </xf>
    <xf numFmtId="0" fontId="29" fillId="4" borderId="22" xfId="0" applyFont="1" applyFill="1" applyBorder="1" applyAlignment="1" applyProtection="1">
      <alignment horizontal="left" vertical="top"/>
      <protection hidden="1"/>
    </xf>
    <xf numFmtId="0" fontId="31" fillId="27" borderId="14" xfId="0" applyFont="1" applyFill="1" applyBorder="1" applyAlignment="1" applyProtection="1">
      <alignment horizontal="left" indent="1"/>
      <protection hidden="1"/>
    </xf>
    <xf numFmtId="0" fontId="217" fillId="4" borderId="0" xfId="0" applyFont="1" applyFill="1" applyAlignment="1" applyProtection="1">
      <alignment horizontal="left" vertical="center" indent="1"/>
      <protection hidden="1"/>
    </xf>
    <xf numFmtId="0" fontId="47" fillId="27" borderId="14" xfId="0" applyFont="1" applyFill="1" applyBorder="1" applyAlignment="1" applyProtection="1">
      <alignment horizontal="left" vertical="center"/>
      <protection hidden="1"/>
    </xf>
    <xf numFmtId="0" fontId="218" fillId="4" borderId="0" xfId="0" applyFont="1" applyFill="1" applyAlignment="1" applyProtection="1">
      <alignment horizontal="left" vertical="center"/>
      <protection hidden="1"/>
    </xf>
    <xf numFmtId="0" fontId="208" fillId="4" borderId="23" xfId="0" applyFont="1" applyFill="1" applyBorder="1" applyAlignment="1" applyProtection="1">
      <alignment horizontal="left"/>
      <protection hidden="1"/>
    </xf>
    <xf numFmtId="0" fontId="32" fillId="27" borderId="14" xfId="0" applyFont="1" applyFill="1" applyBorder="1" applyAlignment="1" applyProtection="1">
      <alignment horizontal="center"/>
      <protection hidden="1"/>
    </xf>
    <xf numFmtId="3" fontId="14" fillId="4" borderId="22" xfId="0" applyNumberFormat="1" applyFont="1" applyFill="1" applyBorder="1" applyAlignment="1" applyProtection="1">
      <alignment horizontal="right" vertical="center"/>
      <protection hidden="1"/>
    </xf>
    <xf numFmtId="3" fontId="14" fillId="4" borderId="23" xfId="0" applyNumberFormat="1" applyFont="1" applyFill="1" applyBorder="1" applyAlignment="1" applyProtection="1">
      <alignment horizontal="right" vertical="center"/>
      <protection hidden="1"/>
    </xf>
    <xf numFmtId="0" fontId="5" fillId="27" borderId="14" xfId="0" applyFont="1" applyFill="1" applyBorder="1" applyAlignment="1" applyProtection="1">
      <alignment vertical="center"/>
      <protection hidden="1"/>
    </xf>
    <xf numFmtId="0" fontId="225" fillId="4" borderId="0" xfId="0" applyFont="1" applyFill="1" applyAlignment="1" applyProtection="1">
      <alignment horizontal="left" vertical="center"/>
      <protection hidden="1"/>
    </xf>
    <xf numFmtId="0" fontId="218" fillId="4" borderId="0" xfId="0" applyFont="1" applyFill="1" applyAlignment="1" applyProtection="1">
      <alignment vertical="center"/>
      <protection hidden="1"/>
    </xf>
    <xf numFmtId="0" fontId="218" fillId="4" borderId="22" xfId="0" applyFont="1" applyFill="1" applyBorder="1" applyAlignment="1" applyProtection="1">
      <alignment vertical="center"/>
      <protection hidden="1"/>
    </xf>
    <xf numFmtId="0" fontId="0" fillId="27" borderId="44" xfId="0" applyFill="1" applyBorder="1" applyAlignment="1" applyProtection="1">
      <alignment vertical="center"/>
      <protection hidden="1"/>
    </xf>
    <xf numFmtId="0" fontId="17" fillId="27" borderId="44" xfId="0" applyFont="1" applyFill="1" applyBorder="1" applyAlignment="1" applyProtection="1">
      <alignment horizontal="left"/>
      <protection hidden="1"/>
    </xf>
    <xf numFmtId="0" fontId="32" fillId="27" borderId="44" xfId="0" applyFont="1" applyFill="1" applyBorder="1" applyAlignment="1" applyProtection="1">
      <alignment horizontal="center"/>
      <protection hidden="1"/>
    </xf>
    <xf numFmtId="0" fontId="218" fillId="27" borderId="44" xfId="0" applyFont="1" applyFill="1" applyBorder="1" applyAlignment="1" applyProtection="1">
      <alignment vertical="center"/>
      <protection hidden="1"/>
    </xf>
    <xf numFmtId="0" fontId="14" fillId="27" borderId="44" xfId="0" applyFont="1" applyFill="1" applyBorder="1" applyAlignment="1" applyProtection="1">
      <alignment vertical="center"/>
      <protection hidden="1"/>
    </xf>
    <xf numFmtId="0" fontId="14" fillId="27" borderId="0" xfId="0" applyFont="1" applyFill="1" applyAlignment="1" applyProtection="1">
      <alignment vertical="center"/>
      <protection hidden="1"/>
    </xf>
    <xf numFmtId="3" fontId="14" fillId="27" borderId="15" xfId="0" applyNumberFormat="1" applyFont="1" applyFill="1" applyBorder="1" applyAlignment="1" applyProtection="1">
      <alignment horizontal="right" vertical="center"/>
      <protection hidden="1"/>
    </xf>
    <xf numFmtId="0" fontId="218" fillId="27" borderId="44" xfId="0" applyFont="1" applyFill="1" applyBorder="1" applyAlignment="1" applyProtection="1">
      <alignment horizontal="left" vertical="center"/>
      <protection hidden="1"/>
    </xf>
    <xf numFmtId="3" fontId="14" fillId="27" borderId="44" xfId="0" applyNumberFormat="1" applyFont="1" applyFill="1" applyBorder="1" applyAlignment="1" applyProtection="1">
      <alignment horizontal="right" vertical="center"/>
      <protection hidden="1"/>
    </xf>
    <xf numFmtId="0" fontId="208" fillId="27" borderId="44" xfId="0" applyFont="1" applyFill="1" applyBorder="1" applyAlignment="1" applyProtection="1">
      <alignment horizontal="left"/>
      <protection hidden="1"/>
    </xf>
    <xf numFmtId="0" fontId="0" fillId="27" borderId="23" xfId="0" applyFill="1" applyBorder="1" applyAlignment="1" applyProtection="1">
      <alignment vertical="center"/>
      <protection hidden="1"/>
    </xf>
    <xf numFmtId="0" fontId="219" fillId="4" borderId="0" xfId="0" applyFont="1" applyFill="1" applyAlignment="1" applyProtection="1">
      <alignment vertical="center" wrapText="1"/>
      <protection hidden="1"/>
    </xf>
    <xf numFmtId="0" fontId="17" fillId="4" borderId="330" xfId="0" applyFont="1" applyFill="1" applyBorder="1" applyAlignment="1" applyProtection="1">
      <alignment horizontal="left"/>
      <protection hidden="1"/>
    </xf>
    <xf numFmtId="0" fontId="17" fillId="4" borderId="331" xfId="0" applyFont="1" applyFill="1" applyBorder="1" applyAlignment="1" applyProtection="1">
      <alignment horizontal="left"/>
      <protection hidden="1"/>
    </xf>
    <xf numFmtId="0" fontId="219" fillId="4" borderId="330" xfId="0" applyFont="1" applyFill="1" applyBorder="1" applyAlignment="1" applyProtection="1">
      <alignment vertical="center" wrapText="1"/>
      <protection hidden="1"/>
    </xf>
    <xf numFmtId="0" fontId="219" fillId="4" borderId="331" xfId="0" applyFont="1" applyFill="1" applyBorder="1" applyAlignment="1" applyProtection="1">
      <alignment vertical="center" wrapText="1"/>
      <protection hidden="1"/>
    </xf>
    <xf numFmtId="0" fontId="0" fillId="4" borderId="330" xfId="0" applyFill="1" applyBorder="1" applyAlignment="1" applyProtection="1">
      <alignment vertical="center"/>
      <protection hidden="1"/>
    </xf>
    <xf numFmtId="0" fontId="12" fillId="4" borderId="16" xfId="0" applyFont="1" applyFill="1" applyBorder="1" applyProtection="1">
      <protection hidden="1"/>
    </xf>
    <xf numFmtId="0" fontId="74" fillId="0" borderId="0" xfId="0" applyFont="1" applyProtection="1">
      <protection hidden="1"/>
    </xf>
    <xf numFmtId="0" fontId="0" fillId="0" borderId="59" xfId="0" applyBorder="1" applyAlignment="1">
      <alignment horizontal="center" vertical="center"/>
    </xf>
    <xf numFmtId="0" fontId="153" fillId="34" borderId="0" xfId="0" applyFont="1" applyFill="1" applyAlignment="1">
      <alignment vertical="center"/>
    </xf>
    <xf numFmtId="0" fontId="5" fillId="0" borderId="4" xfId="0" applyFont="1" applyBorder="1" applyAlignment="1">
      <alignment vertical="top"/>
    </xf>
    <xf numFmtId="0" fontId="4" fillId="0" borderId="103" xfId="0" applyFont="1" applyBorder="1" applyAlignment="1">
      <alignment horizontal="right" vertical="top"/>
    </xf>
    <xf numFmtId="0" fontId="4" fillId="0" borderId="126" xfId="0" applyFont="1" applyBorder="1" applyAlignment="1">
      <alignment horizontal="right" vertical="top"/>
    </xf>
    <xf numFmtId="0" fontId="56" fillId="0" borderId="0" xfId="0" applyFont="1" applyProtection="1">
      <protection hidden="1"/>
    </xf>
    <xf numFmtId="0" fontId="0" fillId="4" borderId="54"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5" fillId="0" borderId="102" xfId="0" applyFont="1" applyBorder="1" applyAlignment="1">
      <alignment horizontal="right" vertical="top" wrapText="1"/>
    </xf>
    <xf numFmtId="0" fontId="5" fillId="0" borderId="102" xfId="0" applyFont="1" applyBorder="1" applyAlignment="1">
      <alignment horizontal="right" vertical="top"/>
    </xf>
    <xf numFmtId="0" fontId="5" fillId="0" borderId="3" xfId="0" applyFont="1" applyBorder="1" applyAlignment="1">
      <alignment horizontal="right" vertical="top" wrapText="1"/>
    </xf>
    <xf numFmtId="0" fontId="5" fillId="0" borderId="7" xfId="0" applyFont="1" applyBorder="1" applyAlignment="1">
      <alignment horizontal="right" vertical="top"/>
    </xf>
    <xf numFmtId="0" fontId="5" fillId="0" borderId="124" xfId="0" applyFont="1" applyBorder="1" applyAlignment="1">
      <alignment horizontal="right" vertical="top" wrapText="1"/>
    </xf>
    <xf numFmtId="164" fontId="4" fillId="0" borderId="0" xfId="0" applyNumberFormat="1" applyFont="1" applyAlignment="1">
      <alignment horizontal="center"/>
    </xf>
    <xf numFmtId="0" fontId="4" fillId="0" borderId="58" xfId="0" applyFont="1" applyBorder="1" applyAlignment="1">
      <alignment horizontal="right" vertical="center" wrapText="1"/>
    </xf>
    <xf numFmtId="0" fontId="4" fillId="0" borderId="1" xfId="0" applyFont="1" applyBorder="1" applyAlignment="1">
      <alignment horizontal="right" vertical="center"/>
    </xf>
    <xf numFmtId="0" fontId="5" fillId="0" borderId="1" xfId="0" applyFont="1" applyBorder="1" applyAlignment="1">
      <alignment horizontal="center" vertical="center" wrapText="1"/>
    </xf>
    <xf numFmtId="0" fontId="5" fillId="0" borderId="58" xfId="0" applyFont="1" applyBorder="1" applyAlignment="1">
      <alignment horizontal="left" vertical="center" indent="1"/>
    </xf>
    <xf numFmtId="167" fontId="4" fillId="0" borderId="124" xfId="0" applyNumberFormat="1" applyFont="1" applyBorder="1" applyAlignment="1">
      <alignment vertical="top"/>
    </xf>
    <xf numFmtId="168" fontId="4" fillId="0" borderId="104" xfId="0" applyNumberFormat="1" applyFont="1" applyBorder="1" applyAlignment="1">
      <alignment vertical="top"/>
    </xf>
    <xf numFmtId="167" fontId="4" fillId="0" borderId="7" xfId="0" applyNumberFormat="1" applyFont="1" applyBorder="1" applyAlignment="1">
      <alignment vertical="top"/>
    </xf>
    <xf numFmtId="168" fontId="4" fillId="0" borderId="141" xfId="0" applyNumberFormat="1" applyFont="1" applyBorder="1" applyAlignment="1">
      <alignment vertical="top"/>
    </xf>
    <xf numFmtId="0" fontId="4" fillId="0" borderId="7" xfId="0" applyFont="1" applyBorder="1" applyAlignment="1">
      <alignment vertical="top"/>
    </xf>
    <xf numFmtId="0" fontId="0" fillId="0" borderId="0" xfId="0" applyAlignment="1">
      <alignment horizontal="center" vertical="center"/>
    </xf>
    <xf numFmtId="0" fontId="4" fillId="0" borderId="79" xfId="0" applyFont="1" applyBorder="1" applyAlignment="1">
      <alignment vertical="top"/>
    </xf>
    <xf numFmtId="0" fontId="4" fillId="0" borderId="107" xfId="0" applyFont="1" applyBorder="1" applyAlignment="1">
      <alignment horizontal="right" vertical="top"/>
    </xf>
    <xf numFmtId="0" fontId="4" fillId="0" borderId="46" xfId="0" applyFont="1" applyBorder="1" applyAlignment="1">
      <alignment horizontal="right" vertical="top"/>
    </xf>
    <xf numFmtId="0" fontId="4" fillId="0" borderId="5" xfId="0" applyFont="1" applyBorder="1" applyAlignment="1">
      <alignment horizontal="right" vertical="top"/>
    </xf>
    <xf numFmtId="0" fontId="5" fillId="0" borderId="0" xfId="0" applyFont="1" applyAlignment="1">
      <alignment horizontal="center" vertical="center"/>
    </xf>
    <xf numFmtId="167" fontId="214" fillId="0" borderId="0" xfId="0" applyNumberFormat="1" applyFont="1" applyAlignment="1">
      <alignment horizontal="right" vertical="top"/>
    </xf>
    <xf numFmtId="167" fontId="98" fillId="0" borderId="0" xfId="0" applyNumberFormat="1" applyFont="1" applyAlignment="1">
      <alignment horizontal="left" vertical="top"/>
    </xf>
    <xf numFmtId="0" fontId="18" fillId="0" borderId="0" xfId="0" applyFont="1" applyAlignment="1">
      <alignment vertical="top"/>
    </xf>
    <xf numFmtId="164" fontId="210" fillId="0" borderId="0" xfId="0" applyNumberFormat="1" applyFont="1" applyAlignment="1">
      <alignment horizontal="right" vertical="top"/>
    </xf>
    <xf numFmtId="0" fontId="54" fillId="0" borderId="0" xfId="0" applyFont="1" applyAlignment="1">
      <alignment horizontal="left" vertical="center"/>
    </xf>
    <xf numFmtId="165" fontId="96" fillId="0" borderId="0" xfId="0" applyNumberFormat="1" applyFont="1" applyAlignment="1">
      <alignment horizontal="right"/>
    </xf>
    <xf numFmtId="0" fontId="96" fillId="0" borderId="0" xfId="0" applyFont="1" applyAlignment="1">
      <alignment horizontal="right"/>
    </xf>
    <xf numFmtId="0" fontId="226" fillId="0" borderId="0" xfId="0" applyFont="1" applyAlignment="1">
      <alignment vertical="center"/>
    </xf>
    <xf numFmtId="165" fontId="4" fillId="0" borderId="0" xfId="0" applyNumberFormat="1" applyFont="1" applyAlignment="1">
      <alignment horizontal="right" vertical="top" wrapText="1"/>
    </xf>
    <xf numFmtId="164" fontId="4" fillId="0" borderId="0" xfId="0" applyNumberFormat="1" applyFont="1" applyAlignment="1">
      <alignment horizontal="right" vertical="center" wrapText="1"/>
    </xf>
    <xf numFmtId="164" fontId="4" fillId="0" borderId="8" xfId="0" applyNumberFormat="1" applyFont="1" applyBorder="1" applyAlignment="1">
      <alignment horizontal="right" vertical="center" wrapText="1"/>
    </xf>
    <xf numFmtId="165" fontId="4" fillId="0" borderId="2" xfId="0" applyNumberFormat="1" applyFont="1" applyBorder="1" applyAlignment="1">
      <alignment horizontal="right" vertical="top" wrapText="1"/>
    </xf>
    <xf numFmtId="0" fontId="0" fillId="0" borderId="3" xfId="0" applyBorder="1"/>
    <xf numFmtId="0" fontId="5" fillId="0" borderId="3" xfId="0" applyFont="1" applyBorder="1"/>
    <xf numFmtId="165" fontId="4" fillId="0" borderId="54" xfId="0" applyNumberFormat="1" applyFont="1" applyBorder="1" applyAlignment="1">
      <alignment horizontal="right" vertical="top" wrapText="1"/>
    </xf>
    <xf numFmtId="0" fontId="5" fillId="0" borderId="7" xfId="0" applyFont="1" applyBorder="1" applyAlignment="1">
      <alignment horizontal="right"/>
    </xf>
    <xf numFmtId="0" fontId="23" fillId="0" borderId="4" xfId="0" applyFont="1" applyBorder="1" applyAlignment="1">
      <alignment horizontal="right"/>
    </xf>
    <xf numFmtId="164" fontId="4" fillId="0" borderId="5" xfId="0" applyNumberFormat="1" applyFont="1" applyBorder="1" applyAlignment="1">
      <alignment horizontal="right" vertical="center" wrapText="1"/>
    </xf>
    <xf numFmtId="0" fontId="5" fillId="0" borderId="7" xfId="0" applyFont="1" applyBorder="1"/>
    <xf numFmtId="165" fontId="4" fillId="0" borderId="46" xfId="0" applyNumberFormat="1" applyFont="1" applyBorder="1" applyAlignment="1">
      <alignment horizontal="right" vertical="top" wrapText="1"/>
    </xf>
    <xf numFmtId="164" fontId="4" fillId="0" borderId="46" xfId="0" applyNumberFormat="1" applyFont="1" applyBorder="1" applyAlignment="1">
      <alignment horizontal="right" vertical="center" wrapText="1"/>
    </xf>
    <xf numFmtId="0" fontId="3" fillId="0" borderId="4" xfId="0" applyFont="1" applyBorder="1" applyAlignment="1">
      <alignment horizontal="right"/>
    </xf>
    <xf numFmtId="0" fontId="4" fillId="0" borderId="2" xfId="0" applyFont="1" applyBorder="1" applyAlignment="1">
      <alignment horizontal="right" vertical="top" wrapText="1"/>
    </xf>
    <xf numFmtId="0" fontId="4" fillId="0" borderId="3" xfId="0" applyFont="1" applyBorder="1" applyAlignment="1">
      <alignment horizontal="right" vertical="top" wrapText="1"/>
    </xf>
    <xf numFmtId="0" fontId="4" fillId="0" borderId="54" xfId="0" applyFont="1" applyBorder="1" applyAlignment="1">
      <alignment horizontal="right" vertical="top" wrapText="1"/>
    </xf>
    <xf numFmtId="165" fontId="4" fillId="0" borderId="3" xfId="0" applyNumberFormat="1" applyFont="1" applyBorder="1" applyAlignment="1">
      <alignment horizontal="right" vertical="top" wrapText="1"/>
    </xf>
    <xf numFmtId="164" fontId="4" fillId="0" borderId="4" xfId="0" applyNumberFormat="1" applyFont="1" applyBorder="1" applyAlignment="1">
      <alignment horizontal="right" vertical="center" wrapText="1"/>
    </xf>
    <xf numFmtId="165" fontId="4" fillId="0" borderId="7" xfId="0" applyNumberFormat="1" applyFont="1" applyBorder="1" applyAlignment="1">
      <alignment horizontal="right" vertical="top" wrapText="1"/>
    </xf>
    <xf numFmtId="164" fontId="4" fillId="0" borderId="7" xfId="0" applyNumberFormat="1" applyFont="1" applyBorder="1" applyAlignment="1">
      <alignment horizontal="right" vertical="center" wrapText="1"/>
    </xf>
    <xf numFmtId="164" fontId="4" fillId="0" borderId="7" xfId="0" applyNumberFormat="1" applyFont="1" applyBorder="1" applyAlignment="1">
      <alignment horizontal="right" vertical="top" wrapText="1"/>
    </xf>
    <xf numFmtId="0" fontId="4" fillId="0" borderId="46" xfId="0" applyFont="1" applyBorder="1" applyAlignment="1">
      <alignment horizontal="left" vertical="top" wrapText="1"/>
    </xf>
    <xf numFmtId="0" fontId="0" fillId="0" borderId="46" xfId="0" applyBorder="1"/>
    <xf numFmtId="0" fontId="3" fillId="0" borderId="6" xfId="0" applyFont="1" applyBorder="1" applyAlignment="1">
      <alignment horizontal="right"/>
    </xf>
    <xf numFmtId="0" fontId="4" fillId="0" borderId="63" xfId="0" applyFont="1" applyBorder="1" applyAlignment="1">
      <alignment horizontal="left" vertical="top" wrapText="1"/>
    </xf>
    <xf numFmtId="0" fontId="4" fillId="0" borderId="6" xfId="0" applyFont="1" applyBorder="1" applyAlignment="1">
      <alignment horizontal="center" vertical="center" wrapText="1"/>
    </xf>
    <xf numFmtId="164" fontId="4" fillId="0" borderId="3" xfId="0" applyNumberFormat="1" applyFont="1" applyBorder="1" applyAlignment="1">
      <alignment horizontal="right" vertical="center" wrapText="1"/>
    </xf>
    <xf numFmtId="164" fontId="4" fillId="0" borderId="2" xfId="0" applyNumberFormat="1" applyFont="1" applyBorder="1" applyAlignment="1">
      <alignment horizontal="right" vertical="center" wrapText="1"/>
    </xf>
    <xf numFmtId="164" fontId="4" fillId="0" borderId="6" xfId="0" applyNumberFormat="1" applyFont="1" applyBorder="1" applyAlignment="1">
      <alignment horizontal="right" vertical="center" wrapText="1"/>
    </xf>
    <xf numFmtId="164" fontId="4" fillId="0" borderId="63" xfId="0" applyNumberFormat="1" applyFont="1" applyBorder="1" applyAlignment="1">
      <alignment horizontal="right" vertical="center" wrapText="1"/>
    </xf>
    <xf numFmtId="164" fontId="75" fillId="0" borderId="1" xfId="0" applyNumberFormat="1" applyFont="1" applyBorder="1" applyAlignment="1">
      <alignment horizontal="right" vertical="center" wrapText="1"/>
    </xf>
    <xf numFmtId="164" fontId="75" fillId="0" borderId="0" xfId="0" applyNumberFormat="1" applyFont="1" applyAlignment="1">
      <alignment horizontal="right" vertical="center" wrapText="1"/>
    </xf>
    <xf numFmtId="0" fontId="0" fillId="0" borderId="58" xfId="0" applyBorder="1"/>
    <xf numFmtId="0" fontId="4" fillId="0" borderId="48" xfId="0" applyFont="1" applyBorder="1" applyAlignment="1">
      <alignment horizontal="right" vertical="top" wrapText="1"/>
    </xf>
    <xf numFmtId="0" fontId="0" fillId="0" borderId="59" xfId="0" applyBorder="1" applyAlignment="1">
      <alignment horizontal="right"/>
    </xf>
    <xf numFmtId="0" fontId="3" fillId="0" borderId="3" xfId="0" applyFont="1" applyBorder="1" applyAlignment="1">
      <alignment horizontal="right"/>
    </xf>
    <xf numFmtId="0" fontId="4" fillId="0" borderId="58" xfId="0" applyFont="1" applyBorder="1" applyAlignment="1">
      <alignment horizontal="right" vertical="top" wrapText="1"/>
    </xf>
    <xf numFmtId="0" fontId="4" fillId="0" borderId="59" xfId="0" applyFont="1" applyBorder="1" applyAlignment="1">
      <alignment horizontal="right" vertical="top" wrapText="1"/>
    </xf>
    <xf numFmtId="165" fontId="4" fillId="0" borderId="6" xfId="0" applyNumberFormat="1" applyFont="1" applyBorder="1" applyAlignment="1">
      <alignment horizontal="right" vertical="top" wrapText="1"/>
    </xf>
    <xf numFmtId="164" fontId="4" fillId="0" borderId="79" xfId="0" applyNumberFormat="1" applyFont="1" applyBorder="1" applyAlignment="1">
      <alignment horizontal="right" vertical="center" wrapText="1"/>
    </xf>
    <xf numFmtId="165" fontId="4" fillId="0" borderId="63" xfId="0" applyNumberFormat="1" applyFont="1" applyBorder="1" applyAlignment="1">
      <alignment horizontal="right" vertical="top" wrapText="1"/>
    </xf>
    <xf numFmtId="0" fontId="37" fillId="0" borderId="0" xfId="0" applyFont="1" applyAlignment="1">
      <alignment horizontal="left" vertical="top" wrapText="1"/>
    </xf>
    <xf numFmtId="0" fontId="3" fillId="0" borderId="2" xfId="0" applyFont="1" applyBorder="1" applyAlignment="1">
      <alignment horizontal="right"/>
    </xf>
    <xf numFmtId="164" fontId="75" fillId="0" borderId="2" xfId="0" applyNumberFormat="1" applyFont="1" applyBorder="1" applyAlignment="1">
      <alignment horizontal="right" vertical="center" wrapText="1"/>
    </xf>
    <xf numFmtId="164" fontId="75" fillId="0" borderId="54" xfId="0" applyNumberFormat="1" applyFont="1" applyBorder="1" applyAlignment="1">
      <alignment horizontal="right" vertical="center" wrapText="1"/>
    </xf>
    <xf numFmtId="0" fontId="0" fillId="4" borderId="58" xfId="0" applyFill="1" applyBorder="1" applyAlignment="1">
      <alignment horizontal="left" vertical="center" indent="1"/>
    </xf>
    <xf numFmtId="0" fontId="0" fillId="4" borderId="59" xfId="0" applyFill="1" applyBorder="1"/>
    <xf numFmtId="0" fontId="0" fillId="4" borderId="5" xfId="0" applyFill="1" applyBorder="1"/>
    <xf numFmtId="0" fontId="5" fillId="0" borderId="48" xfId="0" applyFont="1" applyBorder="1" applyAlignment="1">
      <alignment horizontal="right"/>
    </xf>
    <xf numFmtId="164" fontId="0" fillId="0" borderId="48" xfId="0" applyNumberFormat="1" applyBorder="1"/>
    <xf numFmtId="164" fontId="215" fillId="0" borderId="48" xfId="0" applyNumberFormat="1" applyFont="1" applyBorder="1" applyAlignment="1">
      <alignment horizontal="right"/>
    </xf>
    <xf numFmtId="0" fontId="0" fillId="0" borderId="48" xfId="0" applyBorder="1"/>
    <xf numFmtId="0" fontId="0" fillId="0" borderId="48" xfId="0" applyBorder="1" applyAlignment="1">
      <alignment horizontal="right"/>
    </xf>
    <xf numFmtId="164" fontId="174" fillId="4" borderId="0" xfId="0" applyNumberFormat="1" applyFont="1" applyFill="1" applyAlignment="1" applyProtection="1">
      <alignment horizontal="center" vertical="center"/>
      <protection hidden="1"/>
    </xf>
    <xf numFmtId="0" fontId="80" fillId="0" borderId="0" xfId="0" applyFont="1" applyAlignment="1">
      <alignment horizontal="right" indent="1"/>
    </xf>
    <xf numFmtId="0" fontId="4" fillId="0" borderId="2" xfId="0" applyFont="1" applyBorder="1"/>
    <xf numFmtId="170" fontId="0" fillId="0" borderId="0" xfId="0" applyNumberFormat="1" applyAlignment="1">
      <alignment horizontal="center" vertical="center"/>
    </xf>
    <xf numFmtId="0" fontId="4" fillId="0" borderId="8" xfId="0" applyFont="1" applyBorder="1"/>
    <xf numFmtId="0" fontId="5" fillId="0" borderId="7" xfId="0" applyFont="1" applyBorder="1" applyAlignment="1">
      <alignment horizontal="left" indent="1"/>
    </xf>
    <xf numFmtId="0" fontId="5" fillId="0" borderId="4" xfId="0" applyFont="1" applyBorder="1" applyAlignment="1">
      <alignment horizontal="left" indent="1"/>
    </xf>
    <xf numFmtId="0" fontId="35" fillId="0" borderId="46" xfId="0" applyFont="1" applyBorder="1" applyAlignment="1">
      <alignment horizontal="left"/>
    </xf>
    <xf numFmtId="0" fontId="0" fillId="0" borderId="46" xfId="0" applyBorder="1" applyAlignment="1">
      <alignment horizontal="right"/>
    </xf>
    <xf numFmtId="0" fontId="5" fillId="0" borderId="46" xfId="0" applyFont="1" applyBorder="1" applyAlignment="1">
      <alignment horizontal="right"/>
    </xf>
    <xf numFmtId="0" fontId="76" fillId="0" borderId="0" xfId="0" applyFont="1" applyAlignment="1">
      <alignment horizontal="right"/>
    </xf>
    <xf numFmtId="1" fontId="0" fillId="0" borderId="0" xfId="0" applyNumberFormat="1" applyAlignment="1">
      <alignment horizontal="center" vertical="center"/>
    </xf>
    <xf numFmtId="164" fontId="75" fillId="0" borderId="0" xfId="0" applyNumberFormat="1" applyFont="1" applyAlignment="1" applyProtection="1">
      <alignment vertical="center"/>
      <protection hidden="1"/>
    </xf>
    <xf numFmtId="164" fontId="75" fillId="0" borderId="0" xfId="0" applyNumberFormat="1" applyFont="1" applyProtection="1">
      <protection hidden="1"/>
    </xf>
    <xf numFmtId="165" fontId="0" fillId="0" borderId="0" xfId="0" applyNumberFormat="1" applyAlignment="1" applyProtection="1">
      <alignment horizontal="left" vertical="center" indent="1"/>
      <protection hidden="1"/>
    </xf>
    <xf numFmtId="164" fontId="174" fillId="0" borderId="0" xfId="0" applyNumberFormat="1" applyFont="1" applyAlignment="1" applyProtection="1">
      <alignment horizontal="center" vertical="center"/>
      <protection hidden="1"/>
    </xf>
    <xf numFmtId="0" fontId="54" fillId="0" borderId="0" xfId="0" applyFont="1" applyAlignment="1" applyProtection="1">
      <alignment horizontal="left"/>
      <protection hidden="1"/>
    </xf>
    <xf numFmtId="0" fontId="0" fillId="0" borderId="3" xfId="0" applyBorder="1" applyAlignment="1" applyProtection="1">
      <alignment horizontal="left"/>
      <protection hidden="1"/>
    </xf>
    <xf numFmtId="164" fontId="174" fillId="0" borderId="2" xfId="0" applyNumberFormat="1" applyFont="1" applyBorder="1" applyAlignment="1" applyProtection="1">
      <alignment horizontal="left" vertical="center"/>
      <protection hidden="1"/>
    </xf>
    <xf numFmtId="164" fontId="174" fillId="0" borderId="54" xfId="0" applyNumberFormat="1" applyFont="1" applyBorder="1" applyAlignment="1" applyProtection="1">
      <alignment horizontal="left" vertical="center"/>
      <protection hidden="1"/>
    </xf>
    <xf numFmtId="0" fontId="75" fillId="0" borderId="7" xfId="0" applyFont="1" applyBorder="1" applyAlignment="1" applyProtection="1">
      <alignment horizontal="left"/>
      <protection hidden="1"/>
    </xf>
    <xf numFmtId="0" fontId="75" fillId="0" borderId="0" xfId="0" applyFont="1" applyAlignment="1" applyProtection="1">
      <alignment horizontal="left"/>
      <protection hidden="1"/>
    </xf>
    <xf numFmtId="1" fontId="87" fillId="0" borderId="8" xfId="0" applyNumberFormat="1" applyFont="1" applyBorder="1" applyAlignment="1" applyProtection="1">
      <alignment horizontal="left" vertical="center"/>
      <protection hidden="1"/>
    </xf>
    <xf numFmtId="1" fontId="87" fillId="0" borderId="5" xfId="0" applyNumberFormat="1" applyFont="1" applyBorder="1" applyAlignment="1" applyProtection="1">
      <alignment horizontal="left" vertical="center"/>
      <protection hidden="1"/>
    </xf>
    <xf numFmtId="1" fontId="75" fillId="0" borderId="4" xfId="0" applyNumberFormat="1" applyFont="1" applyBorder="1" applyAlignment="1" applyProtection="1">
      <alignment horizontal="left" vertical="center"/>
      <protection hidden="1"/>
    </xf>
    <xf numFmtId="1" fontId="75" fillId="0" borderId="8" xfId="0" applyNumberFormat="1" applyFont="1" applyBorder="1" applyAlignment="1" applyProtection="1">
      <alignment horizontal="left" vertical="center"/>
      <protection hidden="1"/>
    </xf>
    <xf numFmtId="0" fontId="35" fillId="0" borderId="0" xfId="0" applyFont="1" applyAlignment="1">
      <alignment vertical="top"/>
    </xf>
    <xf numFmtId="0" fontId="0" fillId="0" borderId="0" xfId="0" applyAlignment="1">
      <alignment horizontal="right" vertical="top" indent="1"/>
    </xf>
    <xf numFmtId="164" fontId="4" fillId="0" borderId="0" xfId="0" applyNumberFormat="1" applyFont="1" applyAlignment="1">
      <alignment horizontal="left" vertical="top" wrapText="1"/>
    </xf>
    <xf numFmtId="0" fontId="5" fillId="0" borderId="0" xfId="0" applyFont="1" applyAlignment="1">
      <alignment horizontal="right" vertical="top" wrapText="1"/>
    </xf>
    <xf numFmtId="0" fontId="5" fillId="40" borderId="0" xfId="0" applyFont="1" applyFill="1" applyProtection="1">
      <protection hidden="1"/>
    </xf>
    <xf numFmtId="0" fontId="1" fillId="40" borderId="0" xfId="0" applyFont="1" applyFill="1" applyAlignment="1" applyProtection="1">
      <alignment vertical="center"/>
      <protection hidden="1"/>
    </xf>
    <xf numFmtId="0" fontId="0" fillId="40" borderId="0" xfId="0" applyFill="1" applyProtection="1">
      <protection hidden="1"/>
    </xf>
    <xf numFmtId="0" fontId="21" fillId="40" borderId="0" xfId="0" applyFont="1" applyFill="1" applyAlignment="1" applyProtection="1">
      <alignment vertical="center"/>
      <protection hidden="1"/>
    </xf>
    <xf numFmtId="0" fontId="31" fillId="40" borderId="0" xfId="0" applyFont="1" applyFill="1" applyAlignment="1" applyProtection="1">
      <alignment horizontal="right" vertical="center"/>
      <protection hidden="1"/>
    </xf>
    <xf numFmtId="0" fontId="10" fillId="41" borderId="0" xfId="0" applyFont="1" applyFill="1" applyProtection="1">
      <protection hidden="1"/>
    </xf>
    <xf numFmtId="0" fontId="11" fillId="41" borderId="0" xfId="0" applyFont="1" applyFill="1" applyAlignment="1" applyProtection="1">
      <alignment vertical="center"/>
      <protection hidden="1"/>
    </xf>
    <xf numFmtId="0" fontId="10" fillId="41" borderId="0" xfId="0" applyFont="1" applyFill="1" applyAlignment="1" applyProtection="1">
      <alignment vertical="center"/>
      <protection hidden="1"/>
    </xf>
    <xf numFmtId="0" fontId="7" fillId="41" borderId="0" xfId="0" applyFont="1" applyFill="1" applyProtection="1">
      <protection hidden="1"/>
    </xf>
    <xf numFmtId="0" fontId="137" fillId="41" borderId="0" xfId="0" applyFont="1" applyFill="1" applyAlignment="1" applyProtection="1">
      <alignment horizontal="right"/>
      <protection hidden="1"/>
    </xf>
    <xf numFmtId="0" fontId="184" fillId="41" borderId="0" xfId="0" applyFont="1" applyFill="1" applyAlignment="1" applyProtection="1">
      <alignment vertical="top"/>
      <protection hidden="1"/>
    </xf>
    <xf numFmtId="0" fontId="185" fillId="41" borderId="0" xfId="0" applyFont="1" applyFill="1" applyAlignment="1" applyProtection="1">
      <alignment horizontal="right" vertical="top"/>
      <protection hidden="1"/>
    </xf>
    <xf numFmtId="0" fontId="1" fillId="41" borderId="0" xfId="0" applyFont="1" applyFill="1" applyAlignment="1" applyProtection="1">
      <alignment vertical="center"/>
      <protection hidden="1"/>
    </xf>
    <xf numFmtId="0" fontId="183" fillId="41" borderId="0" xfId="0" applyFont="1" applyFill="1" applyAlignment="1" applyProtection="1">
      <alignment horizontal="right" vertical="center"/>
      <protection hidden="1"/>
    </xf>
    <xf numFmtId="0" fontId="31" fillId="40" borderId="0" xfId="0" applyFont="1" applyFill="1" applyAlignment="1" applyProtection="1">
      <alignment vertical="center"/>
      <protection hidden="1"/>
    </xf>
    <xf numFmtId="0" fontId="21" fillId="40" borderId="0" xfId="0" applyFont="1" applyFill="1" applyAlignment="1" applyProtection="1">
      <alignment horizontal="left" vertical="center" indent="1"/>
      <protection hidden="1"/>
    </xf>
    <xf numFmtId="0" fontId="1" fillId="40" borderId="0" xfId="0" applyFont="1" applyFill="1" applyAlignment="1" applyProtection="1">
      <alignment horizontal="left" vertical="center"/>
      <protection hidden="1"/>
    </xf>
    <xf numFmtId="0" fontId="21" fillId="40" borderId="0" xfId="0" applyFont="1" applyFill="1" applyAlignment="1" applyProtection="1">
      <alignment horizontal="left" vertical="center"/>
      <protection hidden="1"/>
    </xf>
    <xf numFmtId="0" fontId="73" fillId="41" borderId="0" xfId="0" applyFont="1" applyFill="1" applyAlignment="1" applyProtection="1">
      <alignment horizontal="left" vertical="center" indent="1"/>
      <protection hidden="1"/>
    </xf>
    <xf numFmtId="0" fontId="7" fillId="41" borderId="0" xfId="0" applyFont="1" applyFill="1" applyAlignment="1" applyProtection="1">
      <alignment vertical="center"/>
      <protection hidden="1"/>
    </xf>
    <xf numFmtId="0" fontId="1" fillId="41" borderId="0" xfId="0" applyFont="1" applyFill="1" applyProtection="1">
      <protection hidden="1"/>
    </xf>
    <xf numFmtId="0" fontId="2" fillId="40" borderId="0" xfId="0" applyFont="1" applyFill="1" applyAlignment="1" applyProtection="1">
      <alignment horizontal="left" vertical="center"/>
      <protection hidden="1"/>
    </xf>
    <xf numFmtId="0" fontId="186" fillId="42" borderId="44" xfId="0" applyFont="1" applyFill="1" applyBorder="1" applyAlignment="1" applyProtection="1">
      <alignment horizontal="left" vertical="center" indent="1"/>
      <protection hidden="1"/>
    </xf>
    <xf numFmtId="0" fontId="186" fillId="42" borderId="43" xfId="0" applyFont="1" applyFill="1" applyBorder="1" applyAlignment="1" applyProtection="1">
      <alignment horizontal="left" vertical="center" indent="1"/>
      <protection hidden="1"/>
    </xf>
    <xf numFmtId="0" fontId="186" fillId="42" borderId="42" xfId="0" applyFont="1" applyFill="1" applyBorder="1" applyAlignment="1" applyProtection="1">
      <alignment horizontal="left" vertical="center" indent="1"/>
      <protection hidden="1"/>
    </xf>
    <xf numFmtId="0" fontId="187" fillId="42" borderId="44" xfId="0" applyFont="1" applyFill="1" applyBorder="1" applyProtection="1">
      <protection hidden="1"/>
    </xf>
    <xf numFmtId="0" fontId="187" fillId="42" borderId="44" xfId="0" applyFont="1" applyFill="1" applyBorder="1" applyAlignment="1" applyProtection="1">
      <alignment horizontal="left" vertical="top"/>
      <protection hidden="1"/>
    </xf>
    <xf numFmtId="0" fontId="187" fillId="42" borderId="44" xfId="0" applyFont="1" applyFill="1" applyBorder="1" applyAlignment="1" applyProtection="1">
      <alignment horizontal="left" vertical="center"/>
      <protection hidden="1"/>
    </xf>
    <xf numFmtId="0" fontId="187" fillId="42" borderId="44" xfId="0" applyFont="1" applyFill="1" applyBorder="1" applyAlignment="1" applyProtection="1">
      <alignment horizontal="center" vertical="center"/>
      <protection hidden="1"/>
    </xf>
    <xf numFmtId="0" fontId="187" fillId="42" borderId="44" xfId="0" applyFont="1" applyFill="1" applyBorder="1" applyAlignment="1" applyProtection="1">
      <alignment horizontal="left" indent="1"/>
      <protection hidden="1"/>
    </xf>
    <xf numFmtId="0" fontId="186" fillId="42" borderId="44" xfId="0" applyFont="1" applyFill="1" applyBorder="1" applyProtection="1">
      <protection hidden="1"/>
    </xf>
    <xf numFmtId="0" fontId="186" fillId="42" borderId="44" xfId="0" applyFont="1" applyFill="1" applyBorder="1" applyAlignment="1" applyProtection="1">
      <alignment horizontal="left" vertical="top" indent="3"/>
      <protection hidden="1"/>
    </xf>
    <xf numFmtId="0" fontId="186" fillId="42" borderId="43" xfId="0" applyFont="1" applyFill="1" applyBorder="1" applyAlignment="1" applyProtection="1">
      <alignment horizontal="left" vertical="top" indent="3"/>
      <protection hidden="1"/>
    </xf>
    <xf numFmtId="0" fontId="10" fillId="42" borderId="44" xfId="0" applyFont="1" applyFill="1" applyBorder="1" applyProtection="1">
      <protection hidden="1"/>
    </xf>
    <xf numFmtId="0" fontId="31" fillId="42" borderId="44" xfId="0" applyFont="1" applyFill="1" applyBorder="1" applyAlignment="1" applyProtection="1">
      <alignment horizontal="left" indent="1"/>
      <protection hidden="1"/>
    </xf>
    <xf numFmtId="0" fontId="1" fillId="42" borderId="44" xfId="0" applyFont="1" applyFill="1" applyBorder="1" applyProtection="1">
      <protection hidden="1"/>
    </xf>
    <xf numFmtId="0" fontId="12" fillId="42" borderId="44" xfId="0" applyFont="1" applyFill="1" applyBorder="1" applyProtection="1">
      <protection hidden="1"/>
    </xf>
    <xf numFmtId="0" fontId="28" fillId="42" borderId="44" xfId="0" applyFont="1" applyFill="1" applyBorder="1" applyAlignment="1" applyProtection="1">
      <alignment horizontal="left" vertical="center" indent="1"/>
      <protection hidden="1"/>
    </xf>
    <xf numFmtId="0" fontId="31" fillId="42" borderId="44" xfId="0" applyFont="1" applyFill="1" applyBorder="1" applyAlignment="1" applyProtection="1">
      <alignment horizontal="left" vertical="top"/>
      <protection hidden="1"/>
    </xf>
    <xf numFmtId="0" fontId="31" fillId="42" borderId="44" xfId="0" applyFont="1" applyFill="1" applyBorder="1" applyAlignment="1" applyProtection="1">
      <alignment horizontal="left" vertical="center"/>
      <protection hidden="1"/>
    </xf>
    <xf numFmtId="0" fontId="0" fillId="42" borderId="43" xfId="0" applyFill="1" applyBorder="1" applyProtection="1">
      <protection hidden="1"/>
    </xf>
    <xf numFmtId="0" fontId="28" fillId="42" borderId="44" xfId="0" applyFont="1" applyFill="1" applyBorder="1" applyAlignment="1" applyProtection="1">
      <alignment horizontal="left" vertical="top" indent="3"/>
      <protection hidden="1"/>
    </xf>
    <xf numFmtId="0" fontId="31" fillId="42" borderId="44" xfId="0" applyFont="1" applyFill="1" applyBorder="1" applyAlignment="1" applyProtection="1">
      <alignment horizontal="center" vertical="center"/>
      <protection hidden="1"/>
    </xf>
    <xf numFmtId="0" fontId="10" fillId="42" borderId="43" xfId="0" applyFont="1" applyFill="1" applyBorder="1" applyProtection="1">
      <protection hidden="1"/>
    </xf>
    <xf numFmtId="0" fontId="3" fillId="43" borderId="49" xfId="0" applyFont="1" applyFill="1" applyBorder="1" applyAlignment="1" applyProtection="1">
      <alignment vertical="center" wrapText="1"/>
      <protection hidden="1"/>
    </xf>
    <xf numFmtId="0" fontId="38" fillId="43" borderId="50" xfId="0" applyFont="1" applyFill="1" applyBorder="1" applyAlignment="1" applyProtection="1">
      <alignment horizontal="left" vertical="top" wrapText="1"/>
      <protection hidden="1"/>
    </xf>
    <xf numFmtId="0" fontId="3" fillId="43" borderId="50" xfId="0" applyFont="1" applyFill="1" applyBorder="1" applyAlignment="1" applyProtection="1">
      <alignment vertical="center" wrapText="1"/>
      <protection hidden="1"/>
    </xf>
    <xf numFmtId="0" fontId="3" fillId="43" borderId="51" xfId="0" applyFont="1" applyFill="1" applyBorder="1" applyAlignment="1" applyProtection="1">
      <alignment vertical="center" wrapText="1"/>
      <protection hidden="1"/>
    </xf>
    <xf numFmtId="0" fontId="170" fillId="43" borderId="52" xfId="0" applyFont="1" applyFill="1" applyBorder="1" applyAlignment="1" applyProtection="1">
      <alignment horizontal="left" vertical="center" indent="2"/>
      <protection hidden="1"/>
    </xf>
    <xf numFmtId="0" fontId="0" fillId="43" borderId="0" xfId="0" applyFill="1" applyProtection="1">
      <protection hidden="1"/>
    </xf>
    <xf numFmtId="0" fontId="38" fillId="43" borderId="0" xfId="0" applyFont="1" applyFill="1" applyAlignment="1" applyProtection="1">
      <alignment horizontal="left" vertical="top" wrapText="1"/>
      <protection hidden="1"/>
    </xf>
    <xf numFmtId="0" fontId="3" fillId="43" borderId="0" xfId="0" applyFont="1" applyFill="1" applyAlignment="1" applyProtection="1">
      <alignment vertical="center" wrapText="1"/>
      <protection hidden="1"/>
    </xf>
    <xf numFmtId="0" fontId="3" fillId="43" borderId="53" xfId="0" applyFont="1" applyFill="1" applyBorder="1" applyAlignment="1" applyProtection="1">
      <alignment vertical="center" wrapText="1"/>
      <protection hidden="1"/>
    </xf>
    <xf numFmtId="0" fontId="35" fillId="43" borderId="52" xfId="0" applyFont="1" applyFill="1" applyBorder="1" applyAlignment="1" applyProtection="1">
      <alignment horizontal="left" vertical="center" indent="1"/>
      <protection hidden="1"/>
    </xf>
    <xf numFmtId="0" fontId="0" fillId="43" borderId="0" xfId="0" applyFill="1" applyAlignment="1" applyProtection="1">
      <alignment horizontal="right" vertical="top" indent="1"/>
      <protection hidden="1"/>
    </xf>
    <xf numFmtId="0" fontId="76" fillId="43" borderId="0" xfId="0" applyFont="1" applyFill="1" applyAlignment="1" applyProtection="1">
      <alignment horizontal="left"/>
      <protection hidden="1"/>
    </xf>
    <xf numFmtId="0" fontId="171" fillId="43" borderId="0" xfId="0" applyFont="1" applyFill="1" applyAlignment="1" applyProtection="1">
      <alignment horizontal="left" vertical="top"/>
      <protection hidden="1"/>
    </xf>
    <xf numFmtId="0" fontId="127" fillId="43" borderId="0" xfId="0" applyFont="1" applyFill="1" applyAlignment="1" applyProtection="1">
      <alignment horizontal="left" vertical="top"/>
      <protection hidden="1"/>
    </xf>
    <xf numFmtId="0" fontId="120" fillId="43" borderId="0" xfId="0" applyFont="1" applyFill="1" applyAlignment="1" applyProtection="1">
      <alignment horizontal="center" vertical="top"/>
      <protection hidden="1"/>
    </xf>
    <xf numFmtId="0" fontId="5" fillId="43" borderId="0" xfId="0" applyFont="1" applyFill="1" applyAlignment="1" applyProtection="1">
      <alignment horizontal="center" vertical="top"/>
      <protection hidden="1"/>
    </xf>
    <xf numFmtId="0" fontId="3" fillId="43" borderId="52" xfId="0" applyFont="1" applyFill="1" applyBorder="1" applyAlignment="1" applyProtection="1">
      <alignment vertical="center" wrapText="1"/>
      <protection hidden="1"/>
    </xf>
    <xf numFmtId="0" fontId="122" fillId="43" borderId="339" xfId="3" applyFill="1" applyBorder="1" applyAlignment="1" applyProtection="1">
      <alignment horizontal="right" vertical="center" wrapText="1" indent="1"/>
      <protection locked="0" hidden="1"/>
    </xf>
    <xf numFmtId="0" fontId="0" fillId="43" borderId="339" xfId="0" applyFill="1" applyBorder="1" applyAlignment="1" applyProtection="1">
      <alignment horizontal="left" vertical="center"/>
      <protection hidden="1"/>
    </xf>
    <xf numFmtId="0" fontId="121" fillId="43" borderId="339" xfId="0" applyFont="1" applyFill="1" applyBorder="1" applyAlignment="1" applyProtection="1">
      <alignment vertical="center" wrapText="1"/>
      <protection hidden="1"/>
    </xf>
    <xf numFmtId="0" fontId="76" fillId="43" borderId="339" xfId="0" applyFont="1" applyFill="1" applyBorder="1" applyAlignment="1" applyProtection="1">
      <alignment horizontal="left" vertical="center"/>
      <protection hidden="1"/>
    </xf>
    <xf numFmtId="0" fontId="75" fillId="43" borderId="339" xfId="0" applyFont="1" applyFill="1" applyBorder="1" applyAlignment="1" applyProtection="1">
      <alignment vertical="center"/>
      <protection hidden="1"/>
    </xf>
    <xf numFmtId="0" fontId="0" fillId="43" borderId="339" xfId="0" applyFill="1" applyBorder="1" applyAlignment="1" applyProtection="1">
      <alignment vertical="center"/>
      <protection hidden="1"/>
    </xf>
    <xf numFmtId="0" fontId="122" fillId="43" borderId="338" xfId="3" applyFill="1" applyBorder="1" applyAlignment="1" applyProtection="1">
      <alignment horizontal="right" vertical="center" wrapText="1" indent="1"/>
      <protection locked="0" hidden="1"/>
    </xf>
    <xf numFmtId="0" fontId="0" fillId="43" borderId="338" xfId="0" applyFill="1" applyBorder="1" applyAlignment="1" applyProtection="1">
      <alignment horizontal="left" vertical="center"/>
      <protection hidden="1"/>
    </xf>
    <xf numFmtId="0" fontId="121" fillId="43" borderId="338" xfId="0" applyFont="1" applyFill="1" applyBorder="1" applyAlignment="1" applyProtection="1">
      <alignment vertical="center" wrapText="1"/>
      <protection hidden="1"/>
    </xf>
    <xf numFmtId="0" fontId="0" fillId="43" borderId="338" xfId="0" applyFill="1" applyBorder="1" applyAlignment="1" applyProtection="1">
      <alignment vertical="center"/>
      <protection hidden="1"/>
    </xf>
    <xf numFmtId="0" fontId="9" fillId="43" borderId="338" xfId="0" applyFont="1" applyFill="1" applyBorder="1" applyAlignment="1" applyProtection="1">
      <alignment vertical="center" wrapText="1"/>
      <protection hidden="1"/>
    </xf>
    <xf numFmtId="0" fontId="118" fillId="43" borderId="338" xfId="0" applyFont="1" applyFill="1" applyBorder="1" applyAlignment="1" applyProtection="1">
      <alignment horizontal="left" vertical="center" wrapText="1"/>
      <protection hidden="1"/>
    </xf>
    <xf numFmtId="0" fontId="75" fillId="43" borderId="338" xfId="0" applyFont="1" applyFill="1" applyBorder="1" applyAlignment="1" applyProtection="1">
      <alignment vertical="center"/>
      <protection hidden="1"/>
    </xf>
    <xf numFmtId="0" fontId="121" fillId="43" borderId="338" xfId="0" applyFont="1" applyFill="1" applyBorder="1" applyAlignment="1" applyProtection="1">
      <alignment vertical="center"/>
      <protection hidden="1"/>
    </xf>
    <xf numFmtId="0" fontId="9" fillId="43" borderId="338" xfId="0" applyFont="1" applyFill="1" applyBorder="1" applyAlignment="1" applyProtection="1">
      <alignment horizontal="left" vertical="center"/>
      <protection hidden="1"/>
    </xf>
    <xf numFmtId="0" fontId="75" fillId="43" borderId="338" xfId="0" applyFont="1" applyFill="1" applyBorder="1" applyAlignment="1" applyProtection="1">
      <alignment horizontal="left" vertical="center"/>
      <protection hidden="1"/>
    </xf>
    <xf numFmtId="0" fontId="122" fillId="43" borderId="340" xfId="3" applyFill="1" applyBorder="1" applyAlignment="1" applyProtection="1">
      <alignment horizontal="right" vertical="center" wrapText="1" indent="1"/>
      <protection locked="0" hidden="1"/>
    </xf>
    <xf numFmtId="0" fontId="0" fillId="43" borderId="340" xfId="0" applyFill="1" applyBorder="1" applyAlignment="1" applyProtection="1">
      <alignment horizontal="left" vertical="center"/>
      <protection hidden="1"/>
    </xf>
    <xf numFmtId="0" fontId="121" fillId="43" borderId="340" xfId="0" applyFont="1" applyFill="1" applyBorder="1" applyAlignment="1" applyProtection="1">
      <alignment vertical="center" wrapText="1"/>
      <protection hidden="1"/>
    </xf>
    <xf numFmtId="0" fontId="9" fillId="43" borderId="340" xfId="0" applyFont="1" applyFill="1" applyBorder="1" applyAlignment="1" applyProtection="1">
      <alignment vertical="center" wrapText="1"/>
      <protection hidden="1"/>
    </xf>
    <xf numFmtId="0" fontId="0" fillId="43" borderId="340" xfId="0" applyFill="1" applyBorder="1" applyAlignment="1" applyProtection="1">
      <alignment vertical="center"/>
      <protection hidden="1"/>
    </xf>
    <xf numFmtId="0" fontId="3" fillId="43" borderId="55" xfId="0" applyFont="1" applyFill="1" applyBorder="1" applyAlignment="1" applyProtection="1">
      <alignment vertical="center" wrapText="1"/>
      <protection hidden="1"/>
    </xf>
    <xf numFmtId="0" fontId="38" fillId="43" borderId="56" xfId="0" applyFont="1" applyFill="1" applyBorder="1" applyAlignment="1" applyProtection="1">
      <alignment horizontal="left" vertical="top" wrapText="1" indent="5"/>
      <protection hidden="1"/>
    </xf>
    <xf numFmtId="0" fontId="9" fillId="43" borderId="56" xfId="0" applyFont="1" applyFill="1" applyBorder="1" applyAlignment="1" applyProtection="1">
      <alignment vertical="top" wrapText="1"/>
      <protection hidden="1"/>
    </xf>
    <xf numFmtId="0" fontId="0" fillId="43" borderId="56" xfId="0" applyFill="1" applyBorder="1" applyProtection="1">
      <protection hidden="1"/>
    </xf>
    <xf numFmtId="0" fontId="38" fillId="43" borderId="56" xfId="0" applyFont="1" applyFill="1" applyBorder="1" applyAlignment="1" applyProtection="1">
      <alignment horizontal="left" vertical="top" wrapText="1"/>
      <protection hidden="1"/>
    </xf>
    <xf numFmtId="0" fontId="3" fillId="43" borderId="56" xfId="0" applyFont="1" applyFill="1" applyBorder="1" applyAlignment="1" applyProtection="1">
      <alignment vertical="center" wrapText="1"/>
      <protection hidden="1"/>
    </xf>
    <xf numFmtId="0" fontId="3" fillId="43" borderId="57" xfId="0" applyFont="1" applyFill="1" applyBorder="1" applyAlignment="1" applyProtection="1">
      <alignment vertical="center" wrapText="1"/>
      <protection hidden="1"/>
    </xf>
    <xf numFmtId="0" fontId="35" fillId="43" borderId="49" xfId="0" applyFont="1" applyFill="1" applyBorder="1" applyAlignment="1" applyProtection="1">
      <alignment horizontal="left" vertical="center"/>
      <protection hidden="1"/>
    </xf>
    <xf numFmtId="0" fontId="36" fillId="43" borderId="50" xfId="0" applyFont="1" applyFill="1" applyBorder="1" applyAlignment="1" applyProtection="1">
      <alignment horizontal="left"/>
      <protection hidden="1"/>
    </xf>
    <xf numFmtId="0" fontId="35" fillId="43" borderId="50" xfId="0" applyFont="1" applyFill="1" applyBorder="1" applyAlignment="1" applyProtection="1">
      <alignment horizontal="left" vertical="center"/>
      <protection hidden="1"/>
    </xf>
    <xf numFmtId="0" fontId="35" fillId="43" borderId="50" xfId="0" applyFont="1" applyFill="1" applyBorder="1" applyAlignment="1" applyProtection="1">
      <alignment vertical="center"/>
      <protection hidden="1"/>
    </xf>
    <xf numFmtId="0" fontId="35" fillId="43" borderId="51" xfId="0" applyFont="1" applyFill="1" applyBorder="1" applyAlignment="1" applyProtection="1">
      <alignment vertical="center"/>
      <protection hidden="1"/>
    </xf>
    <xf numFmtId="0" fontId="35" fillId="43" borderId="52" xfId="0" applyFont="1" applyFill="1" applyBorder="1" applyAlignment="1" applyProtection="1">
      <alignment horizontal="left" vertical="center"/>
      <protection hidden="1"/>
    </xf>
    <xf numFmtId="0" fontId="36" fillId="43" borderId="0" xfId="0" applyFont="1" applyFill="1" applyAlignment="1" applyProtection="1">
      <alignment horizontal="left" vertical="center"/>
      <protection hidden="1"/>
    </xf>
    <xf numFmtId="0" fontId="35" fillId="43" borderId="0" xfId="0" applyFont="1" applyFill="1" applyAlignment="1" applyProtection="1">
      <alignment horizontal="left" vertical="center"/>
      <protection hidden="1"/>
    </xf>
    <xf numFmtId="0" fontId="35" fillId="43" borderId="0" xfId="0" applyFont="1" applyFill="1" applyAlignment="1" applyProtection="1">
      <alignment vertical="center"/>
      <protection hidden="1"/>
    </xf>
    <xf numFmtId="0" fontId="35" fillId="43" borderId="53" xfId="0" applyFont="1" applyFill="1" applyBorder="1" applyAlignment="1" applyProtection="1">
      <alignment vertical="center"/>
      <protection hidden="1"/>
    </xf>
    <xf numFmtId="0" fontId="44" fillId="43" borderId="0" xfId="0" applyFont="1" applyFill="1" applyAlignment="1" applyProtection="1">
      <alignment vertical="center"/>
      <protection hidden="1"/>
    </xf>
    <xf numFmtId="0" fontId="3" fillId="43" borderId="0" xfId="0" applyFont="1" applyFill="1" applyAlignment="1" applyProtection="1">
      <alignment vertical="center"/>
      <protection hidden="1"/>
    </xf>
    <xf numFmtId="0" fontId="38" fillId="43" borderId="0" xfId="0" applyFont="1" applyFill="1" applyAlignment="1" applyProtection="1">
      <alignment horizontal="left" vertical="center" indent="6"/>
      <protection hidden="1"/>
    </xf>
    <xf numFmtId="0" fontId="38" fillId="43" borderId="0" xfId="0" applyFont="1" applyFill="1" applyAlignment="1" applyProtection="1">
      <alignment horizontal="left" vertical="center" indent="8"/>
      <protection hidden="1"/>
    </xf>
    <xf numFmtId="0" fontId="38" fillId="43" borderId="0" xfId="0" applyFont="1" applyFill="1" applyAlignment="1" applyProtection="1">
      <alignment vertical="center"/>
      <protection hidden="1"/>
    </xf>
    <xf numFmtId="0" fontId="113" fillId="43" borderId="52" xfId="0" applyFont="1" applyFill="1" applyBorder="1" applyAlignment="1" applyProtection="1">
      <alignment horizontal="center" vertical="top" wrapText="1"/>
      <protection hidden="1"/>
    </xf>
    <xf numFmtId="0" fontId="38" fillId="43" borderId="56" xfId="0" applyFont="1" applyFill="1" applyBorder="1" applyAlignment="1" applyProtection="1">
      <alignment vertical="center"/>
      <protection hidden="1"/>
    </xf>
    <xf numFmtId="0" fontId="3" fillId="43" borderId="56" xfId="0" applyFont="1" applyFill="1" applyBorder="1" applyAlignment="1" applyProtection="1">
      <alignment vertical="center"/>
      <protection hidden="1"/>
    </xf>
    <xf numFmtId="0" fontId="12" fillId="43" borderId="14" xfId="0" applyFont="1" applyFill="1" applyBorder="1" applyProtection="1">
      <protection hidden="1"/>
    </xf>
    <xf numFmtId="0" fontId="12" fillId="43" borderId="14" xfId="0" applyFont="1" applyFill="1" applyBorder="1" applyAlignment="1" applyProtection="1">
      <alignment vertical="center"/>
      <protection hidden="1"/>
    </xf>
    <xf numFmtId="0" fontId="12" fillId="43" borderId="11" xfId="0" applyFont="1" applyFill="1" applyBorder="1" applyProtection="1">
      <protection hidden="1"/>
    </xf>
    <xf numFmtId="0" fontId="12" fillId="43" borderId="17" xfId="0" applyFont="1" applyFill="1" applyBorder="1" applyProtection="1">
      <protection hidden="1"/>
    </xf>
    <xf numFmtId="0" fontId="12" fillId="43" borderId="12" xfId="0" applyFont="1" applyFill="1" applyBorder="1" applyProtection="1">
      <protection hidden="1"/>
    </xf>
    <xf numFmtId="0" fontId="12" fillId="43" borderId="13" xfId="0" applyFont="1" applyFill="1" applyBorder="1" applyProtection="1">
      <protection hidden="1"/>
    </xf>
    <xf numFmtId="0" fontId="12" fillId="43" borderId="250" xfId="0" applyFont="1" applyFill="1" applyBorder="1" applyProtection="1">
      <protection hidden="1"/>
    </xf>
    <xf numFmtId="0" fontId="31" fillId="43" borderId="250" xfId="0" applyFont="1" applyFill="1" applyBorder="1" applyAlignment="1" applyProtection="1">
      <alignment horizontal="left" indent="1"/>
      <protection hidden="1"/>
    </xf>
    <xf numFmtId="0" fontId="0" fillId="43" borderId="250" xfId="0" applyFill="1" applyBorder="1" applyAlignment="1" applyProtection="1">
      <alignment vertical="center"/>
      <protection hidden="1"/>
    </xf>
    <xf numFmtId="0" fontId="5" fillId="43" borderId="250" xfId="0" applyFont="1" applyFill="1" applyBorder="1" applyAlignment="1" applyProtection="1">
      <alignment vertical="center"/>
      <protection hidden="1"/>
    </xf>
    <xf numFmtId="0" fontId="12" fillId="43" borderId="250" xfId="0" applyFont="1" applyFill="1" applyBorder="1" applyAlignment="1" applyProtection="1">
      <alignment vertical="center"/>
      <protection hidden="1"/>
    </xf>
    <xf numFmtId="0" fontId="12" fillId="43" borderId="16" xfId="0" applyFont="1" applyFill="1" applyBorder="1" applyProtection="1">
      <protection hidden="1"/>
    </xf>
    <xf numFmtId="0" fontId="12" fillId="43" borderId="18" xfId="0" applyFont="1" applyFill="1" applyBorder="1" applyProtection="1">
      <protection hidden="1"/>
    </xf>
    <xf numFmtId="0" fontId="0" fillId="43" borderId="27" xfId="0" applyFill="1" applyBorder="1" applyProtection="1">
      <protection hidden="1"/>
    </xf>
    <xf numFmtId="0" fontId="0" fillId="43" borderId="27" xfId="0" applyFill="1" applyBorder="1" applyAlignment="1" applyProtection="1">
      <alignment vertical="center"/>
      <protection hidden="1"/>
    </xf>
    <xf numFmtId="0" fontId="12" fillId="43" borderId="20" xfId="0" applyFont="1" applyFill="1" applyBorder="1" applyProtection="1">
      <protection hidden="1"/>
    </xf>
    <xf numFmtId="0" fontId="12" fillId="43" borderId="15" xfId="0" applyFont="1" applyFill="1" applyBorder="1" applyProtection="1">
      <protection hidden="1"/>
    </xf>
    <xf numFmtId="0" fontId="45" fillId="43" borderId="27" xfId="0" applyFont="1" applyFill="1" applyBorder="1" applyProtection="1">
      <protection hidden="1"/>
    </xf>
    <xf numFmtId="0" fontId="12" fillId="43" borderId="25" xfId="0" applyFont="1" applyFill="1" applyBorder="1" applyProtection="1">
      <protection hidden="1"/>
    </xf>
    <xf numFmtId="0" fontId="12" fillId="43" borderId="27" xfId="0" applyFont="1" applyFill="1" applyBorder="1" applyProtection="1">
      <protection hidden="1"/>
    </xf>
    <xf numFmtId="0" fontId="29" fillId="43" borderId="27" xfId="0" applyFont="1" applyFill="1" applyBorder="1" applyAlignment="1" applyProtection="1">
      <alignment horizontal="left" vertical="top" indent="1"/>
      <protection hidden="1"/>
    </xf>
    <xf numFmtId="0" fontId="14" fillId="43" borderId="27" xfId="0" applyFont="1" applyFill="1" applyBorder="1" applyAlignment="1" applyProtection="1">
      <alignment wrapText="1"/>
      <protection hidden="1"/>
    </xf>
    <xf numFmtId="0" fontId="14" fillId="43" borderId="27" xfId="0" applyFont="1" applyFill="1" applyBorder="1" applyProtection="1">
      <protection hidden="1"/>
    </xf>
    <xf numFmtId="0" fontId="12" fillId="43" borderId="35" xfId="0" applyFont="1" applyFill="1" applyBorder="1" applyProtection="1">
      <protection hidden="1"/>
    </xf>
    <xf numFmtId="0" fontId="12" fillId="43" borderId="0" xfId="0" applyFont="1" applyFill="1" applyProtection="1">
      <protection hidden="1"/>
    </xf>
    <xf numFmtId="0" fontId="12" fillId="43" borderId="40" xfId="0" applyFont="1" applyFill="1" applyBorder="1" applyProtection="1">
      <protection hidden="1"/>
    </xf>
    <xf numFmtId="0" fontId="12" fillId="43" borderId="15" xfId="0" applyFont="1" applyFill="1" applyBorder="1" applyAlignment="1" applyProtection="1">
      <alignment vertical="center"/>
      <protection hidden="1"/>
    </xf>
    <xf numFmtId="0" fontId="12" fillId="43" borderId="0" xfId="0" applyFont="1" applyFill="1" applyAlignment="1" applyProtection="1">
      <alignment vertical="center"/>
      <protection hidden="1"/>
    </xf>
    <xf numFmtId="0" fontId="14" fillId="43" borderId="0" xfId="0" applyFont="1" applyFill="1" applyAlignment="1" applyProtection="1">
      <alignment horizontal="right"/>
      <protection hidden="1"/>
    </xf>
    <xf numFmtId="0" fontId="12" fillId="43" borderId="0" xfId="0" applyFont="1" applyFill="1" applyAlignment="1" applyProtection="1">
      <alignment horizontal="right" indent="1"/>
      <protection hidden="1"/>
    </xf>
    <xf numFmtId="0" fontId="0" fillId="43" borderId="22" xfId="0" applyFill="1" applyBorder="1" applyProtection="1">
      <protection hidden="1"/>
    </xf>
    <xf numFmtId="0" fontId="0" fillId="43" borderId="22" xfId="0" applyFill="1" applyBorder="1" applyAlignment="1" applyProtection="1">
      <alignment vertical="center"/>
      <protection hidden="1"/>
    </xf>
    <xf numFmtId="0" fontId="12" fillId="43" borderId="22" xfId="0" applyFont="1" applyFill="1" applyBorder="1" applyAlignment="1" applyProtection="1">
      <alignment vertical="center"/>
      <protection hidden="1"/>
    </xf>
    <xf numFmtId="0" fontId="12" fillId="43" borderId="22" xfId="0" applyFont="1" applyFill="1" applyBorder="1" applyProtection="1">
      <protection hidden="1"/>
    </xf>
    <xf numFmtId="0" fontId="18" fillId="43" borderId="0" xfId="0" applyFont="1" applyFill="1" applyProtection="1">
      <protection hidden="1"/>
    </xf>
    <xf numFmtId="0" fontId="35" fillId="43" borderId="52" xfId="0" applyFont="1" applyFill="1" applyBorder="1" applyAlignment="1" applyProtection="1">
      <alignment horizontal="left" vertical="center" indent="2"/>
      <protection hidden="1"/>
    </xf>
    <xf numFmtId="0" fontId="35" fillId="43" borderId="0" xfId="0" applyFont="1" applyFill="1" applyAlignment="1" applyProtection="1">
      <alignment horizontal="left" vertical="center" indent="1"/>
      <protection hidden="1"/>
    </xf>
    <xf numFmtId="0" fontId="5" fillId="43" borderId="0" xfId="0" applyFont="1" applyFill="1" applyAlignment="1" applyProtection="1">
      <alignment horizontal="right" vertical="center" indent="1"/>
      <protection hidden="1"/>
    </xf>
    <xf numFmtId="0" fontId="0" fillId="43" borderId="52" xfId="0" applyFill="1" applyBorder="1" applyAlignment="1" applyProtection="1">
      <alignment horizontal="left" indent="1"/>
      <protection hidden="1"/>
    </xf>
    <xf numFmtId="0" fontId="0" fillId="43" borderId="0" xfId="0" applyFill="1" applyAlignment="1" applyProtection="1">
      <alignment horizontal="left" indent="1"/>
      <protection hidden="1"/>
    </xf>
    <xf numFmtId="0" fontId="0" fillId="43" borderId="0" xfId="0" applyFill="1" applyAlignment="1" applyProtection="1">
      <alignment vertical="center"/>
      <protection hidden="1"/>
    </xf>
    <xf numFmtId="0" fontId="38" fillId="43" borderId="0" xfId="0" applyFont="1" applyFill="1" applyAlignment="1" applyProtection="1">
      <alignment horizontal="left" indent="6"/>
      <protection hidden="1"/>
    </xf>
    <xf numFmtId="0" fontId="0" fillId="43" borderId="53" xfId="0" applyFill="1" applyBorder="1" applyProtection="1">
      <protection hidden="1"/>
    </xf>
    <xf numFmtId="0" fontId="113" fillId="43" borderId="52" xfId="0" applyFont="1" applyFill="1" applyBorder="1" applyAlignment="1" applyProtection="1">
      <alignment horizontal="center" vertical="center" wrapText="1"/>
      <protection hidden="1"/>
    </xf>
    <xf numFmtId="0" fontId="0" fillId="43" borderId="55" xfId="0" applyFill="1" applyBorder="1" applyProtection="1">
      <protection hidden="1"/>
    </xf>
    <xf numFmtId="0" fontId="0" fillId="43" borderId="57" xfId="0" applyFill="1" applyBorder="1" applyProtection="1">
      <protection hidden="1"/>
    </xf>
    <xf numFmtId="0" fontId="5" fillId="43" borderId="0" xfId="0" applyFont="1" applyFill="1" applyAlignment="1" applyProtection="1">
      <alignment vertical="center" wrapText="1"/>
      <protection hidden="1"/>
    </xf>
    <xf numFmtId="0" fontId="0" fillId="43" borderId="0" xfId="0" applyFill="1" applyAlignment="1" applyProtection="1">
      <alignment horizontal="right" indent="1"/>
      <protection hidden="1"/>
    </xf>
    <xf numFmtId="0" fontId="0" fillId="43" borderId="0" xfId="0" applyFill="1" applyAlignment="1" applyProtection="1">
      <alignment horizontal="left" vertical="center" indent="4"/>
      <protection hidden="1"/>
    </xf>
    <xf numFmtId="0" fontId="64" fillId="43" borderId="0" xfId="0" applyFont="1" applyFill="1" applyAlignment="1" applyProtection="1">
      <alignment vertical="center"/>
      <protection hidden="1"/>
    </xf>
    <xf numFmtId="0" fontId="64" fillId="43" borderId="0" xfId="0" applyFont="1" applyFill="1" applyAlignment="1" applyProtection="1">
      <alignment vertical="center" wrapText="1"/>
      <protection hidden="1"/>
    </xf>
    <xf numFmtId="0" fontId="0" fillId="43" borderId="0" xfId="0" applyFill="1" applyAlignment="1" applyProtection="1">
      <alignment horizontal="left" vertical="center" indent="2"/>
      <protection hidden="1"/>
    </xf>
    <xf numFmtId="0" fontId="5" fillId="43" borderId="0" xfId="0" applyFont="1" applyFill="1" applyAlignment="1" applyProtection="1">
      <alignment horizontal="right" wrapText="1" indent="1"/>
      <protection hidden="1"/>
    </xf>
    <xf numFmtId="0" fontId="3" fillId="43" borderId="0" xfId="0" applyFont="1" applyFill="1" applyAlignment="1" applyProtection="1">
      <alignment horizontal="right" wrapText="1" indent="1"/>
      <protection hidden="1"/>
    </xf>
    <xf numFmtId="0" fontId="63" fillId="43" borderId="0" xfId="0" applyFont="1" applyFill="1" applyAlignment="1" applyProtection="1">
      <alignment horizontal="left" wrapText="1" indent="2"/>
      <protection hidden="1"/>
    </xf>
    <xf numFmtId="0" fontId="63" fillId="43" borderId="0" xfId="0" applyFont="1" applyFill="1" applyAlignment="1" applyProtection="1">
      <alignment horizontal="left" indent="1"/>
      <protection hidden="1"/>
    </xf>
    <xf numFmtId="0" fontId="44" fillId="43" borderId="0" xfId="0" applyFont="1" applyFill="1" applyAlignment="1" applyProtection="1">
      <alignment horizontal="left" vertical="center" indent="2"/>
      <protection hidden="1"/>
    </xf>
    <xf numFmtId="0" fontId="6" fillId="43" borderId="0" xfId="1" applyFont="1" applyFill="1" applyBorder="1" applyAlignment="1" applyProtection="1">
      <alignment horizontal="center" vertical="center"/>
      <protection hidden="1"/>
    </xf>
    <xf numFmtId="0" fontId="3" fillId="43" borderId="48" xfId="0" applyFont="1" applyFill="1" applyBorder="1" applyAlignment="1" applyProtection="1">
      <alignment vertical="center" wrapText="1"/>
      <protection hidden="1"/>
    </xf>
    <xf numFmtId="0" fontId="3" fillId="43" borderId="48" xfId="0" applyFont="1" applyFill="1" applyBorder="1" applyAlignment="1" applyProtection="1">
      <alignment horizontal="right" vertical="center" wrapText="1" indent="1"/>
      <protection hidden="1"/>
    </xf>
    <xf numFmtId="0" fontId="45" fillId="43" borderId="0" xfId="0" applyFont="1" applyFill="1" applyProtection="1">
      <protection hidden="1"/>
    </xf>
    <xf numFmtId="0" fontId="0" fillId="43" borderId="0" xfId="0" applyFill="1" applyAlignment="1" applyProtection="1">
      <alignment horizontal="left" vertical="center" indent="1"/>
      <protection hidden="1"/>
    </xf>
    <xf numFmtId="0" fontId="67" fillId="43" borderId="53" xfId="0" applyFont="1" applyFill="1" applyBorder="1" applyAlignment="1" applyProtection="1">
      <alignment horizontal="left" vertical="center" wrapText="1"/>
      <protection hidden="1"/>
    </xf>
    <xf numFmtId="0" fontId="94" fillId="43" borderId="0" xfId="0" applyFont="1" applyFill="1" applyAlignment="1" applyProtection="1">
      <alignment horizontal="center" vertical="center"/>
      <protection hidden="1"/>
    </xf>
    <xf numFmtId="0" fontId="91" fillId="43" borderId="0" xfId="0" applyFont="1" applyFill="1" applyAlignment="1" applyProtection="1">
      <alignment vertical="center"/>
      <protection hidden="1"/>
    </xf>
    <xf numFmtId="0" fontId="92" fillId="43" borderId="0" xfId="0" applyFont="1" applyFill="1" applyAlignment="1" applyProtection="1">
      <alignment vertical="center"/>
      <protection hidden="1"/>
    </xf>
    <xf numFmtId="0" fontId="44" fillId="43" borderId="0" xfId="0" applyFont="1" applyFill="1" applyAlignment="1" applyProtection="1">
      <alignment horizontal="left" vertical="center" indent="6"/>
      <protection hidden="1"/>
    </xf>
    <xf numFmtId="0" fontId="0" fillId="43" borderId="0" xfId="0" applyFill="1" applyAlignment="1" applyProtection="1">
      <alignment horizontal="left" vertical="center" wrapText="1" indent="1"/>
      <protection hidden="1"/>
    </xf>
    <xf numFmtId="0" fontId="0" fillId="43" borderId="0" xfId="0" applyFill="1" applyAlignment="1" applyProtection="1">
      <alignment horizontal="left" vertical="top" indent="1"/>
      <protection hidden="1"/>
    </xf>
    <xf numFmtId="0" fontId="38" fillId="43" borderId="0" xfId="0" applyFont="1" applyFill="1" applyAlignment="1" applyProtection="1">
      <alignment horizontal="left" vertical="top" indent="9"/>
      <protection hidden="1"/>
    </xf>
    <xf numFmtId="0" fontId="9" fillId="43" borderId="0" xfId="0" applyFont="1" applyFill="1" applyAlignment="1" applyProtection="1">
      <alignment horizontal="left" indent="6"/>
      <protection hidden="1"/>
    </xf>
    <xf numFmtId="0" fontId="0" fillId="43" borderId="0" xfId="0" applyFill="1" applyAlignment="1" applyProtection="1">
      <alignment horizontal="left" indent="4"/>
      <protection hidden="1"/>
    </xf>
    <xf numFmtId="0" fontId="0" fillId="43" borderId="0" xfId="0" applyFill="1" applyAlignment="1" applyProtection="1">
      <alignment vertical="top"/>
      <protection hidden="1"/>
    </xf>
    <xf numFmtId="0" fontId="38" fillId="43" borderId="0" xfId="0" applyFont="1" applyFill="1" applyAlignment="1" applyProtection="1">
      <alignment horizontal="left" indent="4"/>
      <protection hidden="1"/>
    </xf>
    <xf numFmtId="0" fontId="38" fillId="43" borderId="0" xfId="0" applyFont="1" applyFill="1" applyAlignment="1" applyProtection="1">
      <alignment horizontal="left" vertical="top" indent="7"/>
      <protection hidden="1"/>
    </xf>
    <xf numFmtId="0" fontId="38" fillId="43" borderId="0" xfId="0" applyFont="1" applyFill="1" applyAlignment="1" applyProtection="1">
      <alignment horizontal="left" vertical="top" indent="6"/>
      <protection hidden="1"/>
    </xf>
    <xf numFmtId="0" fontId="3" fillId="43" borderId="2" xfId="0" applyFont="1" applyFill="1" applyBorder="1" applyAlignment="1" applyProtection="1">
      <alignment vertical="center" wrapText="1"/>
      <protection hidden="1"/>
    </xf>
    <xf numFmtId="0" fontId="106" fillId="43" borderId="52" xfId="0" applyFont="1" applyFill="1" applyBorder="1" applyAlignment="1" applyProtection="1">
      <alignment horizontal="left" vertical="center" wrapText="1"/>
      <protection hidden="1"/>
    </xf>
    <xf numFmtId="0" fontId="3" fillId="43" borderId="0" xfId="0" applyFont="1" applyFill="1" applyAlignment="1" applyProtection="1">
      <alignment horizontal="center" vertical="center" wrapText="1"/>
      <protection hidden="1"/>
    </xf>
    <xf numFmtId="0" fontId="35" fillId="43" borderId="53" xfId="0" applyFont="1" applyFill="1" applyBorder="1" applyAlignment="1" applyProtection="1">
      <alignment horizontal="left" vertical="center" wrapText="1"/>
      <protection hidden="1"/>
    </xf>
    <xf numFmtId="0" fontId="189" fillId="43" borderId="0" xfId="0" applyFont="1" applyFill="1" applyAlignment="1" applyProtection="1">
      <alignment vertical="center" wrapText="1"/>
      <protection hidden="1"/>
    </xf>
    <xf numFmtId="0" fontId="1" fillId="43" borderId="0" xfId="0" applyFont="1" applyFill="1" applyAlignment="1" applyProtection="1">
      <alignment horizontal="right" vertical="center" wrapText="1"/>
      <protection hidden="1"/>
    </xf>
    <xf numFmtId="0" fontId="3" fillId="43" borderId="56" xfId="0" applyFont="1" applyFill="1" applyBorder="1" applyAlignment="1" applyProtection="1">
      <alignment horizontal="center" vertical="center" wrapText="1"/>
      <protection hidden="1"/>
    </xf>
    <xf numFmtId="0" fontId="35" fillId="43" borderId="52" xfId="0" applyFont="1" applyFill="1" applyBorder="1" applyAlignment="1" applyProtection="1">
      <alignment horizontal="center" vertical="center"/>
      <protection hidden="1"/>
    </xf>
    <xf numFmtId="0" fontId="42" fillId="43" borderId="52" xfId="0" applyFont="1" applyFill="1" applyBorder="1" applyAlignment="1" applyProtection="1">
      <alignment horizontal="center" vertical="center"/>
      <protection hidden="1"/>
    </xf>
    <xf numFmtId="0" fontId="3" fillId="43" borderId="52" xfId="0" applyFont="1" applyFill="1" applyBorder="1" applyAlignment="1" applyProtection="1">
      <alignment vertical="center" wrapText="1"/>
      <protection locked="0"/>
    </xf>
    <xf numFmtId="0" fontId="10" fillId="45" borderId="0" xfId="0" applyFont="1" applyFill="1" applyProtection="1">
      <protection hidden="1"/>
    </xf>
    <xf numFmtId="0" fontId="11" fillId="45" borderId="0" xfId="0" applyFont="1" applyFill="1" applyAlignment="1" applyProtection="1">
      <alignment vertical="center"/>
      <protection hidden="1"/>
    </xf>
    <xf numFmtId="0" fontId="10" fillId="45" borderId="0" xfId="0" applyFont="1" applyFill="1" applyAlignment="1" applyProtection="1">
      <alignment vertical="center"/>
      <protection hidden="1"/>
    </xf>
    <xf numFmtId="0" fontId="7" fillId="45" borderId="0" xfId="0" applyFont="1" applyFill="1" applyProtection="1">
      <protection hidden="1"/>
    </xf>
    <xf numFmtId="0" fontId="137" fillId="45" borderId="0" xfId="0" applyFont="1" applyFill="1" applyAlignment="1" applyProtection="1">
      <alignment horizontal="right"/>
      <protection hidden="1"/>
    </xf>
    <xf numFmtId="0" fontId="184" fillId="45" borderId="0" xfId="0" applyFont="1" applyFill="1" applyAlignment="1" applyProtection="1">
      <alignment vertical="top"/>
      <protection hidden="1"/>
    </xf>
    <xf numFmtId="0" fontId="185" fillId="45" borderId="0" xfId="0" applyFont="1" applyFill="1" applyAlignment="1" applyProtection="1">
      <alignment horizontal="right" vertical="top"/>
      <protection hidden="1"/>
    </xf>
    <xf numFmtId="0" fontId="1" fillId="45" borderId="0" xfId="0" applyFont="1" applyFill="1" applyAlignment="1" applyProtection="1">
      <alignment vertical="center"/>
      <protection hidden="1"/>
    </xf>
    <xf numFmtId="0" fontId="183" fillId="45" borderId="0" xfId="0" applyFont="1" applyFill="1" applyAlignment="1" applyProtection="1">
      <alignment horizontal="right" vertical="center"/>
      <protection hidden="1"/>
    </xf>
    <xf numFmtId="0" fontId="5" fillId="46" borderId="0" xfId="0" applyFont="1" applyFill="1" applyProtection="1">
      <protection hidden="1"/>
    </xf>
    <xf numFmtId="0" fontId="1" fillId="46" borderId="0" xfId="0" applyFont="1" applyFill="1" applyAlignment="1" applyProtection="1">
      <alignment vertical="center"/>
      <protection hidden="1"/>
    </xf>
    <xf numFmtId="0" fontId="0" fillId="46" borderId="0" xfId="0" applyFill="1" applyProtection="1">
      <protection hidden="1"/>
    </xf>
    <xf numFmtId="0" fontId="21" fillId="46" borderId="0" xfId="0" applyFont="1" applyFill="1" applyAlignment="1" applyProtection="1">
      <alignment vertical="center"/>
      <protection hidden="1"/>
    </xf>
    <xf numFmtId="0" fontId="31" fillId="46" borderId="0" xfId="0" applyFont="1" applyFill="1" applyAlignment="1" applyProtection="1">
      <alignment horizontal="right" vertical="center"/>
      <protection hidden="1"/>
    </xf>
    <xf numFmtId="0" fontId="12" fillId="48" borderId="11" xfId="0" applyFont="1" applyFill="1" applyBorder="1" applyProtection="1">
      <protection hidden="1"/>
    </xf>
    <xf numFmtId="0" fontId="12" fillId="48" borderId="14" xfId="0" applyFont="1" applyFill="1" applyBorder="1" applyProtection="1">
      <protection hidden="1"/>
    </xf>
    <xf numFmtId="0" fontId="12" fillId="48" borderId="14" xfId="0" applyFont="1" applyFill="1" applyBorder="1" applyAlignment="1" applyProtection="1">
      <alignment vertical="center"/>
      <protection hidden="1"/>
    </xf>
    <xf numFmtId="0" fontId="12" fillId="48" borderId="17" xfId="0" applyFont="1" applyFill="1" applyBorder="1" applyProtection="1">
      <protection hidden="1"/>
    </xf>
    <xf numFmtId="0" fontId="12" fillId="48" borderId="12" xfId="0" applyFont="1" applyFill="1" applyBorder="1" applyProtection="1">
      <protection hidden="1"/>
    </xf>
    <xf numFmtId="0" fontId="12" fillId="48" borderId="250" xfId="0" applyFont="1" applyFill="1" applyBorder="1" applyProtection="1">
      <protection hidden="1"/>
    </xf>
    <xf numFmtId="0" fontId="31" fillId="48" borderId="250" xfId="0" applyFont="1" applyFill="1" applyBorder="1" applyAlignment="1" applyProtection="1">
      <alignment horizontal="left" indent="1"/>
      <protection hidden="1"/>
    </xf>
    <xf numFmtId="0" fontId="0" fillId="48" borderId="250" xfId="0" applyFill="1" applyBorder="1" applyAlignment="1" applyProtection="1">
      <alignment vertical="center"/>
      <protection hidden="1"/>
    </xf>
    <xf numFmtId="0" fontId="5" fillId="48" borderId="250" xfId="0" applyFont="1" applyFill="1" applyBorder="1" applyAlignment="1" applyProtection="1">
      <alignment vertical="center"/>
      <protection hidden="1"/>
    </xf>
    <xf numFmtId="0" fontId="12" fillId="48" borderId="250" xfId="0" applyFont="1" applyFill="1" applyBorder="1" applyAlignment="1" applyProtection="1">
      <alignment vertical="center"/>
      <protection hidden="1"/>
    </xf>
    <xf numFmtId="0" fontId="12" fillId="48" borderId="16" xfId="0" applyFont="1" applyFill="1" applyBorder="1" applyProtection="1">
      <protection hidden="1"/>
    </xf>
    <xf numFmtId="0" fontId="12" fillId="48" borderId="13" xfId="0" applyFont="1" applyFill="1" applyBorder="1" applyProtection="1">
      <protection hidden="1"/>
    </xf>
    <xf numFmtId="0" fontId="0" fillId="48" borderId="27" xfId="0" applyFill="1" applyBorder="1" applyProtection="1">
      <protection hidden="1"/>
    </xf>
    <xf numFmtId="0" fontId="0" fillId="48" borderId="27" xfId="0" applyFill="1" applyBorder="1" applyAlignment="1" applyProtection="1">
      <alignment vertical="center"/>
      <protection hidden="1"/>
    </xf>
    <xf numFmtId="0" fontId="12" fillId="48" borderId="18" xfId="0" applyFont="1" applyFill="1" applyBorder="1" applyProtection="1">
      <protection hidden="1"/>
    </xf>
    <xf numFmtId="0" fontId="31" fillId="46" borderId="0" xfId="0" applyFont="1" applyFill="1" applyAlignment="1" applyProtection="1">
      <alignment vertical="center"/>
      <protection hidden="1"/>
    </xf>
    <xf numFmtId="0" fontId="21" fillId="46" borderId="0" xfId="0" applyFont="1" applyFill="1" applyAlignment="1" applyProtection="1">
      <alignment horizontal="left" vertical="center" indent="1"/>
      <protection hidden="1"/>
    </xf>
    <xf numFmtId="0" fontId="1" fillId="46" borderId="0" xfId="0" applyFont="1" applyFill="1" applyAlignment="1" applyProtection="1">
      <alignment horizontal="left" vertical="center"/>
      <protection hidden="1"/>
    </xf>
    <xf numFmtId="0" fontId="21" fillId="46" borderId="0" xfId="0" applyFont="1" applyFill="1" applyAlignment="1" applyProtection="1">
      <alignment horizontal="left" vertical="center"/>
      <protection hidden="1"/>
    </xf>
    <xf numFmtId="0" fontId="12" fillId="48" borderId="15" xfId="0" applyFont="1" applyFill="1" applyBorder="1" applyProtection="1">
      <protection hidden="1"/>
    </xf>
    <xf numFmtId="0" fontId="12" fillId="48" borderId="0" xfId="0" applyFont="1" applyFill="1" applyProtection="1">
      <protection hidden="1"/>
    </xf>
    <xf numFmtId="0" fontId="18" fillId="48" borderId="0" xfId="0" applyFont="1" applyFill="1" applyProtection="1">
      <protection hidden="1"/>
    </xf>
    <xf numFmtId="0" fontId="12" fillId="48" borderId="22" xfId="0" applyFont="1" applyFill="1" applyBorder="1" applyProtection="1">
      <protection hidden="1"/>
    </xf>
    <xf numFmtId="0" fontId="12" fillId="48" borderId="15" xfId="0" applyFont="1" applyFill="1" applyBorder="1" applyAlignment="1" applyProtection="1">
      <alignment vertical="center"/>
      <protection hidden="1"/>
    </xf>
    <xf numFmtId="0" fontId="12" fillId="48" borderId="0" xfId="0" applyFont="1" applyFill="1" applyAlignment="1" applyProtection="1">
      <alignment vertical="center"/>
      <protection hidden="1"/>
    </xf>
    <xf numFmtId="0" fontId="12" fillId="48" borderId="27" xfId="0" applyFont="1" applyFill="1" applyBorder="1" applyProtection="1">
      <protection hidden="1"/>
    </xf>
    <xf numFmtId="0" fontId="0" fillId="48" borderId="22" xfId="0" applyFill="1" applyBorder="1" applyProtection="1">
      <protection hidden="1"/>
    </xf>
    <xf numFmtId="0" fontId="0" fillId="48" borderId="22" xfId="0" applyFill="1" applyBorder="1" applyAlignment="1" applyProtection="1">
      <alignment vertical="center"/>
      <protection hidden="1"/>
    </xf>
    <xf numFmtId="0" fontId="12" fillId="48" borderId="22" xfId="0" applyFont="1" applyFill="1" applyBorder="1" applyAlignment="1" applyProtection="1">
      <alignment vertical="center"/>
      <protection hidden="1"/>
    </xf>
    <xf numFmtId="0" fontId="0" fillId="48" borderId="0" xfId="0" applyFill="1" applyProtection="1">
      <protection hidden="1"/>
    </xf>
    <xf numFmtId="0" fontId="14" fillId="48" borderId="0" xfId="0" applyFont="1" applyFill="1" applyAlignment="1" applyProtection="1">
      <alignment horizontal="right"/>
      <protection hidden="1"/>
    </xf>
    <xf numFmtId="0" fontId="12" fillId="48" borderId="0" xfId="0" applyFont="1" applyFill="1" applyAlignment="1" applyProtection="1">
      <alignment horizontal="right" indent="1"/>
      <protection hidden="1"/>
    </xf>
    <xf numFmtId="0" fontId="12" fillId="48" borderId="40" xfId="0" applyFont="1" applyFill="1" applyBorder="1" applyProtection="1">
      <protection hidden="1"/>
    </xf>
    <xf numFmtId="0" fontId="12" fillId="48" borderId="35" xfId="0" applyFont="1" applyFill="1" applyBorder="1" applyProtection="1">
      <protection hidden="1"/>
    </xf>
    <xf numFmtId="0" fontId="12" fillId="48" borderId="20" xfId="0" applyFont="1" applyFill="1" applyBorder="1" applyProtection="1">
      <protection hidden="1"/>
    </xf>
    <xf numFmtId="0" fontId="45" fillId="48" borderId="27" xfId="0" applyFont="1" applyFill="1" applyBorder="1" applyProtection="1">
      <protection hidden="1"/>
    </xf>
    <xf numFmtId="0" fontId="12" fillId="48" borderId="25" xfId="0" applyFont="1" applyFill="1" applyBorder="1" applyProtection="1">
      <protection hidden="1"/>
    </xf>
    <xf numFmtId="0" fontId="29" fillId="48" borderId="27" xfId="0" applyFont="1" applyFill="1" applyBorder="1" applyAlignment="1" applyProtection="1">
      <alignment horizontal="left" vertical="top" indent="1"/>
      <protection hidden="1"/>
    </xf>
    <xf numFmtId="0" fontId="14" fillId="48" borderId="27" xfId="0" applyFont="1" applyFill="1" applyBorder="1" applyAlignment="1" applyProtection="1">
      <alignment wrapText="1"/>
      <protection hidden="1"/>
    </xf>
    <xf numFmtId="0" fontId="14" fillId="48" borderId="27" xfId="0" applyFont="1" applyFill="1" applyBorder="1" applyProtection="1">
      <protection hidden="1"/>
    </xf>
    <xf numFmtId="0" fontId="186" fillId="47" borderId="42" xfId="0" applyFont="1" applyFill="1" applyBorder="1" applyAlignment="1" applyProtection="1">
      <alignment horizontal="left" vertical="center" indent="1"/>
      <protection hidden="1"/>
    </xf>
    <xf numFmtId="0" fontId="10" fillId="47" borderId="44" xfId="0" applyFont="1" applyFill="1" applyBorder="1" applyProtection="1">
      <protection hidden="1"/>
    </xf>
    <xf numFmtId="0" fontId="31" fillId="47" borderId="44" xfId="0" applyFont="1" applyFill="1" applyBorder="1" applyAlignment="1" applyProtection="1">
      <alignment horizontal="left" indent="1"/>
      <protection hidden="1"/>
    </xf>
    <xf numFmtId="0" fontId="1" fillId="47" borderId="44" xfId="0" applyFont="1" applyFill="1" applyBorder="1" applyProtection="1">
      <protection hidden="1"/>
    </xf>
    <xf numFmtId="0" fontId="12" fillId="47" borderId="44" xfId="0" applyFont="1" applyFill="1" applyBorder="1" applyProtection="1">
      <protection hidden="1"/>
    </xf>
    <xf numFmtId="0" fontId="28" fillId="47" borderId="44" xfId="0" applyFont="1" applyFill="1" applyBorder="1" applyAlignment="1" applyProtection="1">
      <alignment horizontal="left" vertical="center" indent="1"/>
      <protection hidden="1"/>
    </xf>
    <xf numFmtId="0" fontId="31" fillId="47" borderId="44" xfId="0" applyFont="1" applyFill="1" applyBorder="1" applyAlignment="1" applyProtection="1">
      <alignment horizontal="left" vertical="top"/>
      <protection hidden="1"/>
    </xf>
    <xf numFmtId="0" fontId="31" fillId="47" borderId="44" xfId="0" applyFont="1" applyFill="1" applyBorder="1" applyAlignment="1" applyProtection="1">
      <alignment horizontal="left" vertical="center"/>
      <protection hidden="1"/>
    </xf>
    <xf numFmtId="0" fontId="0" fillId="47" borderId="43" xfId="0" applyFill="1" applyBorder="1" applyProtection="1">
      <protection hidden="1"/>
    </xf>
    <xf numFmtId="0" fontId="28" fillId="47" borderId="44" xfId="0" applyFont="1" applyFill="1" applyBorder="1" applyAlignment="1" applyProtection="1">
      <alignment horizontal="left" vertical="top" indent="3"/>
      <protection hidden="1"/>
    </xf>
    <xf numFmtId="0" fontId="31" fillId="47" borderId="44" xfId="0" applyFont="1" applyFill="1" applyBorder="1" applyAlignment="1" applyProtection="1">
      <alignment horizontal="center" vertical="center"/>
      <protection hidden="1"/>
    </xf>
    <xf numFmtId="0" fontId="187" fillId="47" borderId="44" xfId="0" applyFont="1" applyFill="1" applyBorder="1" applyProtection="1">
      <protection hidden="1"/>
    </xf>
    <xf numFmtId="0" fontId="187" fillId="47" borderId="44" xfId="0" applyFont="1" applyFill="1" applyBorder="1" applyAlignment="1" applyProtection="1">
      <alignment horizontal="left" vertical="top"/>
      <protection hidden="1"/>
    </xf>
    <xf numFmtId="0" fontId="187" fillId="47" borderId="44" xfId="0" applyFont="1" applyFill="1" applyBorder="1" applyAlignment="1" applyProtection="1">
      <alignment horizontal="left" vertical="center"/>
      <protection hidden="1"/>
    </xf>
    <xf numFmtId="0" fontId="187" fillId="47" borderId="44" xfId="0" applyFont="1" applyFill="1" applyBorder="1" applyAlignment="1" applyProtection="1">
      <alignment horizontal="center" vertical="center"/>
      <protection hidden="1"/>
    </xf>
    <xf numFmtId="0" fontId="187" fillId="47" borderId="44" xfId="0" applyFont="1" applyFill="1" applyBorder="1" applyAlignment="1" applyProtection="1">
      <alignment horizontal="left" indent="1"/>
      <protection hidden="1"/>
    </xf>
    <xf numFmtId="0" fontId="186" fillId="47" borderId="44" xfId="0" applyFont="1" applyFill="1" applyBorder="1" applyProtection="1">
      <protection hidden="1"/>
    </xf>
    <xf numFmtId="0" fontId="186" fillId="47" borderId="44" xfId="0" applyFont="1" applyFill="1" applyBorder="1" applyAlignment="1" applyProtection="1">
      <alignment horizontal="left" vertical="top" indent="3"/>
      <protection hidden="1"/>
    </xf>
    <xf numFmtId="0" fontId="186" fillId="47" borderId="43" xfId="0" applyFont="1" applyFill="1" applyBorder="1" applyAlignment="1" applyProtection="1">
      <alignment horizontal="left" vertical="top" indent="3"/>
      <protection hidden="1"/>
    </xf>
    <xf numFmtId="0" fontId="186" fillId="47" borderId="44" xfId="0" applyFont="1" applyFill="1" applyBorder="1" applyAlignment="1" applyProtection="1">
      <alignment horizontal="left" vertical="center" indent="1"/>
      <protection hidden="1"/>
    </xf>
    <xf numFmtId="0" fontId="186" fillId="47" borderId="43" xfId="0" applyFont="1" applyFill="1" applyBorder="1" applyAlignment="1" applyProtection="1">
      <alignment horizontal="left" vertical="center" indent="1"/>
      <protection hidden="1"/>
    </xf>
    <xf numFmtId="0" fontId="54" fillId="0" borderId="0" xfId="0" applyFont="1" applyAlignment="1" applyProtection="1">
      <alignment horizontal="right" vertical="center" indent="1"/>
      <protection hidden="1"/>
    </xf>
    <xf numFmtId="0" fontId="0" fillId="0" borderId="1" xfId="0" applyBorder="1" applyAlignment="1" applyProtection="1">
      <alignment horizontal="right" vertical="center" indent="1"/>
      <protection hidden="1"/>
    </xf>
    <xf numFmtId="0" fontId="0" fillId="0" borderId="59" xfId="0" applyBorder="1" applyAlignment="1" applyProtection="1">
      <alignment horizontal="left" vertical="center"/>
      <protection hidden="1"/>
    </xf>
    <xf numFmtId="168" fontId="4" fillId="0" borderId="107" xfId="0" applyNumberFormat="1" applyFont="1" applyBorder="1" applyAlignment="1">
      <alignment vertical="top"/>
    </xf>
    <xf numFmtId="167" fontId="4" fillId="0" borderId="4" xfId="0" applyNumberFormat="1" applyFont="1" applyBorder="1" applyAlignment="1">
      <alignment vertical="top"/>
    </xf>
    <xf numFmtId="167" fontId="0" fillId="0" borderId="2" xfId="0" applyNumberFormat="1" applyBorder="1"/>
    <xf numFmtId="0" fontId="5" fillId="49" borderId="0" xfId="0" applyFont="1" applyFill="1" applyProtection="1">
      <protection hidden="1"/>
    </xf>
    <xf numFmtId="0" fontId="1" fillId="49" borderId="0" xfId="0" applyFont="1" applyFill="1" applyAlignment="1" applyProtection="1">
      <alignment vertical="center"/>
      <protection hidden="1"/>
    </xf>
    <xf numFmtId="0" fontId="0" fillId="49" borderId="0" xfId="0" applyFill="1" applyProtection="1">
      <protection hidden="1"/>
    </xf>
    <xf numFmtId="0" fontId="21" fillId="49" borderId="0" xfId="0" applyFont="1" applyFill="1" applyAlignment="1" applyProtection="1">
      <alignment vertical="center"/>
      <protection hidden="1"/>
    </xf>
    <xf numFmtId="0" fontId="55" fillId="49" borderId="0" xfId="0" applyFont="1" applyFill="1" applyAlignment="1" applyProtection="1">
      <alignment horizontal="right" vertical="top"/>
      <protection hidden="1"/>
    </xf>
    <xf numFmtId="0" fontId="31" fillId="49" borderId="0" xfId="0" applyFont="1" applyFill="1" applyAlignment="1" applyProtection="1">
      <alignment horizontal="left" vertical="center"/>
      <protection hidden="1"/>
    </xf>
    <xf numFmtId="0" fontId="12" fillId="49" borderId="0" xfId="0" applyFont="1" applyFill="1" applyProtection="1">
      <protection hidden="1"/>
    </xf>
    <xf numFmtId="0" fontId="223" fillId="49" borderId="0" xfId="0" applyFont="1" applyFill="1" applyProtection="1">
      <protection hidden="1"/>
    </xf>
    <xf numFmtId="0" fontId="10" fillId="50" borderId="0" xfId="0" applyFont="1" applyFill="1" applyProtection="1">
      <protection hidden="1"/>
    </xf>
    <xf numFmtId="0" fontId="11" fillId="50" borderId="0" xfId="0" applyFont="1" applyFill="1" applyAlignment="1" applyProtection="1">
      <alignment vertical="center"/>
      <protection hidden="1"/>
    </xf>
    <xf numFmtId="0" fontId="10" fillId="50" borderId="0" xfId="0" applyFont="1" applyFill="1" applyAlignment="1" applyProtection="1">
      <alignment vertical="center"/>
      <protection hidden="1"/>
    </xf>
    <xf numFmtId="0" fontId="7" fillId="50" borderId="0" xfId="0" applyFont="1" applyFill="1" applyProtection="1">
      <protection hidden="1"/>
    </xf>
    <xf numFmtId="0" fontId="1" fillId="50" borderId="0" xfId="0" applyFont="1" applyFill="1" applyProtection="1">
      <protection hidden="1"/>
    </xf>
    <xf numFmtId="0" fontId="7" fillId="50" borderId="0" xfId="0" applyFont="1" applyFill="1" applyAlignment="1" applyProtection="1">
      <alignment vertical="center"/>
      <protection hidden="1"/>
    </xf>
    <xf numFmtId="0" fontId="1" fillId="50" borderId="0" xfId="0" applyFont="1" applyFill="1" applyAlignment="1" applyProtection="1">
      <alignment vertical="center"/>
      <protection hidden="1"/>
    </xf>
    <xf numFmtId="0" fontId="10" fillId="50" borderId="0" xfId="0" applyFont="1" applyFill="1" applyAlignment="1" applyProtection="1">
      <alignment vertical="top"/>
      <protection hidden="1"/>
    </xf>
    <xf numFmtId="0" fontId="10" fillId="50" borderId="0" xfId="0" applyFont="1" applyFill="1" applyAlignment="1" applyProtection="1">
      <alignment horizontal="right" vertical="top"/>
      <protection hidden="1"/>
    </xf>
    <xf numFmtId="0" fontId="0" fillId="50" borderId="0" xfId="0" applyFill="1" applyProtection="1">
      <protection hidden="1"/>
    </xf>
    <xf numFmtId="0" fontId="12" fillId="50" borderId="0" xfId="0" applyFont="1" applyFill="1" applyProtection="1">
      <protection hidden="1"/>
    </xf>
    <xf numFmtId="0" fontId="31" fillId="50" borderId="0" xfId="0" applyFont="1" applyFill="1" applyAlignment="1" applyProtection="1">
      <alignment horizontal="left" vertical="center"/>
      <protection hidden="1"/>
    </xf>
    <xf numFmtId="0" fontId="17" fillId="50" borderId="0" xfId="0" applyFont="1" applyFill="1" applyAlignment="1" applyProtection="1">
      <alignment horizontal="left"/>
      <protection hidden="1"/>
    </xf>
    <xf numFmtId="0" fontId="14" fillId="50" borderId="0" xfId="0" applyFont="1" applyFill="1" applyAlignment="1" applyProtection="1">
      <alignment horizontal="right" vertical="center"/>
      <protection hidden="1"/>
    </xf>
    <xf numFmtId="0" fontId="12" fillId="50" borderId="0" xfId="0" applyFont="1" applyFill="1" applyAlignment="1" applyProtection="1">
      <alignment vertical="center"/>
      <protection hidden="1"/>
    </xf>
    <xf numFmtId="0" fontId="17" fillId="50" borderId="0" xfId="0" applyFont="1" applyFill="1" applyAlignment="1" applyProtection="1">
      <alignment vertical="center"/>
      <protection hidden="1"/>
    </xf>
    <xf numFmtId="0" fontId="230" fillId="50" borderId="0" xfId="0" applyFont="1" applyFill="1" applyProtection="1">
      <protection hidden="1"/>
    </xf>
    <xf numFmtId="0" fontId="231" fillId="50" borderId="0" xfId="0" applyFont="1" applyFill="1" applyAlignment="1" applyProtection="1">
      <alignment vertical="top"/>
      <protection hidden="1"/>
    </xf>
    <xf numFmtId="0" fontId="184" fillId="50" borderId="0" xfId="0" applyFont="1" applyFill="1" applyAlignment="1" applyProtection="1">
      <alignment horizontal="right" vertical="center"/>
      <protection hidden="1"/>
    </xf>
    <xf numFmtId="0" fontId="230" fillId="50" borderId="0" xfId="0" applyFont="1" applyFill="1" applyAlignment="1" applyProtection="1">
      <alignment horizontal="right"/>
      <protection hidden="1"/>
    </xf>
    <xf numFmtId="170" fontId="0" fillId="0" borderId="8" xfId="0" applyNumberFormat="1" applyBorder="1" applyAlignment="1">
      <alignment horizontal="center" vertical="center"/>
    </xf>
    <xf numFmtId="0" fontId="96" fillId="0" borderId="48" xfId="0" applyFont="1" applyBorder="1" applyAlignment="1" applyProtection="1">
      <alignment horizontal="right" vertical="center" indent="1"/>
      <protection hidden="1"/>
    </xf>
    <xf numFmtId="0" fontId="61" fillId="0" borderId="8" xfId="0" applyFont="1" applyBorder="1" applyProtection="1">
      <protection hidden="1"/>
    </xf>
    <xf numFmtId="0" fontId="61" fillId="0" borderId="0" xfId="0" applyFont="1" applyAlignment="1" applyProtection="1">
      <alignment horizontal="right" indent="1"/>
      <protection hidden="1"/>
    </xf>
    <xf numFmtId="6" fontId="8" fillId="0" borderId="0" xfId="0" applyNumberFormat="1" applyFont="1" applyProtection="1">
      <protection hidden="1"/>
    </xf>
    <xf numFmtId="164" fontId="12" fillId="0" borderId="2" xfId="0" applyNumberFormat="1" applyFont="1" applyBorder="1" applyProtection="1">
      <protection hidden="1"/>
    </xf>
    <xf numFmtId="0" fontId="0" fillId="0" borderId="3" xfId="0" applyBorder="1" applyAlignment="1" applyProtection="1">
      <alignment horizontal="right" vertical="center" indent="1"/>
      <protection hidden="1"/>
    </xf>
    <xf numFmtId="0" fontId="0" fillId="0" borderId="2" xfId="0" applyBorder="1" applyAlignment="1" applyProtection="1">
      <alignment horizontal="right" vertical="center" indent="1"/>
      <protection hidden="1"/>
    </xf>
    <xf numFmtId="0" fontId="12" fillId="0" borderId="2" xfId="0" applyFont="1" applyBorder="1" applyAlignment="1" applyProtection="1">
      <alignment horizontal="right" vertical="center" indent="1"/>
      <protection hidden="1"/>
    </xf>
    <xf numFmtId="0" fontId="0" fillId="0" borderId="7" xfId="0" applyBorder="1" applyAlignment="1" applyProtection="1">
      <alignment horizontal="right" vertical="center" indent="1"/>
      <protection hidden="1"/>
    </xf>
    <xf numFmtId="0" fontId="0" fillId="0" borderId="0" xfId="0" applyAlignment="1" applyProtection="1">
      <alignment horizontal="right" vertical="center" indent="1"/>
      <protection hidden="1"/>
    </xf>
    <xf numFmtId="0" fontId="12" fillId="0" borderId="0" xfId="0" applyFont="1" applyAlignment="1" applyProtection="1">
      <alignment horizontal="right" vertical="center" indent="1"/>
      <protection hidden="1"/>
    </xf>
    <xf numFmtId="0" fontId="0" fillId="0" borderId="4" xfId="0" applyBorder="1" applyAlignment="1" applyProtection="1">
      <alignment horizontal="right" vertical="center" indent="1"/>
      <protection hidden="1"/>
    </xf>
    <xf numFmtId="0" fontId="0" fillId="0" borderId="8" xfId="0" applyBorder="1" applyAlignment="1" applyProtection="1">
      <alignment horizontal="right" vertical="center" indent="1"/>
      <protection hidden="1"/>
    </xf>
    <xf numFmtId="164" fontId="4" fillId="0" borderId="63" xfId="0" applyNumberFormat="1" applyFont="1" applyBorder="1" applyAlignment="1" applyProtection="1">
      <alignment horizontal="right" vertical="center"/>
      <protection hidden="1"/>
    </xf>
    <xf numFmtId="164" fontId="4" fillId="0" borderId="79" xfId="0" applyNumberFormat="1" applyFont="1" applyBorder="1" applyAlignment="1" applyProtection="1">
      <alignment horizontal="right" vertical="center"/>
      <protection hidden="1"/>
    </xf>
    <xf numFmtId="164" fontId="15" fillId="0" borderId="79" xfId="0" applyNumberFormat="1" applyFont="1" applyBorder="1" applyAlignment="1" applyProtection="1">
      <alignment horizontal="right" vertical="center"/>
      <protection hidden="1"/>
    </xf>
    <xf numFmtId="164" fontId="44" fillId="0" borderId="54" xfId="0" applyNumberFormat="1" applyFont="1" applyBorder="1" applyAlignment="1" applyProtection="1">
      <alignment horizontal="right" vertical="center"/>
      <protection hidden="1"/>
    </xf>
    <xf numFmtId="1" fontId="44" fillId="0" borderId="6" xfId="0" applyNumberFormat="1" applyFont="1" applyBorder="1" applyAlignment="1" applyProtection="1">
      <alignment horizontal="right" vertical="center" indent="1"/>
      <protection hidden="1"/>
    </xf>
    <xf numFmtId="1" fontId="44" fillId="0" borderId="63" xfId="0" applyNumberFormat="1" applyFont="1" applyBorder="1" applyAlignment="1" applyProtection="1">
      <alignment horizontal="right" vertical="center" indent="1"/>
      <protection hidden="1"/>
    </xf>
    <xf numFmtId="1" fontId="44" fillId="0" borderId="79" xfId="0" applyNumberFormat="1" applyFont="1" applyBorder="1" applyAlignment="1" applyProtection="1">
      <alignment horizontal="right" vertical="center" indent="1"/>
      <protection hidden="1"/>
    </xf>
    <xf numFmtId="0" fontId="75" fillId="0" borderId="58" xfId="0" applyFont="1" applyBorder="1" applyAlignment="1" applyProtection="1">
      <alignment horizontal="right" vertical="center"/>
      <protection hidden="1"/>
    </xf>
    <xf numFmtId="0" fontId="75" fillId="0" borderId="48" xfId="0" applyFont="1" applyBorder="1" applyAlignment="1" applyProtection="1">
      <alignment horizontal="right" vertical="center"/>
      <protection hidden="1"/>
    </xf>
    <xf numFmtId="0" fontId="75" fillId="0" borderId="1" xfId="0" applyFont="1" applyBorder="1" applyAlignment="1" applyProtection="1">
      <alignment horizontal="right" vertical="center"/>
      <protection hidden="1"/>
    </xf>
    <xf numFmtId="0" fontId="75" fillId="0" borderId="0" xfId="0" applyFont="1" applyAlignment="1" applyProtection="1">
      <alignment horizontal="right" vertical="center"/>
      <protection hidden="1"/>
    </xf>
    <xf numFmtId="0" fontId="75" fillId="0" borderId="8" xfId="0" applyFont="1" applyBorder="1" applyAlignment="1" applyProtection="1">
      <alignment horizontal="right"/>
      <protection hidden="1"/>
    </xf>
    <xf numFmtId="0" fontId="75" fillId="0" borderId="2" xfId="0" applyFont="1" applyBorder="1" applyAlignment="1" applyProtection="1">
      <alignment horizontal="right" vertical="center"/>
      <protection hidden="1"/>
    </xf>
    <xf numFmtId="0" fontId="75" fillId="0" borderId="8" xfId="0" applyFont="1" applyBorder="1" applyAlignment="1" applyProtection="1">
      <alignment horizontal="right" vertical="center"/>
      <protection hidden="1"/>
    </xf>
    <xf numFmtId="0" fontId="75" fillId="0" borderId="3" xfId="0" applyFont="1" applyBorder="1" applyAlignment="1" applyProtection="1">
      <alignment horizontal="right" vertical="center"/>
      <protection hidden="1"/>
    </xf>
    <xf numFmtId="0" fontId="118" fillId="0" borderId="6" xfId="0" applyFont="1" applyBorder="1" applyAlignment="1" applyProtection="1">
      <alignment horizontal="right" vertical="center"/>
      <protection hidden="1"/>
    </xf>
    <xf numFmtId="0" fontId="5" fillId="0" borderId="8" xfId="0" applyFont="1" applyBorder="1" applyAlignment="1">
      <alignment horizontal="right"/>
    </xf>
    <xf numFmtId="0" fontId="206" fillId="0" borderId="8" xfId="0" applyFont="1" applyBorder="1" applyAlignment="1" applyProtection="1">
      <alignment horizontal="right" vertical="center"/>
      <protection hidden="1"/>
    </xf>
    <xf numFmtId="0" fontId="0" fillId="0" borderId="8" xfId="0" applyBorder="1" applyAlignment="1">
      <alignment horizontal="center"/>
    </xf>
    <xf numFmtId="164" fontId="4" fillId="0" borderId="4" xfId="0" applyNumberFormat="1" applyFont="1" applyBorder="1"/>
    <xf numFmtId="164" fontId="4" fillId="0" borderId="5" xfId="0" applyNumberFormat="1" applyFont="1" applyBorder="1"/>
    <xf numFmtId="164" fontId="4" fillId="0" borderId="0" xfId="0" applyNumberFormat="1" applyFont="1" applyAlignment="1">
      <alignment vertical="center"/>
    </xf>
    <xf numFmtId="0" fontId="0" fillId="0" borderId="8" xfId="0" applyBorder="1" applyAlignment="1">
      <alignment vertical="center"/>
    </xf>
    <xf numFmtId="164" fontId="4" fillId="0" borderId="8" xfId="0" applyNumberFormat="1" applyFont="1" applyBorder="1" applyAlignment="1">
      <alignment vertical="center"/>
    </xf>
    <xf numFmtId="0" fontId="4" fillId="0" borderId="0" xfId="0" applyFont="1" applyAlignment="1">
      <alignment horizontal="center"/>
    </xf>
    <xf numFmtId="164" fontId="75" fillId="0" borderId="0" xfId="0" applyNumberFormat="1" applyFont="1" applyAlignment="1">
      <alignment horizontal="center"/>
    </xf>
    <xf numFmtId="0" fontId="75" fillId="0" borderId="0" xfId="0" applyFont="1" applyAlignment="1">
      <alignment horizontal="center"/>
    </xf>
    <xf numFmtId="0" fontId="0" fillId="0" borderId="8" xfId="0" applyBorder="1" applyAlignment="1">
      <alignment horizontal="right" vertical="center" indent="1"/>
    </xf>
    <xf numFmtId="0" fontId="44" fillId="0" borderId="8" xfId="0" applyFont="1" applyBorder="1"/>
    <xf numFmtId="0" fontId="206" fillId="0" borderId="8" xfId="0" applyFont="1" applyBorder="1" applyProtection="1">
      <protection hidden="1"/>
    </xf>
    <xf numFmtId="0" fontId="44" fillId="0" borderId="8" xfId="0" applyFont="1" applyBorder="1" applyProtection="1">
      <protection hidden="1"/>
    </xf>
    <xf numFmtId="0" fontId="44" fillId="0" borderId="0" xfId="0" applyFont="1"/>
    <xf numFmtId="0" fontId="6" fillId="0" borderId="0" xfId="0" applyFont="1"/>
    <xf numFmtId="0" fontId="0" fillId="0" borderId="2" xfId="0" applyBorder="1" applyAlignment="1" applyProtection="1">
      <alignment horizontal="center" vertical="center"/>
      <protection hidden="1"/>
    </xf>
    <xf numFmtId="0" fontId="61" fillId="0" borderId="2" xfId="0" applyFont="1" applyBorder="1" applyProtection="1">
      <protection hidden="1"/>
    </xf>
    <xf numFmtId="0" fontId="206" fillId="0" borderId="2" xfId="0" applyFont="1" applyBorder="1" applyAlignment="1" applyProtection="1">
      <alignment horizontal="right" vertical="center"/>
      <protection hidden="1"/>
    </xf>
    <xf numFmtId="0" fontId="6" fillId="0" borderId="0" xfId="0" applyFont="1" applyAlignment="1" applyProtection="1">
      <alignment horizontal="right" indent="1"/>
      <protection hidden="1"/>
    </xf>
    <xf numFmtId="165" fontId="6" fillId="0" borderId="0" xfId="0" applyNumberFormat="1" applyFont="1" applyProtection="1">
      <protection hidden="1"/>
    </xf>
    <xf numFmtId="165" fontId="6" fillId="0" borderId="6" xfId="0" applyNumberFormat="1" applyFont="1" applyBorder="1" applyProtection="1">
      <protection hidden="1"/>
    </xf>
    <xf numFmtId="165" fontId="6" fillId="0" borderId="79" xfId="0" applyNumberFormat="1" applyFont="1" applyBorder="1" applyProtection="1">
      <protection hidden="1"/>
    </xf>
    <xf numFmtId="0" fontId="75" fillId="0" borderId="8" xfId="0" applyFont="1" applyBorder="1" applyAlignment="1">
      <alignment horizontal="right"/>
    </xf>
    <xf numFmtId="0" fontId="75" fillId="0" borderId="8" xfId="0" applyFont="1" applyBorder="1" applyAlignment="1">
      <alignment horizontal="right" vertical="center"/>
    </xf>
    <xf numFmtId="0" fontId="8" fillId="0" borderId="0" xfId="0" applyFont="1"/>
    <xf numFmtId="0" fontId="8" fillId="0" borderId="0" xfId="0" applyFont="1" applyAlignment="1">
      <alignment vertical="top"/>
    </xf>
    <xf numFmtId="0" fontId="4" fillId="0" borderId="6" xfId="0" applyFont="1" applyBorder="1"/>
    <xf numFmtId="0" fontId="4" fillId="0" borderId="79" xfId="0" applyFont="1" applyBorder="1"/>
    <xf numFmtId="0" fontId="87" fillId="27" borderId="27" xfId="0" applyFont="1" applyFill="1" applyBorder="1" applyAlignment="1" applyProtection="1">
      <alignment horizontal="left" indent="1"/>
      <protection hidden="1"/>
    </xf>
    <xf numFmtId="0" fontId="74" fillId="27" borderId="27" xfId="0" applyFont="1" applyFill="1" applyBorder="1" applyProtection="1">
      <protection hidden="1"/>
    </xf>
    <xf numFmtId="0" fontId="12" fillId="4" borderId="25" xfId="0" applyFont="1" applyFill="1" applyBorder="1" applyAlignment="1" applyProtection="1">
      <alignment vertical="center"/>
      <protection hidden="1"/>
    </xf>
    <xf numFmtId="0" fontId="12" fillId="4" borderId="20" xfId="0" applyFont="1" applyFill="1" applyBorder="1" applyAlignment="1" applyProtection="1">
      <alignment vertical="center"/>
      <protection hidden="1"/>
    </xf>
    <xf numFmtId="0" fontId="12" fillId="4" borderId="341" xfId="0" applyFont="1" applyFill="1" applyBorder="1" applyProtection="1">
      <protection hidden="1"/>
    </xf>
    <xf numFmtId="0" fontId="12" fillId="4" borderId="342" xfId="0" applyFont="1" applyFill="1" applyBorder="1" applyProtection="1">
      <protection hidden="1"/>
    </xf>
    <xf numFmtId="0" fontId="0" fillId="4" borderId="0" xfId="0" applyFill="1" applyAlignment="1">
      <alignment horizontal="left" indent="1"/>
    </xf>
    <xf numFmtId="0" fontId="3" fillId="48" borderId="49" xfId="0" applyFont="1" applyFill="1" applyBorder="1" applyAlignment="1" applyProtection="1">
      <alignment vertical="center" wrapText="1"/>
      <protection hidden="1"/>
    </xf>
    <xf numFmtId="0" fontId="38" fillId="48" borderId="50" xfId="0" applyFont="1" applyFill="1" applyBorder="1" applyAlignment="1" applyProtection="1">
      <alignment horizontal="left" vertical="top" wrapText="1"/>
      <protection hidden="1"/>
    </xf>
    <xf numFmtId="0" fontId="3" fillId="48" borderId="50" xfId="0" applyFont="1" applyFill="1" applyBorder="1" applyAlignment="1" applyProtection="1">
      <alignment vertical="center" wrapText="1"/>
      <protection hidden="1"/>
    </xf>
    <xf numFmtId="0" fontId="3" fillId="48" borderId="51" xfId="0" applyFont="1" applyFill="1" applyBorder="1" applyAlignment="1" applyProtection="1">
      <alignment vertical="center" wrapText="1"/>
      <protection hidden="1"/>
    </xf>
    <xf numFmtId="0" fontId="170" fillId="48" borderId="52" xfId="0" applyFont="1" applyFill="1" applyBorder="1" applyAlignment="1" applyProtection="1">
      <alignment horizontal="left" vertical="center" indent="2"/>
      <protection hidden="1"/>
    </xf>
    <xf numFmtId="0" fontId="38" fillId="48" borderId="0" xfId="0" applyFont="1" applyFill="1" applyAlignment="1" applyProtection="1">
      <alignment horizontal="left" vertical="top" wrapText="1"/>
      <protection hidden="1"/>
    </xf>
    <xf numFmtId="0" fontId="3" fillId="48" borderId="0" xfId="0" applyFont="1" applyFill="1" applyAlignment="1" applyProtection="1">
      <alignment vertical="center" wrapText="1"/>
      <protection hidden="1"/>
    </xf>
    <xf numFmtId="0" fontId="3" fillId="48" borderId="53" xfId="0" applyFont="1" applyFill="1" applyBorder="1" applyAlignment="1" applyProtection="1">
      <alignment vertical="center" wrapText="1"/>
      <protection hidden="1"/>
    </xf>
    <xf numFmtId="0" fontId="35" fillId="48" borderId="52" xfId="0" applyFont="1" applyFill="1" applyBorder="1" applyAlignment="1" applyProtection="1">
      <alignment horizontal="left" vertical="center" indent="1"/>
      <protection hidden="1"/>
    </xf>
    <xf numFmtId="0" fontId="0" fillId="48" borderId="0" xfId="0" applyFill="1" applyAlignment="1" applyProtection="1">
      <alignment horizontal="right" vertical="top" indent="1"/>
      <protection hidden="1"/>
    </xf>
    <xf numFmtId="0" fontId="76" fillId="48" borderId="0" xfId="0" applyFont="1" applyFill="1" applyAlignment="1" applyProtection="1">
      <alignment horizontal="left"/>
      <protection hidden="1"/>
    </xf>
    <xf numFmtId="0" fontId="171" fillId="48" borderId="0" xfId="0" applyFont="1" applyFill="1" applyAlignment="1" applyProtection="1">
      <alignment horizontal="left" vertical="top"/>
      <protection hidden="1"/>
    </xf>
    <xf numFmtId="0" fontId="127" fillId="48" borderId="0" xfId="0" applyFont="1" applyFill="1" applyAlignment="1" applyProtection="1">
      <alignment horizontal="left" vertical="top"/>
      <protection hidden="1"/>
    </xf>
    <xf numFmtId="0" fontId="120" fillId="48" borderId="0" xfId="0" applyFont="1" applyFill="1" applyAlignment="1" applyProtection="1">
      <alignment horizontal="center" vertical="top"/>
      <protection hidden="1"/>
    </xf>
    <xf numFmtId="0" fontId="5" fillId="48" borderId="0" xfId="0" applyFont="1" applyFill="1" applyAlignment="1" applyProtection="1">
      <alignment horizontal="center" vertical="top"/>
      <protection hidden="1"/>
    </xf>
    <xf numFmtId="0" fontId="3" fillId="48" borderId="52" xfId="0" applyFont="1" applyFill="1" applyBorder="1" applyAlignment="1" applyProtection="1">
      <alignment vertical="center" wrapText="1"/>
      <protection hidden="1"/>
    </xf>
    <xf numFmtId="0" fontId="3" fillId="48" borderId="55" xfId="0" applyFont="1" applyFill="1" applyBorder="1" applyAlignment="1" applyProtection="1">
      <alignment vertical="center" wrapText="1"/>
      <protection hidden="1"/>
    </xf>
    <xf numFmtId="0" fontId="38" fillId="48" borderId="56" xfId="0" applyFont="1" applyFill="1" applyBorder="1" applyAlignment="1" applyProtection="1">
      <alignment horizontal="left" vertical="top" wrapText="1" indent="5"/>
      <protection hidden="1"/>
    </xf>
    <xf numFmtId="0" fontId="9" fillId="48" borderId="56" xfId="0" applyFont="1" applyFill="1" applyBorder="1" applyAlignment="1" applyProtection="1">
      <alignment vertical="top" wrapText="1"/>
      <protection hidden="1"/>
    </xf>
    <xf numFmtId="0" fontId="0" fillId="48" borderId="56" xfId="0" applyFill="1" applyBorder="1" applyProtection="1">
      <protection hidden="1"/>
    </xf>
    <xf numFmtId="0" fontId="38" fillId="48" borderId="56" xfId="0" applyFont="1" applyFill="1" applyBorder="1" applyAlignment="1" applyProtection="1">
      <alignment horizontal="left" vertical="top" wrapText="1"/>
      <protection hidden="1"/>
    </xf>
    <xf numFmtId="0" fontId="3" fillId="48" borderId="56" xfId="0" applyFont="1" applyFill="1" applyBorder="1" applyAlignment="1" applyProtection="1">
      <alignment vertical="center" wrapText="1"/>
      <protection hidden="1"/>
    </xf>
    <xf numFmtId="0" fontId="3" fillId="48" borderId="57" xfId="0" applyFont="1" applyFill="1" applyBorder="1" applyAlignment="1" applyProtection="1">
      <alignment vertical="center" wrapText="1"/>
      <protection hidden="1"/>
    </xf>
    <xf numFmtId="0" fontId="73" fillId="45" borderId="0" xfId="0" applyFont="1" applyFill="1" applyAlignment="1" applyProtection="1">
      <alignment horizontal="left" vertical="center" indent="1"/>
      <protection hidden="1"/>
    </xf>
    <xf numFmtId="0" fontId="7" fillId="45" borderId="0" xfId="0" applyFont="1" applyFill="1" applyAlignment="1" applyProtection="1">
      <alignment vertical="center"/>
      <protection hidden="1"/>
    </xf>
    <xf numFmtId="0" fontId="1" fillId="45" borderId="0" xfId="0" applyFont="1" applyFill="1" applyProtection="1">
      <protection hidden="1"/>
    </xf>
    <xf numFmtId="0" fontId="2" fillId="46" borderId="0" xfId="0" applyFont="1" applyFill="1" applyAlignment="1" applyProtection="1">
      <alignment horizontal="left" vertical="center"/>
      <protection hidden="1"/>
    </xf>
    <xf numFmtId="0" fontId="35" fillId="48" borderId="49" xfId="0" applyFont="1" applyFill="1" applyBorder="1" applyAlignment="1" applyProtection="1">
      <alignment horizontal="left" vertical="center"/>
      <protection hidden="1"/>
    </xf>
    <xf numFmtId="0" fontId="36" fillId="48" borderId="50" xfId="0" applyFont="1" applyFill="1" applyBorder="1" applyAlignment="1" applyProtection="1">
      <alignment horizontal="left"/>
      <protection hidden="1"/>
    </xf>
    <xf numFmtId="0" fontId="35" fillId="48" borderId="50" xfId="0" applyFont="1" applyFill="1" applyBorder="1" applyAlignment="1" applyProtection="1">
      <alignment horizontal="left" vertical="center"/>
      <protection hidden="1"/>
    </xf>
    <xf numFmtId="0" fontId="35" fillId="48" borderId="50" xfId="0" applyFont="1" applyFill="1" applyBorder="1" applyAlignment="1" applyProtection="1">
      <alignment vertical="center"/>
      <protection hidden="1"/>
    </xf>
    <xf numFmtId="0" fontId="35" fillId="48" borderId="51" xfId="0" applyFont="1" applyFill="1" applyBorder="1" applyAlignment="1" applyProtection="1">
      <alignment vertical="center"/>
      <protection hidden="1"/>
    </xf>
    <xf numFmtId="0" fontId="35" fillId="48" borderId="52" xfId="0" applyFont="1" applyFill="1" applyBorder="1" applyAlignment="1" applyProtection="1">
      <alignment horizontal="left" vertical="center"/>
      <protection hidden="1"/>
    </xf>
    <xf numFmtId="0" fontId="36" fillId="48" borderId="0" xfId="0" applyFont="1" applyFill="1" applyAlignment="1" applyProtection="1">
      <alignment horizontal="left" vertical="center"/>
      <protection hidden="1"/>
    </xf>
    <xf numFmtId="0" fontId="35" fillId="48" borderId="0" xfId="0" applyFont="1" applyFill="1" applyAlignment="1" applyProtection="1">
      <alignment horizontal="left" vertical="center"/>
      <protection hidden="1"/>
    </xf>
    <xf numFmtId="0" fontId="35" fillId="48" borderId="0" xfId="0" applyFont="1" applyFill="1" applyAlignment="1" applyProtection="1">
      <alignment vertical="center"/>
      <protection hidden="1"/>
    </xf>
    <xf numFmtId="0" fontId="35" fillId="48" borderId="53" xfId="0" applyFont="1" applyFill="1" applyBorder="1" applyAlignment="1" applyProtection="1">
      <alignment vertical="center"/>
      <protection hidden="1"/>
    </xf>
    <xf numFmtId="0" fontId="44" fillId="48" borderId="0" xfId="0" applyFont="1" applyFill="1" applyAlignment="1" applyProtection="1">
      <alignment vertical="center"/>
      <protection hidden="1"/>
    </xf>
    <xf numFmtId="0" fontId="3" fillId="48" borderId="0" xfId="0" applyFont="1" applyFill="1" applyAlignment="1" applyProtection="1">
      <alignment vertical="center"/>
      <protection hidden="1"/>
    </xf>
    <xf numFmtId="0" fontId="38" fillId="48" borderId="0" xfId="0" applyFont="1" applyFill="1" applyAlignment="1" applyProtection="1">
      <alignment horizontal="left" vertical="center" indent="6"/>
      <protection hidden="1"/>
    </xf>
    <xf numFmtId="0" fontId="38" fillId="48" borderId="0" xfId="0" applyFont="1" applyFill="1" applyAlignment="1" applyProtection="1">
      <alignment horizontal="left" vertical="center" indent="8"/>
      <protection hidden="1"/>
    </xf>
    <xf numFmtId="0" fontId="38" fillId="48" borderId="0" xfId="0" applyFont="1" applyFill="1" applyAlignment="1" applyProtection="1">
      <alignment vertical="center"/>
      <protection hidden="1"/>
    </xf>
    <xf numFmtId="0" fontId="113" fillId="48" borderId="52" xfId="0" applyFont="1" applyFill="1" applyBorder="1" applyAlignment="1" applyProtection="1">
      <alignment horizontal="center" vertical="top" wrapText="1"/>
      <protection hidden="1"/>
    </xf>
    <xf numFmtId="0" fontId="38" fillId="48" borderId="56" xfId="0" applyFont="1" applyFill="1" applyBorder="1" applyAlignment="1" applyProtection="1">
      <alignment vertical="center"/>
      <protection hidden="1"/>
    </xf>
    <xf numFmtId="0" fontId="3" fillId="48" borderId="56" xfId="0" applyFont="1" applyFill="1" applyBorder="1" applyAlignment="1" applyProtection="1">
      <alignment vertical="center"/>
      <protection hidden="1"/>
    </xf>
    <xf numFmtId="0" fontId="0" fillId="48" borderId="0" xfId="0" applyFill="1" applyAlignment="1" applyProtection="1">
      <alignment vertical="center"/>
      <protection hidden="1"/>
    </xf>
    <xf numFmtId="0" fontId="3" fillId="48" borderId="0" xfId="0" applyFont="1" applyFill="1" applyAlignment="1" applyProtection="1">
      <alignment horizontal="right" wrapText="1" indent="1"/>
      <protection hidden="1"/>
    </xf>
    <xf numFmtId="0" fontId="6" fillId="48" borderId="0" xfId="1" applyFont="1" applyFill="1" applyBorder="1" applyAlignment="1" applyProtection="1">
      <alignment horizontal="center" vertical="center"/>
      <protection hidden="1"/>
    </xf>
    <xf numFmtId="0" fontId="63" fillId="48" borderId="0" xfId="0" applyFont="1" applyFill="1" applyAlignment="1" applyProtection="1">
      <alignment horizontal="left" indent="1"/>
      <protection hidden="1"/>
    </xf>
    <xf numFmtId="0" fontId="44" fillId="48" borderId="0" xfId="0" applyFont="1" applyFill="1" applyAlignment="1" applyProtection="1">
      <alignment horizontal="left" vertical="center" indent="2"/>
      <protection hidden="1"/>
    </xf>
    <xf numFmtId="0" fontId="3" fillId="48" borderId="56" xfId="0" applyFont="1" applyFill="1" applyBorder="1" applyAlignment="1" applyProtection="1">
      <alignment horizontal="center" vertical="center" wrapText="1"/>
      <protection hidden="1"/>
    </xf>
    <xf numFmtId="0" fontId="3" fillId="48" borderId="52" xfId="0" applyFont="1" applyFill="1" applyBorder="1" applyAlignment="1" applyProtection="1">
      <alignment vertical="center" wrapText="1"/>
      <protection locked="0"/>
    </xf>
    <xf numFmtId="0" fontId="113" fillId="48" borderId="52" xfId="0" applyFont="1" applyFill="1" applyBorder="1" applyAlignment="1" applyProtection="1">
      <alignment horizontal="center" vertical="center" wrapText="1"/>
      <protection hidden="1"/>
    </xf>
    <xf numFmtId="0" fontId="38" fillId="48" borderId="0" xfId="0" applyFont="1" applyFill="1" applyAlignment="1" applyProtection="1">
      <alignment horizontal="left" indent="6"/>
      <protection hidden="1"/>
    </xf>
    <xf numFmtId="0" fontId="0" fillId="48" borderId="52" xfId="0" applyFill="1" applyBorder="1" applyAlignment="1" applyProtection="1">
      <alignment horizontal="left" indent="1"/>
      <protection hidden="1"/>
    </xf>
    <xf numFmtId="0" fontId="5" fillId="48" borderId="0" xfId="0" applyFont="1" applyFill="1" applyAlignment="1" applyProtection="1">
      <alignment horizontal="right" vertical="center" indent="1"/>
      <protection hidden="1"/>
    </xf>
    <xf numFmtId="0" fontId="0" fillId="48" borderId="0" xfId="0" applyFill="1" applyAlignment="1" applyProtection="1">
      <alignment horizontal="left" indent="1"/>
      <protection hidden="1"/>
    </xf>
    <xf numFmtId="0" fontId="0" fillId="48" borderId="53" xfId="0" applyFill="1" applyBorder="1" applyProtection="1">
      <protection hidden="1"/>
    </xf>
    <xf numFmtId="0" fontId="64" fillId="48" borderId="0" xfId="0" applyFont="1" applyFill="1" applyAlignment="1" applyProtection="1">
      <alignment vertical="center" wrapText="1"/>
      <protection hidden="1"/>
    </xf>
    <xf numFmtId="0" fontId="0" fillId="48" borderId="0" xfId="0" applyFill="1" applyAlignment="1" applyProtection="1">
      <alignment horizontal="left" vertical="center" indent="2"/>
      <protection hidden="1"/>
    </xf>
    <xf numFmtId="0" fontId="5" fillId="48" borderId="0" xfId="0" applyFont="1" applyFill="1" applyAlignment="1" applyProtection="1">
      <alignment horizontal="right" wrapText="1" indent="1"/>
      <protection hidden="1"/>
    </xf>
    <xf numFmtId="0" fontId="63" fillId="48" borderId="0" xfId="0" applyFont="1" applyFill="1" applyAlignment="1" applyProtection="1">
      <alignment horizontal="left" wrapText="1" indent="2"/>
      <protection hidden="1"/>
    </xf>
    <xf numFmtId="0" fontId="42" fillId="48" borderId="52" xfId="0" applyFont="1" applyFill="1" applyBorder="1" applyAlignment="1" applyProtection="1">
      <alignment horizontal="center" vertical="center"/>
      <protection hidden="1"/>
    </xf>
    <xf numFmtId="0" fontId="189" fillId="48" borderId="0" xfId="0" applyFont="1" applyFill="1" applyAlignment="1" applyProtection="1">
      <alignment vertical="center" wrapText="1"/>
      <protection hidden="1"/>
    </xf>
    <xf numFmtId="0" fontId="1" fillId="48" borderId="0" xfId="0" applyFont="1" applyFill="1" applyAlignment="1" applyProtection="1">
      <alignment horizontal="right" vertical="center" wrapText="1"/>
      <protection hidden="1"/>
    </xf>
    <xf numFmtId="0" fontId="35" fillId="48" borderId="53" xfId="0" applyFont="1" applyFill="1" applyBorder="1" applyAlignment="1" applyProtection="1">
      <alignment horizontal="left" vertical="center" wrapText="1"/>
      <protection hidden="1"/>
    </xf>
    <xf numFmtId="0" fontId="35" fillId="48" borderId="52" xfId="0" applyFont="1" applyFill="1" applyBorder="1" applyAlignment="1" applyProtection="1">
      <alignment horizontal="center" vertical="center"/>
      <protection hidden="1"/>
    </xf>
    <xf numFmtId="0" fontId="0" fillId="48" borderId="0" xfId="0" applyFill="1" applyAlignment="1" applyProtection="1">
      <alignment horizontal="left" vertical="top" indent="1"/>
      <protection hidden="1"/>
    </xf>
    <xf numFmtId="0" fontId="38" fillId="48" borderId="0" xfId="0" applyFont="1" applyFill="1" applyAlignment="1" applyProtection="1">
      <alignment horizontal="left" indent="4"/>
      <protection hidden="1"/>
    </xf>
    <xf numFmtId="0" fontId="3" fillId="48" borderId="0" xfId="0" applyFont="1" applyFill="1" applyAlignment="1" applyProtection="1">
      <alignment horizontal="center" vertical="center" wrapText="1"/>
      <protection hidden="1"/>
    </xf>
    <xf numFmtId="0" fontId="106" fillId="48" borderId="52" xfId="0" applyFont="1" applyFill="1" applyBorder="1" applyAlignment="1" applyProtection="1">
      <alignment horizontal="left" vertical="center" wrapText="1"/>
      <protection hidden="1"/>
    </xf>
    <xf numFmtId="0" fontId="3" fillId="48" borderId="2" xfId="0" applyFont="1" applyFill="1" applyBorder="1" applyAlignment="1" applyProtection="1">
      <alignment vertical="center" wrapText="1"/>
      <protection hidden="1"/>
    </xf>
    <xf numFmtId="0" fontId="45" fillId="48" borderId="0" xfId="0" applyFont="1" applyFill="1" applyProtection="1">
      <protection hidden="1"/>
    </xf>
    <xf numFmtId="0" fontId="0" fillId="48" borderId="0" xfId="0" applyFill="1" applyAlignment="1" applyProtection="1">
      <alignment horizontal="left" indent="4"/>
      <protection hidden="1"/>
    </xf>
    <xf numFmtId="0" fontId="0" fillId="48" borderId="0" xfId="0" applyFill="1" applyAlignment="1" applyProtection="1">
      <alignment vertical="top"/>
      <protection hidden="1"/>
    </xf>
    <xf numFmtId="0" fontId="38" fillId="48" borderId="0" xfId="0" applyFont="1" applyFill="1" applyAlignment="1" applyProtection="1">
      <alignment horizontal="left" vertical="top" indent="7"/>
      <protection hidden="1"/>
    </xf>
    <xf numFmtId="0" fontId="38" fillId="48" borderId="0" xfId="0" applyFont="1" applyFill="1" applyAlignment="1" applyProtection="1">
      <alignment horizontal="left" vertical="top" indent="6"/>
      <protection hidden="1"/>
    </xf>
    <xf numFmtId="0" fontId="0" fillId="48" borderId="0" xfId="0" applyFill="1" applyAlignment="1" applyProtection="1">
      <alignment horizontal="right" indent="1"/>
      <protection hidden="1"/>
    </xf>
    <xf numFmtId="0" fontId="94" fillId="48" borderId="0" xfId="0" applyFont="1" applyFill="1" applyAlignment="1" applyProtection="1">
      <alignment horizontal="center" vertical="center"/>
      <protection hidden="1"/>
    </xf>
    <xf numFmtId="0" fontId="91" fillId="48" borderId="0" xfId="0" applyFont="1" applyFill="1" applyAlignment="1" applyProtection="1">
      <alignment vertical="center"/>
      <protection hidden="1"/>
    </xf>
    <xf numFmtId="0" fontId="92" fillId="48" borderId="0" xfId="0" applyFont="1" applyFill="1" applyAlignment="1" applyProtection="1">
      <alignment vertical="center"/>
      <protection hidden="1"/>
    </xf>
    <xf numFmtId="0" fontId="44" fillId="48" borderId="0" xfId="0" applyFont="1" applyFill="1" applyAlignment="1" applyProtection="1">
      <alignment horizontal="left" vertical="center" indent="6"/>
      <protection hidden="1"/>
    </xf>
    <xf numFmtId="0" fontId="0" fillId="48" borderId="0" xfId="0" applyFill="1" applyAlignment="1" applyProtection="1">
      <alignment horizontal="left" vertical="center" indent="1"/>
      <protection hidden="1"/>
    </xf>
    <xf numFmtId="0" fontId="0" fillId="48" borderId="0" xfId="0" applyFill="1" applyAlignment="1" applyProtection="1">
      <alignment horizontal="left" vertical="center" wrapText="1" indent="1"/>
      <protection hidden="1"/>
    </xf>
    <xf numFmtId="0" fontId="38" fillId="48" borderId="0" xfId="0" applyFont="1" applyFill="1" applyAlignment="1" applyProtection="1">
      <alignment horizontal="left" vertical="top" indent="9"/>
      <protection hidden="1"/>
    </xf>
    <xf numFmtId="0" fontId="9" fillId="48" borderId="0" xfId="0" applyFont="1" applyFill="1" applyAlignment="1" applyProtection="1">
      <alignment horizontal="left" indent="6"/>
      <protection hidden="1"/>
    </xf>
    <xf numFmtId="0" fontId="0" fillId="48" borderId="57" xfId="0" applyFill="1" applyBorder="1" applyProtection="1">
      <protection hidden="1"/>
    </xf>
    <xf numFmtId="0" fontId="0" fillId="48" borderId="55" xfId="0" applyFill="1" applyBorder="1" applyProtection="1">
      <protection hidden="1"/>
    </xf>
    <xf numFmtId="0" fontId="67" fillId="48" borderId="53" xfId="0" applyFont="1" applyFill="1" applyBorder="1" applyAlignment="1" applyProtection="1">
      <alignment horizontal="left" vertical="center" wrapText="1"/>
      <protection hidden="1"/>
    </xf>
    <xf numFmtId="0" fontId="35" fillId="48" borderId="52" xfId="0" applyFont="1" applyFill="1" applyBorder="1" applyAlignment="1" applyProtection="1">
      <alignment horizontal="left" vertical="center" indent="2"/>
      <protection hidden="1"/>
    </xf>
    <xf numFmtId="0" fontId="35" fillId="48" borderId="0" xfId="0" applyFont="1" applyFill="1" applyAlignment="1" applyProtection="1">
      <alignment horizontal="left" vertical="center" indent="1"/>
      <protection hidden="1"/>
    </xf>
    <xf numFmtId="0" fontId="0" fillId="48" borderId="0" xfId="0" applyFill="1" applyAlignment="1" applyProtection="1">
      <alignment horizontal="left" vertical="center" indent="4"/>
      <protection hidden="1"/>
    </xf>
    <xf numFmtId="0" fontId="3" fillId="48" borderId="48" xfId="0" applyFont="1" applyFill="1" applyBorder="1" applyAlignment="1" applyProtection="1">
      <alignment vertical="center" wrapText="1"/>
      <protection hidden="1"/>
    </xf>
    <xf numFmtId="0" fontId="3" fillId="48" borderId="48" xfId="0" applyFont="1" applyFill="1" applyBorder="1" applyAlignment="1" applyProtection="1">
      <alignment horizontal="right" vertical="center" wrapText="1" indent="1"/>
      <protection hidden="1"/>
    </xf>
    <xf numFmtId="0" fontId="5" fillId="48" borderId="0" xfId="0" applyFont="1" applyFill="1" applyAlignment="1" applyProtection="1">
      <alignment vertical="center" wrapText="1"/>
      <protection hidden="1"/>
    </xf>
    <xf numFmtId="0" fontId="122" fillId="48" borderId="344" xfId="3" applyFill="1" applyBorder="1" applyAlignment="1" applyProtection="1">
      <alignment horizontal="right" vertical="center" wrapText="1" indent="1"/>
      <protection locked="0" hidden="1"/>
    </xf>
    <xf numFmtId="0" fontId="0" fillId="48" borderId="344" xfId="0" applyFill="1" applyBorder="1" applyAlignment="1" applyProtection="1">
      <alignment horizontal="left" vertical="center"/>
      <protection hidden="1"/>
    </xf>
    <xf numFmtId="0" fontId="121" fillId="48" borderId="344" xfId="0" applyFont="1" applyFill="1" applyBorder="1" applyAlignment="1" applyProtection="1">
      <alignment vertical="center" wrapText="1"/>
      <protection hidden="1"/>
    </xf>
    <xf numFmtId="0" fontId="0" fillId="48" borderId="344" xfId="0" applyFill="1" applyBorder="1" applyAlignment="1" applyProtection="1">
      <alignment vertical="center"/>
      <protection hidden="1"/>
    </xf>
    <xf numFmtId="0" fontId="9" fillId="48" borderId="344" xfId="0" applyFont="1" applyFill="1" applyBorder="1" applyAlignment="1" applyProtection="1">
      <alignment vertical="center" wrapText="1"/>
      <protection hidden="1"/>
    </xf>
    <xf numFmtId="0" fontId="118" fillId="48" borderId="344" xfId="0" applyFont="1" applyFill="1" applyBorder="1" applyAlignment="1" applyProtection="1">
      <alignment horizontal="left" vertical="center" wrapText="1"/>
      <protection hidden="1"/>
    </xf>
    <xf numFmtId="0" fontId="75" fillId="48" borderId="344" xfId="0" applyFont="1" applyFill="1" applyBorder="1" applyAlignment="1" applyProtection="1">
      <alignment vertical="center"/>
      <protection hidden="1"/>
    </xf>
    <xf numFmtId="0" fontId="121" fillId="48" borderId="344" xfId="0" applyFont="1" applyFill="1" applyBorder="1" applyAlignment="1" applyProtection="1">
      <alignment vertical="center"/>
      <protection hidden="1"/>
    </xf>
    <xf numFmtId="0" fontId="9" fillId="48" borderId="344" xfId="0" applyFont="1" applyFill="1" applyBorder="1" applyAlignment="1" applyProtection="1">
      <alignment horizontal="left" vertical="center"/>
      <protection hidden="1"/>
    </xf>
    <xf numFmtId="0" fontId="75" fillId="48" borderId="344" xfId="0" applyFont="1" applyFill="1" applyBorder="1" applyAlignment="1" applyProtection="1">
      <alignment horizontal="left" vertical="center"/>
      <protection hidden="1"/>
    </xf>
    <xf numFmtId="0" fontId="122" fillId="48" borderId="345" xfId="3" applyFill="1" applyBorder="1" applyAlignment="1" applyProtection="1">
      <alignment horizontal="right" vertical="center" wrapText="1" indent="1"/>
      <protection locked="0" hidden="1"/>
    </xf>
    <xf numFmtId="0" fontId="0" fillId="48" borderId="345" xfId="0" applyFill="1" applyBorder="1" applyAlignment="1" applyProtection="1">
      <alignment horizontal="left" vertical="center"/>
      <protection hidden="1"/>
    </xf>
    <xf numFmtId="0" fontId="121" fillId="48" borderId="345" xfId="0" applyFont="1" applyFill="1" applyBorder="1" applyAlignment="1" applyProtection="1">
      <alignment vertical="center" wrapText="1"/>
      <protection hidden="1"/>
    </xf>
    <xf numFmtId="0" fontId="76" fillId="48" borderId="345" xfId="0" applyFont="1" applyFill="1" applyBorder="1" applyAlignment="1" applyProtection="1">
      <alignment horizontal="left" vertical="center"/>
      <protection hidden="1"/>
    </xf>
    <xf numFmtId="0" fontId="75" fillId="48" borderId="345" xfId="0" applyFont="1" applyFill="1" applyBorder="1" applyAlignment="1" applyProtection="1">
      <alignment vertical="center"/>
      <protection hidden="1"/>
    </xf>
    <xf numFmtId="0" fontId="0" fillId="48" borderId="345" xfId="0" applyFill="1" applyBorder="1" applyAlignment="1" applyProtection="1">
      <alignment vertical="center"/>
      <protection hidden="1"/>
    </xf>
    <xf numFmtId="0" fontId="122" fillId="48" borderId="346" xfId="3" applyFill="1" applyBorder="1" applyAlignment="1" applyProtection="1">
      <alignment horizontal="right" vertical="center" wrapText="1" indent="1"/>
      <protection locked="0" hidden="1"/>
    </xf>
    <xf numFmtId="0" fontId="0" fillId="48" borderId="346" xfId="0" applyFill="1" applyBorder="1" applyAlignment="1" applyProtection="1">
      <alignment horizontal="left" vertical="center"/>
      <protection hidden="1"/>
    </xf>
    <xf numFmtId="0" fontId="121" fillId="48" borderId="346" xfId="0" applyFont="1" applyFill="1" applyBorder="1" applyAlignment="1" applyProtection="1">
      <alignment vertical="center" wrapText="1"/>
      <protection hidden="1"/>
    </xf>
    <xf numFmtId="0" fontId="9" fillId="48" borderId="346" xfId="0" applyFont="1" applyFill="1" applyBorder="1" applyAlignment="1" applyProtection="1">
      <alignment vertical="center" wrapText="1"/>
      <protection hidden="1"/>
    </xf>
    <xf numFmtId="0" fontId="0" fillId="48" borderId="346" xfId="0" applyFill="1" applyBorder="1" applyAlignment="1" applyProtection="1">
      <alignment vertical="center"/>
      <protection hidden="1"/>
    </xf>
    <xf numFmtId="0" fontId="0" fillId="27" borderId="0" xfId="0" applyFill="1" applyAlignment="1" applyProtection="1">
      <alignment horizontal="left" vertical="top" indent="6"/>
      <protection hidden="1"/>
    </xf>
    <xf numFmtId="0" fontId="10" fillId="53" borderId="0" xfId="0" applyFont="1" applyFill="1" applyAlignment="1" applyProtection="1">
      <alignment horizontal="left" vertical="center"/>
      <protection hidden="1"/>
    </xf>
    <xf numFmtId="0" fontId="109" fillId="53" borderId="0" xfId="0" applyFont="1" applyFill="1" applyAlignment="1" applyProtection="1">
      <alignment horizontal="left" vertical="top" wrapText="1" indent="5"/>
      <protection hidden="1"/>
    </xf>
    <xf numFmtId="0" fontId="54" fillId="4" borderId="0" xfId="0" applyFont="1" applyFill="1" applyAlignment="1">
      <alignment vertical="center"/>
    </xf>
    <xf numFmtId="0" fontId="73" fillId="28" borderId="0" xfId="0" applyFont="1" applyFill="1" applyAlignment="1">
      <alignment horizontal="left" vertical="center" indent="1"/>
    </xf>
    <xf numFmtId="0" fontId="10" fillId="28" borderId="0" xfId="0" applyFont="1" applyFill="1" applyAlignment="1">
      <alignment horizontal="left" indent="1"/>
    </xf>
    <xf numFmtId="0" fontId="0" fillId="0" borderId="349" xfId="0" applyBorder="1" applyAlignment="1">
      <alignment horizontal="left" indent="1"/>
    </xf>
    <xf numFmtId="0" fontId="0" fillId="0" borderId="347" xfId="0" applyBorder="1" applyAlignment="1">
      <alignment horizontal="left" indent="1"/>
    </xf>
    <xf numFmtId="0" fontId="11" fillId="28" borderId="347" xfId="0" applyFont="1" applyFill="1" applyBorder="1" applyAlignment="1">
      <alignment horizontal="left" vertical="center" indent="1"/>
    </xf>
    <xf numFmtId="0" fontId="75" fillId="0" borderId="0" xfId="0" applyFont="1" applyAlignment="1">
      <alignment horizontal="right" vertical="center"/>
    </xf>
    <xf numFmtId="164" fontId="4" fillId="0" borderId="2" xfId="0" applyNumberFormat="1" applyFont="1" applyBorder="1" applyAlignment="1">
      <alignment horizontal="right"/>
    </xf>
    <xf numFmtId="0" fontId="232" fillId="0" borderId="0" xfId="0" applyFont="1" applyAlignment="1">
      <alignment horizontal="right" indent="1"/>
    </xf>
    <xf numFmtId="0" fontId="4" fillId="0" borderId="63" xfId="0" applyFont="1" applyBorder="1"/>
    <xf numFmtId="0" fontId="4" fillId="0" borderId="5" xfId="0" applyFont="1" applyBorder="1"/>
    <xf numFmtId="0" fontId="4" fillId="0" borderId="46" xfId="0" applyFont="1" applyBorder="1"/>
    <xf numFmtId="0" fontId="206" fillId="0" borderId="0" xfId="0" applyFont="1" applyAlignment="1" applyProtection="1">
      <alignment horizontal="right" vertical="center"/>
      <protection hidden="1"/>
    </xf>
    <xf numFmtId="0" fontId="76" fillId="0" borderId="6" xfId="0" applyFont="1" applyBorder="1" applyAlignment="1">
      <alignment horizontal="right"/>
    </xf>
    <xf numFmtId="0" fontId="76" fillId="0" borderId="63" xfId="0" applyFont="1" applyBorder="1" applyAlignment="1">
      <alignment horizontal="right"/>
    </xf>
    <xf numFmtId="0" fontId="76" fillId="0" borderId="79" xfId="0" applyFont="1" applyBorder="1" applyAlignment="1">
      <alignment horizontal="right"/>
    </xf>
    <xf numFmtId="0" fontId="4" fillId="0" borderId="7" xfId="0" applyFont="1" applyBorder="1"/>
    <xf numFmtId="0" fontId="4" fillId="0" borderId="4" xfId="0" applyFont="1" applyBorder="1"/>
    <xf numFmtId="0" fontId="0" fillId="0" borderId="8" xfId="0" applyBorder="1" applyAlignment="1">
      <alignment horizontal="right" vertical="center"/>
    </xf>
    <xf numFmtId="0" fontId="75" fillId="0" borderId="0" xfId="0" applyFont="1"/>
    <xf numFmtId="0" fontId="75" fillId="0" borderId="0" xfId="0" applyFont="1" applyAlignment="1">
      <alignment horizontal="right"/>
    </xf>
    <xf numFmtId="0" fontId="5" fillId="0" borderId="8" xfId="0" applyFont="1" applyBorder="1"/>
    <xf numFmtId="0" fontId="75" fillId="0" borderId="2" xfId="0" applyFont="1" applyBorder="1" applyAlignment="1">
      <alignment horizontal="right"/>
    </xf>
    <xf numFmtId="0" fontId="75" fillId="0" borderId="2" xfId="0" applyFont="1" applyBorder="1"/>
    <xf numFmtId="1" fontId="75" fillId="0" borderId="8" xfId="0" applyNumberFormat="1" applyFont="1" applyBorder="1"/>
    <xf numFmtId="1" fontId="75" fillId="0" borderId="0" xfId="0" applyNumberFormat="1" applyFont="1"/>
    <xf numFmtId="0" fontId="5" fillId="0" borderId="2" xfId="0" applyFont="1" applyBorder="1"/>
    <xf numFmtId="164" fontId="4" fillId="0" borderId="58" xfId="0" applyNumberFormat="1" applyFont="1" applyBorder="1"/>
    <xf numFmtId="164" fontId="4" fillId="0" borderId="59" xfId="0" applyNumberFormat="1" applyFont="1" applyBorder="1"/>
    <xf numFmtId="0" fontId="8" fillId="0" borderId="0" xfId="0" applyFont="1" applyAlignment="1">
      <alignment horizontal="left" indent="3"/>
    </xf>
    <xf numFmtId="0" fontId="8" fillId="0" borderId="0" xfId="0" applyFont="1" applyAlignment="1">
      <alignment horizontal="left" vertical="top" indent="3"/>
    </xf>
    <xf numFmtId="0" fontId="233" fillId="0" borderId="0" xfId="0" applyFont="1"/>
    <xf numFmtId="0" fontId="0" fillId="0" borderId="8" xfId="0" applyBorder="1" applyAlignment="1">
      <alignment horizontal="right" indent="1"/>
    </xf>
    <xf numFmtId="0" fontId="252" fillId="0" borderId="0" xfId="0" applyFont="1" applyProtection="1">
      <protection hidden="1"/>
    </xf>
    <xf numFmtId="0" fontId="252" fillId="0" borderId="0" xfId="0" applyFont="1" applyAlignment="1" applyProtection="1">
      <alignment vertical="center"/>
      <protection hidden="1"/>
    </xf>
    <xf numFmtId="0" fontId="252" fillId="0" borderId="0" xfId="0" applyFont="1" applyAlignment="1" applyProtection="1">
      <alignment vertical="top"/>
      <protection hidden="1"/>
    </xf>
    <xf numFmtId="0" fontId="229" fillId="4" borderId="54" xfId="0" applyFont="1" applyFill="1" applyBorder="1" applyAlignment="1" applyProtection="1">
      <alignment vertical="center" wrapText="1"/>
      <protection hidden="1"/>
    </xf>
    <xf numFmtId="0" fontId="229" fillId="4" borderId="7" xfId="0" applyFont="1" applyFill="1" applyBorder="1" applyAlignment="1" applyProtection="1">
      <alignment vertical="top" wrapText="1"/>
      <protection hidden="1"/>
    </xf>
    <xf numFmtId="0" fontId="229" fillId="4" borderId="46" xfId="0" applyFont="1" applyFill="1" applyBorder="1" applyAlignment="1" applyProtection="1">
      <alignment horizontal="left" vertical="center" wrapText="1" indent="9"/>
      <protection hidden="1"/>
    </xf>
    <xf numFmtId="0" fontId="254" fillId="48" borderId="0" xfId="0" applyFont="1" applyFill="1" applyProtection="1">
      <protection hidden="1"/>
    </xf>
    <xf numFmtId="0" fontId="255" fillId="48" borderId="0" xfId="0" applyFont="1" applyFill="1" applyAlignment="1" applyProtection="1">
      <alignment vertical="center" wrapText="1"/>
      <protection hidden="1"/>
    </xf>
    <xf numFmtId="0" fontId="254" fillId="48" borderId="0" xfId="0" applyFont="1" applyFill="1" applyAlignment="1" applyProtection="1">
      <alignment horizontal="left" vertical="center" indent="3"/>
      <protection hidden="1"/>
    </xf>
    <xf numFmtId="0" fontId="251" fillId="48" borderId="0" xfId="0" applyFont="1" applyFill="1" applyProtection="1">
      <protection hidden="1"/>
    </xf>
    <xf numFmtId="0" fontId="255" fillId="48" borderId="0" xfId="0" applyFont="1" applyFill="1" applyAlignment="1" applyProtection="1">
      <alignment vertical="center"/>
      <protection hidden="1"/>
    </xf>
    <xf numFmtId="0" fontId="145" fillId="4" borderId="7" xfId="0" applyFont="1" applyFill="1" applyBorder="1" applyAlignment="1" applyProtection="1">
      <alignment horizontal="left" wrapText="1" indent="1"/>
      <protection hidden="1"/>
    </xf>
    <xf numFmtId="0" fontId="6" fillId="4" borderId="0" xfId="0" applyFont="1" applyFill="1" applyAlignment="1" applyProtection="1">
      <alignment vertical="center"/>
      <protection hidden="1"/>
    </xf>
    <xf numFmtId="0" fontId="9" fillId="43" borderId="0" xfId="0" applyFont="1" applyFill="1" applyAlignment="1" applyProtection="1">
      <alignment horizontal="left" vertical="center" wrapText="1" indent="9"/>
      <protection hidden="1"/>
    </xf>
    <xf numFmtId="0" fontId="9" fillId="43" borderId="0" xfId="0" applyFont="1" applyFill="1" applyProtection="1">
      <protection hidden="1"/>
    </xf>
    <xf numFmtId="0" fontId="43" fillId="43" borderId="0" xfId="0" applyFont="1" applyFill="1" applyAlignment="1" applyProtection="1">
      <alignment vertical="center" wrapText="1"/>
      <protection hidden="1"/>
    </xf>
    <xf numFmtId="0" fontId="9" fillId="43" borderId="0" xfId="0" applyFont="1" applyFill="1" applyAlignment="1" applyProtection="1">
      <alignment horizontal="left" vertical="center" indent="3"/>
      <protection hidden="1"/>
    </xf>
    <xf numFmtId="0" fontId="44" fillId="43" borderId="0" xfId="0" applyFont="1" applyFill="1" applyProtection="1">
      <protection hidden="1"/>
    </xf>
    <xf numFmtId="0" fontId="87" fillId="47" borderId="44" xfId="0" applyFont="1" applyFill="1" applyBorder="1" applyAlignment="1" applyProtection="1">
      <alignment horizontal="left" vertical="center"/>
      <protection hidden="1"/>
    </xf>
    <xf numFmtId="0" fontId="87" fillId="47" borderId="44" xfId="0" applyFont="1" applyFill="1" applyBorder="1" applyAlignment="1" applyProtection="1">
      <alignment horizontal="left" vertical="center" indent="1"/>
      <protection hidden="1"/>
    </xf>
    <xf numFmtId="0" fontId="87" fillId="47" borderId="44" xfId="0" applyFont="1" applyFill="1" applyBorder="1" applyAlignment="1" applyProtection="1">
      <alignment horizontal="right" vertical="center"/>
      <protection hidden="1"/>
    </xf>
    <xf numFmtId="0" fontId="87" fillId="42" borderId="44" xfId="0" applyFont="1" applyFill="1" applyBorder="1" applyAlignment="1" applyProtection="1">
      <alignment horizontal="right" vertical="center"/>
      <protection hidden="1"/>
    </xf>
    <xf numFmtId="0" fontId="87" fillId="36" borderId="44" xfId="0" applyFont="1" applyFill="1" applyBorder="1" applyAlignment="1" applyProtection="1">
      <alignment horizontal="right" vertical="center"/>
      <protection hidden="1"/>
    </xf>
    <xf numFmtId="0" fontId="87" fillId="4" borderId="20" xfId="0" applyFont="1" applyFill="1" applyBorder="1" applyAlignment="1" applyProtection="1">
      <alignment horizontal="right"/>
      <protection hidden="1"/>
    </xf>
    <xf numFmtId="0" fontId="10" fillId="55" borderId="0" xfId="0" applyFont="1" applyFill="1" applyAlignment="1" applyProtection="1">
      <alignment horizontal="left" vertical="center"/>
      <protection hidden="1"/>
    </xf>
    <xf numFmtId="0" fontId="109" fillId="55" borderId="0" xfId="0" applyFont="1" applyFill="1" applyAlignment="1" applyProtection="1">
      <alignment horizontal="left" vertical="top" wrapText="1" indent="5"/>
      <protection hidden="1"/>
    </xf>
    <xf numFmtId="0" fontId="250" fillId="0" borderId="0" xfId="0" applyFont="1" applyAlignment="1" applyProtection="1">
      <alignment vertical="center" wrapText="1"/>
      <protection hidden="1"/>
    </xf>
    <xf numFmtId="0" fontId="250" fillId="4" borderId="0" xfId="0" applyFont="1" applyFill="1" applyAlignment="1" applyProtection="1">
      <alignment vertical="center" wrapText="1"/>
      <protection hidden="1"/>
    </xf>
    <xf numFmtId="0" fontId="250" fillId="4" borderId="0" xfId="0" applyFont="1" applyFill="1" applyAlignment="1" applyProtection="1">
      <alignment horizontal="right" vertical="top" wrapText="1"/>
      <protection hidden="1"/>
    </xf>
    <xf numFmtId="0" fontId="36" fillId="4" borderId="0" xfId="0" applyFont="1" applyFill="1" applyAlignment="1" applyProtection="1">
      <alignment horizontal="left" indent="1"/>
      <protection hidden="1"/>
    </xf>
    <xf numFmtId="0" fontId="272" fillId="4" borderId="0" xfId="0" applyFont="1" applyFill="1" applyAlignment="1" applyProtection="1">
      <alignment horizontal="left" vertical="center" indent="1"/>
      <protection hidden="1"/>
    </xf>
    <xf numFmtId="14" fontId="0" fillId="4" borderId="58" xfId="0" applyNumberFormat="1" applyFill="1" applyBorder="1" applyAlignment="1" applyProtection="1">
      <alignment horizontal="left" wrapText="1"/>
      <protection hidden="1"/>
    </xf>
    <xf numFmtId="0" fontId="160" fillId="4" borderId="0" xfId="0" applyFont="1" applyFill="1" applyAlignment="1" applyProtection="1">
      <alignment horizontal="right" indent="1"/>
      <protection hidden="1"/>
    </xf>
    <xf numFmtId="0" fontId="160" fillId="4" borderId="0" xfId="0" applyFont="1" applyFill="1" applyAlignment="1" applyProtection="1">
      <alignment horizontal="right" vertical="center" wrapText="1" indent="1"/>
      <protection hidden="1"/>
    </xf>
    <xf numFmtId="0" fontId="0" fillId="27" borderId="0" xfId="0" applyFill="1" applyAlignment="1" applyProtection="1">
      <alignment horizontal="left" vertical="center" indent="2"/>
      <protection hidden="1"/>
    </xf>
    <xf numFmtId="0" fontId="0" fillId="56" borderId="0" xfId="0" applyFill="1" applyAlignment="1" applyProtection="1">
      <alignment horizontal="left" indent="2"/>
      <protection hidden="1"/>
    </xf>
    <xf numFmtId="0" fontId="0" fillId="56" borderId="0" xfId="0" applyFill="1" applyProtection="1">
      <protection hidden="1"/>
    </xf>
    <xf numFmtId="164" fontId="4" fillId="56" borderId="0" xfId="0" applyNumberFormat="1" applyFont="1" applyFill="1" applyProtection="1">
      <protection hidden="1"/>
    </xf>
    <xf numFmtId="168" fontId="4" fillId="56" borderId="0" xfId="0" applyNumberFormat="1" applyFont="1" applyFill="1" applyProtection="1">
      <protection hidden="1"/>
    </xf>
    <xf numFmtId="167" fontId="4" fillId="56" borderId="0" xfId="0" applyNumberFormat="1" applyFont="1" applyFill="1" applyProtection="1">
      <protection hidden="1"/>
    </xf>
    <xf numFmtId="0" fontId="0" fillId="56" borderId="0" xfId="0" applyFill="1" applyAlignment="1" applyProtection="1">
      <alignment horizontal="right" vertical="center"/>
      <protection hidden="1"/>
    </xf>
    <xf numFmtId="0" fontId="0" fillId="56" borderId="0" xfId="0" applyFill="1" applyAlignment="1" applyProtection="1">
      <alignment vertical="center"/>
      <protection hidden="1"/>
    </xf>
    <xf numFmtId="164" fontId="4" fillId="56" borderId="0" xfId="0" applyNumberFormat="1" applyFont="1" applyFill="1" applyAlignment="1" applyProtection="1">
      <alignment vertical="center"/>
      <protection hidden="1"/>
    </xf>
    <xf numFmtId="168" fontId="4" fillId="56" borderId="0" xfId="0" applyNumberFormat="1" applyFont="1" applyFill="1" applyAlignment="1" applyProtection="1">
      <alignment vertical="center"/>
      <protection hidden="1"/>
    </xf>
    <xf numFmtId="167" fontId="4" fillId="56" borderId="0" xfId="0" applyNumberFormat="1" applyFont="1" applyFill="1" applyAlignment="1" applyProtection="1">
      <alignment vertical="center"/>
      <protection hidden="1"/>
    </xf>
    <xf numFmtId="0" fontId="38" fillId="56" borderId="0" xfId="0" applyFont="1" applyFill="1" applyAlignment="1" applyProtection="1">
      <alignment horizontal="right"/>
      <protection hidden="1"/>
    </xf>
    <xf numFmtId="0" fontId="0" fillId="56" borderId="0" xfId="0" applyFill="1" applyAlignment="1" applyProtection="1">
      <alignment horizontal="right" indent="1"/>
      <protection hidden="1"/>
    </xf>
    <xf numFmtId="0" fontId="86" fillId="56" borderId="0" xfId="0" applyFont="1" applyFill="1" applyAlignment="1" applyProtection="1">
      <alignment horizontal="left" vertical="center" wrapText="1" indent="1"/>
      <protection hidden="1"/>
    </xf>
    <xf numFmtId="0" fontId="0" fillId="57" borderId="79" xfId="0" applyFill="1" applyBorder="1" applyProtection="1">
      <protection hidden="1"/>
    </xf>
    <xf numFmtId="168" fontId="0" fillId="56" borderId="0" xfId="0" applyNumberFormat="1" applyFill="1" applyProtection="1">
      <protection hidden="1"/>
    </xf>
    <xf numFmtId="0" fontId="0" fillId="56" borderId="0" xfId="0" applyFill="1" applyAlignment="1" applyProtection="1">
      <alignment horizontal="center" vertical="center"/>
      <protection hidden="1"/>
    </xf>
    <xf numFmtId="0" fontId="273" fillId="4" borderId="0" xfId="0" applyFont="1" applyFill="1" applyAlignment="1" applyProtection="1">
      <alignment vertical="center"/>
      <protection hidden="1"/>
    </xf>
    <xf numFmtId="0" fontId="74" fillId="4" borderId="0" xfId="0" applyFont="1" applyFill="1" applyAlignment="1" applyProtection="1">
      <alignment vertical="center"/>
      <protection hidden="1"/>
    </xf>
    <xf numFmtId="0" fontId="5" fillId="0" borderId="8" xfId="0" applyFont="1" applyBorder="1" applyAlignment="1" applyProtection="1">
      <alignment vertical="top"/>
      <protection hidden="1"/>
    </xf>
    <xf numFmtId="165" fontId="4" fillId="0" borderId="8" xfId="0" applyNumberFormat="1" applyFont="1" applyBorder="1" applyAlignment="1" applyProtection="1">
      <alignment vertical="top"/>
      <protection hidden="1"/>
    </xf>
    <xf numFmtId="0" fontId="0" fillId="0" borderId="8" xfId="0" applyBorder="1" applyAlignment="1" applyProtection="1">
      <alignment vertical="top"/>
      <protection hidden="1"/>
    </xf>
    <xf numFmtId="165" fontId="4" fillId="0" borderId="7" xfId="0" applyNumberFormat="1" applyFont="1" applyBorder="1" applyAlignment="1" applyProtection="1">
      <alignment vertical="top"/>
      <protection hidden="1"/>
    </xf>
    <xf numFmtId="165" fontId="4" fillId="0" borderId="4" xfId="0" applyNumberFormat="1" applyFont="1" applyBorder="1" applyAlignment="1" applyProtection="1">
      <alignment vertical="top"/>
      <protection hidden="1"/>
    </xf>
    <xf numFmtId="165" fontId="38" fillId="0" borderId="46" xfId="0" applyNumberFormat="1" applyFont="1" applyBorder="1" applyAlignment="1" applyProtection="1">
      <alignment vertical="top"/>
      <protection hidden="1"/>
    </xf>
    <xf numFmtId="165" fontId="38" fillId="0" borderId="5" xfId="0" applyNumberFormat="1" applyFont="1" applyBorder="1" applyAlignment="1" applyProtection="1">
      <alignment vertical="top"/>
      <protection hidden="1"/>
    </xf>
    <xf numFmtId="0" fontId="4" fillId="0" borderId="58" xfId="0" applyFont="1" applyBorder="1" applyAlignment="1" applyProtection="1">
      <alignment horizontal="left" vertical="top" wrapText="1"/>
      <protection hidden="1"/>
    </xf>
    <xf numFmtId="0" fontId="4" fillId="0" borderId="48" xfId="0" applyFont="1" applyBorder="1" applyAlignment="1" applyProtection="1">
      <alignment horizontal="left" vertical="top" wrapText="1"/>
      <protection hidden="1"/>
    </xf>
    <xf numFmtId="0" fontId="4" fillId="0" borderId="59" xfId="0" applyFont="1" applyBorder="1" applyAlignment="1" applyProtection="1">
      <alignment horizontal="left" vertical="top" wrapText="1"/>
      <protection hidden="1"/>
    </xf>
    <xf numFmtId="0" fontId="0" fillId="4" borderId="4" xfId="0" applyFill="1" applyBorder="1" applyAlignment="1">
      <alignment horizontal="center"/>
    </xf>
    <xf numFmtId="0" fontId="5" fillId="56" borderId="0" xfId="0" applyFont="1" applyFill="1" applyAlignment="1">
      <alignment horizontal="right" vertical="center" wrapText="1" indent="1"/>
    </xf>
    <xf numFmtId="0" fontId="0" fillId="56" borderId="0" xfId="0" applyFill="1" applyAlignment="1">
      <alignment horizontal="right" vertical="center" indent="1"/>
    </xf>
    <xf numFmtId="170" fontId="0" fillId="0" borderId="2" xfId="0" applyNumberFormat="1" applyBorder="1" applyAlignment="1">
      <alignment horizontal="center" vertical="center"/>
    </xf>
    <xf numFmtId="0" fontId="6" fillId="0" borderId="0" xfId="0" applyFont="1" applyAlignment="1" applyProtection="1">
      <alignment horizontal="left" indent="1"/>
      <protection hidden="1"/>
    </xf>
    <xf numFmtId="0" fontId="6" fillId="0" borderId="8" xfId="0" applyFont="1" applyBorder="1" applyProtection="1">
      <protection hidden="1"/>
    </xf>
    <xf numFmtId="0" fontId="6" fillId="0" borderId="8" xfId="0" applyFont="1" applyBorder="1" applyAlignment="1" applyProtection="1">
      <alignment horizontal="left" indent="1"/>
      <protection hidden="1"/>
    </xf>
    <xf numFmtId="0" fontId="75" fillId="0" borderId="8" xfId="0" applyFont="1" applyBorder="1"/>
    <xf numFmtId="0" fontId="8" fillId="0" borderId="0" xfId="0" applyFont="1" applyAlignment="1" applyProtection="1">
      <alignment horizontal="left" vertical="top" indent="1"/>
      <protection hidden="1"/>
    </xf>
    <xf numFmtId="0" fontId="0" fillId="27" borderId="0" xfId="0" applyFill="1" applyAlignment="1" applyProtection="1">
      <alignment horizontal="left" vertical="top" indent="1"/>
      <protection hidden="1"/>
    </xf>
    <xf numFmtId="0" fontId="0" fillId="27" borderId="0" xfId="0" applyFill="1" applyAlignment="1" applyProtection="1">
      <alignment horizontal="left" vertical="top" wrapText="1" indent="1"/>
      <protection hidden="1"/>
    </xf>
    <xf numFmtId="0" fontId="26" fillId="28" borderId="0" xfId="0" applyFont="1" applyFill="1" applyProtection="1">
      <protection hidden="1"/>
    </xf>
    <xf numFmtId="0" fontId="166" fillId="28" borderId="0" xfId="0" applyFont="1" applyFill="1" applyAlignment="1" applyProtection="1">
      <alignment horizontal="right" vertical="center" indent="1"/>
      <protection hidden="1"/>
    </xf>
    <xf numFmtId="0" fontId="28" fillId="28" borderId="0" xfId="0" applyFont="1" applyFill="1" applyProtection="1">
      <protection hidden="1"/>
    </xf>
    <xf numFmtId="0" fontId="44" fillId="27" borderId="0" xfId="0" applyFont="1" applyFill="1" applyAlignment="1" applyProtection="1">
      <alignment horizontal="left" vertical="center" indent="3"/>
      <protection hidden="1"/>
    </xf>
    <xf numFmtId="0" fontId="7" fillId="0" borderId="0" xfId="0" applyFont="1" applyAlignment="1" applyProtection="1">
      <alignment horizontal="left" vertical="center" indent="1"/>
      <protection hidden="1"/>
    </xf>
    <xf numFmtId="0" fontId="1" fillId="0" borderId="0" xfId="0" applyFont="1" applyAlignment="1" applyProtection="1">
      <alignment horizontal="left" vertical="center"/>
      <protection hidden="1"/>
    </xf>
    <xf numFmtId="0" fontId="2" fillId="0" borderId="0" xfId="0" applyFont="1" applyAlignment="1" applyProtection="1">
      <alignment horizontal="left" vertical="center"/>
      <protection hidden="1"/>
    </xf>
    <xf numFmtId="0" fontId="277" fillId="27" borderId="0" xfId="0" applyFont="1" applyFill="1" applyProtection="1">
      <protection hidden="1"/>
    </xf>
    <xf numFmtId="0" fontId="61" fillId="28" borderId="0" xfId="0" applyFont="1" applyFill="1" applyAlignment="1" applyProtection="1">
      <alignment vertical="center"/>
      <protection hidden="1"/>
    </xf>
    <xf numFmtId="0" fontId="44" fillId="27" borderId="0" xfId="0" applyFont="1" applyFill="1" applyAlignment="1" applyProtection="1">
      <alignment vertical="center"/>
      <protection hidden="1"/>
    </xf>
    <xf numFmtId="0" fontId="7" fillId="0" borderId="0" xfId="0" applyFont="1" applyAlignment="1" applyProtection="1">
      <alignment vertical="center"/>
      <protection hidden="1"/>
    </xf>
    <xf numFmtId="0" fontId="28" fillId="0" borderId="0" xfId="0" applyFont="1" applyProtection="1">
      <protection hidden="1"/>
    </xf>
    <xf numFmtId="0" fontId="26" fillId="0" borderId="0" xfId="0" applyFont="1" applyProtection="1">
      <protection hidden="1"/>
    </xf>
    <xf numFmtId="0" fontId="166" fillId="0" borderId="0" xfId="0" applyFont="1" applyAlignment="1" applyProtection="1">
      <alignment horizontal="right" vertical="center" indent="1"/>
      <protection hidden="1"/>
    </xf>
    <xf numFmtId="0" fontId="9" fillId="0" borderId="0" xfId="0" applyFont="1" applyAlignment="1" applyProtection="1">
      <alignment vertical="center"/>
      <protection hidden="1"/>
    </xf>
    <xf numFmtId="0" fontId="3" fillId="27" borderId="52" xfId="0" applyFont="1" applyFill="1" applyBorder="1" applyAlignment="1" applyProtection="1">
      <alignment vertical="center"/>
      <protection hidden="1"/>
    </xf>
    <xf numFmtId="0" fontId="44" fillId="27" borderId="53" xfId="0" applyFont="1" applyFill="1" applyBorder="1" applyAlignment="1" applyProtection="1">
      <alignment vertical="center"/>
      <protection hidden="1"/>
    </xf>
    <xf numFmtId="0" fontId="44" fillId="27" borderId="49" xfId="0" applyFont="1" applyFill="1" applyBorder="1" applyAlignment="1" applyProtection="1">
      <alignment vertical="center"/>
      <protection hidden="1"/>
    </xf>
    <xf numFmtId="0" fontId="61" fillId="27" borderId="50" xfId="0" applyFont="1" applyFill="1" applyBorder="1" applyAlignment="1" applyProtection="1">
      <alignment vertical="center"/>
      <protection hidden="1"/>
    </xf>
    <xf numFmtId="0" fontId="61" fillId="27" borderId="51" xfId="0" applyFont="1" applyFill="1" applyBorder="1" applyAlignment="1" applyProtection="1">
      <alignment vertical="center"/>
      <protection hidden="1"/>
    </xf>
    <xf numFmtId="0" fontId="44" fillId="27" borderId="52" xfId="0" applyFont="1" applyFill="1" applyBorder="1" applyAlignment="1" applyProtection="1">
      <alignment vertical="center"/>
      <protection hidden="1"/>
    </xf>
    <xf numFmtId="0" fontId="61" fillId="27" borderId="0" xfId="0" applyFont="1" applyFill="1" applyAlignment="1" applyProtection="1">
      <alignment vertical="center"/>
      <protection hidden="1"/>
    </xf>
    <xf numFmtId="0" fontId="61" fillId="27" borderId="53" xfId="0" applyFont="1" applyFill="1" applyBorder="1" applyAlignment="1" applyProtection="1">
      <alignment vertical="center"/>
      <protection hidden="1"/>
    </xf>
    <xf numFmtId="0" fontId="145" fillId="27" borderId="0" xfId="0" applyFont="1" applyFill="1" applyAlignment="1" applyProtection="1">
      <alignment vertical="center"/>
      <protection hidden="1"/>
    </xf>
    <xf numFmtId="0" fontId="44" fillId="27" borderId="55" xfId="0" applyFont="1" applyFill="1" applyBorder="1" applyAlignment="1" applyProtection="1">
      <alignment vertical="center"/>
      <protection hidden="1"/>
    </xf>
    <xf numFmtId="0" fontId="61" fillId="27" borderId="56" xfId="0" applyFont="1" applyFill="1" applyBorder="1" applyAlignment="1" applyProtection="1">
      <alignment vertical="center"/>
      <protection hidden="1"/>
    </xf>
    <xf numFmtId="0" fontId="61" fillId="27" borderId="57" xfId="0" applyFont="1" applyFill="1" applyBorder="1" applyAlignment="1" applyProtection="1">
      <alignment vertical="center"/>
      <protection hidden="1"/>
    </xf>
    <xf numFmtId="0" fontId="0" fillId="27" borderId="49" xfId="0" applyFill="1" applyBorder="1" applyAlignment="1" applyProtection="1">
      <alignment horizontal="left" indent="1"/>
      <protection hidden="1"/>
    </xf>
    <xf numFmtId="0" fontId="0" fillId="27" borderId="50" xfId="0" applyFill="1" applyBorder="1" applyAlignment="1" applyProtection="1">
      <alignment horizontal="left" indent="1"/>
      <protection hidden="1"/>
    </xf>
    <xf numFmtId="0" fontId="0" fillId="27" borderId="50" xfId="0" applyFill="1" applyBorder="1" applyProtection="1">
      <protection hidden="1"/>
    </xf>
    <xf numFmtId="0" fontId="0" fillId="27" borderId="51" xfId="0" applyFill="1" applyBorder="1" applyProtection="1">
      <protection hidden="1"/>
    </xf>
    <xf numFmtId="0" fontId="275" fillId="27" borderId="0" xfId="0" applyFont="1" applyFill="1" applyAlignment="1" applyProtection="1">
      <alignment horizontal="left" indent="1"/>
      <protection hidden="1"/>
    </xf>
    <xf numFmtId="0" fontId="145" fillId="27" borderId="0" xfId="0" applyFont="1" applyFill="1" applyAlignment="1" applyProtection="1">
      <alignment horizontal="left" vertical="center" indent="3"/>
      <protection hidden="1"/>
    </xf>
    <xf numFmtId="0" fontId="0" fillId="27" borderId="53" xfId="0" applyFill="1" applyBorder="1" applyAlignment="1" applyProtection="1">
      <alignment horizontal="left"/>
      <protection hidden="1"/>
    </xf>
    <xf numFmtId="0" fontId="44" fillId="27" borderId="53" xfId="0" applyFont="1" applyFill="1" applyBorder="1" applyAlignment="1" applyProtection="1">
      <alignment horizontal="center" vertical="center"/>
      <protection hidden="1"/>
    </xf>
    <xf numFmtId="0" fontId="277" fillId="27" borderId="0" xfId="0" applyFont="1" applyFill="1" applyAlignment="1" applyProtection="1">
      <alignment horizontal="left" indent="1"/>
      <protection hidden="1"/>
    </xf>
    <xf numFmtId="0" fontId="3" fillId="27" borderId="53" xfId="0" applyFont="1" applyFill="1" applyBorder="1" applyAlignment="1" applyProtection="1">
      <alignment vertical="center"/>
      <protection hidden="1"/>
    </xf>
    <xf numFmtId="0" fontId="275" fillId="27" borderId="0" xfId="0" applyFont="1" applyFill="1" applyAlignment="1" applyProtection="1">
      <alignment horizontal="center"/>
      <protection hidden="1"/>
    </xf>
    <xf numFmtId="0" fontId="0" fillId="27" borderId="0" xfId="0" applyFill="1" applyAlignment="1" applyProtection="1">
      <alignment horizontal="center"/>
      <protection hidden="1"/>
    </xf>
    <xf numFmtId="0" fontId="277" fillId="27" borderId="0" xfId="0" applyFont="1" applyFill="1" applyAlignment="1" applyProtection="1">
      <alignment horizontal="center"/>
      <protection hidden="1"/>
    </xf>
    <xf numFmtId="0" fontId="277" fillId="27" borderId="0" xfId="0" applyFont="1" applyFill="1" applyAlignment="1" applyProtection="1">
      <alignment horizontal="left"/>
      <protection hidden="1"/>
    </xf>
    <xf numFmtId="0" fontId="275" fillId="27" borderId="0" xfId="0" applyFont="1" applyFill="1" applyAlignment="1" applyProtection="1">
      <alignment horizontal="left"/>
      <protection hidden="1"/>
    </xf>
    <xf numFmtId="0" fontId="0" fillId="27" borderId="245" xfId="0" applyFill="1" applyBorder="1" applyAlignment="1" applyProtection="1">
      <alignment horizontal="left" indent="1"/>
      <protection hidden="1"/>
    </xf>
    <xf numFmtId="0" fontId="0" fillId="27" borderId="8" xfId="0" applyFill="1" applyBorder="1" applyAlignment="1" applyProtection="1">
      <alignment horizontal="left" indent="1"/>
      <protection hidden="1"/>
    </xf>
    <xf numFmtId="0" fontId="0" fillId="27" borderId="244" xfId="0" applyFill="1" applyBorder="1" applyProtection="1">
      <protection hidden="1"/>
    </xf>
    <xf numFmtId="0" fontId="35" fillId="27" borderId="0" xfId="0" applyFont="1" applyFill="1" applyAlignment="1" applyProtection="1">
      <alignment horizontal="left" vertical="center"/>
      <protection hidden="1"/>
    </xf>
    <xf numFmtId="0" fontId="36" fillId="27" borderId="0" xfId="0" applyFont="1" applyFill="1" applyAlignment="1" applyProtection="1">
      <alignment horizontal="left"/>
      <protection hidden="1"/>
    </xf>
    <xf numFmtId="0" fontId="35" fillId="27" borderId="0" xfId="0" applyFont="1" applyFill="1" applyAlignment="1" applyProtection="1">
      <alignment vertical="center"/>
      <protection hidden="1"/>
    </xf>
    <xf numFmtId="0" fontId="7" fillId="27" borderId="49" xfId="0" applyFont="1" applyFill="1" applyBorder="1" applyAlignment="1" applyProtection="1">
      <alignment horizontal="left" vertical="center" indent="1"/>
      <protection hidden="1"/>
    </xf>
    <xf numFmtId="0" fontId="1" fillId="27" borderId="50" xfId="0" applyFont="1" applyFill="1" applyBorder="1" applyAlignment="1" applyProtection="1">
      <alignment horizontal="left" vertical="center"/>
      <protection hidden="1"/>
    </xf>
    <xf numFmtId="0" fontId="2" fillId="27" borderId="50" xfId="0" applyFont="1" applyFill="1" applyBorder="1" applyAlignment="1" applyProtection="1">
      <alignment horizontal="left" vertical="center"/>
      <protection hidden="1"/>
    </xf>
    <xf numFmtId="0" fontId="7" fillId="27" borderId="52" xfId="0" applyFont="1" applyFill="1" applyBorder="1" applyAlignment="1" applyProtection="1">
      <alignment horizontal="left" vertical="center" indent="1"/>
      <protection hidden="1"/>
    </xf>
    <xf numFmtId="0" fontId="1" fillId="27" borderId="0" xfId="0" applyFont="1" applyFill="1" applyAlignment="1" applyProtection="1">
      <alignment horizontal="left" vertical="center"/>
      <protection hidden="1"/>
    </xf>
    <xf numFmtId="0" fontId="2" fillId="27" borderId="0" xfId="0" applyFont="1" applyFill="1" applyAlignment="1" applyProtection="1">
      <alignment horizontal="left" vertical="center"/>
      <protection hidden="1"/>
    </xf>
    <xf numFmtId="0" fontId="7" fillId="27" borderId="52" xfId="0" applyFont="1" applyFill="1" applyBorder="1" applyAlignment="1" applyProtection="1">
      <alignment horizontal="left" vertical="top" indent="1"/>
      <protection hidden="1"/>
    </xf>
    <xf numFmtId="0" fontId="35" fillId="27" borderId="52" xfId="0" applyFont="1" applyFill="1" applyBorder="1" applyAlignment="1" applyProtection="1">
      <alignment horizontal="left" vertical="center"/>
      <protection hidden="1"/>
    </xf>
    <xf numFmtId="0" fontId="35" fillId="27" borderId="53" xfId="0" applyFont="1" applyFill="1" applyBorder="1" applyAlignment="1" applyProtection="1">
      <alignment vertical="center"/>
      <protection hidden="1"/>
    </xf>
    <xf numFmtId="0" fontId="36" fillId="27" borderId="2" xfId="0" applyFont="1" applyFill="1" applyBorder="1" applyAlignment="1" applyProtection="1">
      <alignment horizontal="left"/>
      <protection hidden="1"/>
    </xf>
    <xf numFmtId="0" fontId="35" fillId="27" borderId="2" xfId="0" applyFont="1" applyFill="1" applyBorder="1" applyAlignment="1" applyProtection="1">
      <alignment horizontal="left" vertical="center"/>
      <protection hidden="1"/>
    </xf>
    <xf numFmtId="0" fontId="35" fillId="27" borderId="2" xfId="0" applyFont="1" applyFill="1" applyBorder="1" applyAlignment="1" applyProtection="1">
      <alignment vertical="center"/>
      <protection hidden="1"/>
    </xf>
    <xf numFmtId="0" fontId="38" fillId="27" borderId="49" xfId="0" applyFont="1" applyFill="1" applyBorder="1" applyProtection="1">
      <protection hidden="1"/>
    </xf>
    <xf numFmtId="0" fontId="35" fillId="27" borderId="241" xfId="0" applyFont="1" applyFill="1" applyBorder="1" applyAlignment="1" applyProtection="1">
      <alignment horizontal="left" vertical="center"/>
      <protection hidden="1"/>
    </xf>
    <xf numFmtId="0" fontId="35" fillId="27" borderId="240" xfId="0" applyFont="1" applyFill="1" applyBorder="1" applyAlignment="1" applyProtection="1">
      <alignment vertical="center"/>
      <protection hidden="1"/>
    </xf>
    <xf numFmtId="0" fontId="0" fillId="0" borderId="52" xfId="0" applyBorder="1" applyProtection="1">
      <protection hidden="1"/>
    </xf>
    <xf numFmtId="0" fontId="1" fillId="27" borderId="0" xfId="0" applyFont="1" applyFill="1" applyAlignment="1" applyProtection="1">
      <alignment horizontal="left"/>
      <protection hidden="1"/>
    </xf>
    <xf numFmtId="0" fontId="2" fillId="27" borderId="0" xfId="0" applyFont="1" applyFill="1" applyAlignment="1" applyProtection="1">
      <alignment horizontal="left"/>
      <protection hidden="1"/>
    </xf>
    <xf numFmtId="0" fontId="7" fillId="27" borderId="52" xfId="0" applyFont="1" applyFill="1" applyBorder="1" applyAlignment="1" applyProtection="1">
      <alignment horizontal="center"/>
      <protection hidden="1"/>
    </xf>
    <xf numFmtId="0" fontId="44" fillId="27" borderId="0" xfId="0" applyFont="1" applyFill="1" applyAlignment="1" applyProtection="1">
      <alignment horizontal="center" vertical="center"/>
      <protection hidden="1"/>
    </xf>
    <xf numFmtId="0" fontId="276" fillId="27" borderId="0" xfId="0" applyFont="1" applyFill="1" applyAlignment="1" applyProtection="1">
      <alignment horizontal="left" vertical="center"/>
      <protection hidden="1"/>
    </xf>
    <xf numFmtId="0" fontId="276" fillId="27" borderId="0" xfId="0" applyFont="1" applyFill="1" applyProtection="1">
      <protection hidden="1"/>
    </xf>
    <xf numFmtId="0" fontId="0" fillId="27" borderId="52" xfId="0" applyFill="1" applyBorder="1" applyAlignment="1" applyProtection="1">
      <alignment vertical="center"/>
      <protection hidden="1"/>
    </xf>
    <xf numFmtId="0" fontId="3" fillId="27" borderId="52" xfId="0" applyFont="1" applyFill="1" applyBorder="1" applyAlignment="1" applyProtection="1">
      <alignment horizontal="left" vertical="center"/>
      <protection hidden="1"/>
    </xf>
    <xf numFmtId="0" fontId="0" fillId="27" borderId="0" xfId="0" applyFill="1" applyAlignment="1" applyProtection="1">
      <alignment vertical="top" wrapText="1"/>
      <protection hidden="1"/>
    </xf>
    <xf numFmtId="0" fontId="44" fillId="27" borderId="0" xfId="0" applyFont="1" applyFill="1" applyAlignment="1" applyProtection="1">
      <alignment horizontal="left" vertical="center"/>
      <protection hidden="1"/>
    </xf>
    <xf numFmtId="0" fontId="0" fillId="27" borderId="49" xfId="0" applyFill="1" applyBorder="1" applyProtection="1">
      <protection hidden="1"/>
    </xf>
    <xf numFmtId="0" fontId="0" fillId="27" borderId="52" xfId="0" applyFill="1" applyBorder="1" applyAlignment="1" applyProtection="1">
      <alignment horizontal="left" vertical="center"/>
      <protection hidden="1"/>
    </xf>
    <xf numFmtId="0" fontId="145" fillId="37" borderId="0" xfId="0" applyFont="1" applyFill="1" applyAlignment="1" applyProtection="1">
      <alignment vertical="center"/>
      <protection hidden="1"/>
    </xf>
    <xf numFmtId="0" fontId="0" fillId="27" borderId="0" xfId="0" applyFill="1" applyAlignment="1" applyProtection="1">
      <alignment horizontal="left" vertical="center"/>
      <protection hidden="1"/>
    </xf>
    <xf numFmtId="0" fontId="275" fillId="27" borderId="50" xfId="0" applyFont="1" applyFill="1" applyBorder="1" applyAlignment="1" applyProtection="1">
      <alignment horizontal="left" indent="1"/>
      <protection hidden="1"/>
    </xf>
    <xf numFmtId="0" fontId="275" fillId="27" borderId="50" xfId="0" applyFont="1" applyFill="1" applyBorder="1" applyProtection="1">
      <protection hidden="1"/>
    </xf>
    <xf numFmtId="0" fontId="275" fillId="27" borderId="0" xfId="0" applyFont="1" applyFill="1" applyAlignment="1" applyProtection="1">
      <alignment horizontal="left" vertical="center"/>
      <protection hidden="1"/>
    </xf>
    <xf numFmtId="0" fontId="44" fillId="0" borderId="0" xfId="0" applyFont="1" applyAlignment="1" applyProtection="1">
      <alignment vertical="top"/>
      <protection hidden="1"/>
    </xf>
    <xf numFmtId="0" fontId="44" fillId="27" borderId="0" xfId="0" applyFont="1" applyFill="1" applyAlignment="1" applyProtection="1">
      <alignment horizontal="left" vertical="top" indent="1"/>
      <protection hidden="1"/>
    </xf>
    <xf numFmtId="0" fontId="44" fillId="27" borderId="0" xfId="0" applyFont="1" applyFill="1" applyAlignment="1" applyProtection="1">
      <alignment horizontal="left" vertical="top"/>
      <protection hidden="1"/>
    </xf>
    <xf numFmtId="0" fontId="44" fillId="27" borderId="53" xfId="0" applyFont="1" applyFill="1" applyBorder="1" applyAlignment="1" applyProtection="1">
      <alignment horizontal="left" vertical="top"/>
      <protection hidden="1"/>
    </xf>
    <xf numFmtId="0" fontId="44" fillId="27" borderId="56" xfId="0" applyFont="1" applyFill="1" applyBorder="1" applyAlignment="1" applyProtection="1">
      <alignment horizontal="left" vertical="top" indent="1"/>
      <protection hidden="1"/>
    </xf>
    <xf numFmtId="0" fontId="44" fillId="27" borderId="56" xfId="0" applyFont="1" applyFill="1" applyBorder="1" applyAlignment="1" applyProtection="1">
      <alignment horizontal="left" vertical="top"/>
      <protection hidden="1"/>
    </xf>
    <xf numFmtId="0" fontId="44" fillId="27" borderId="57" xfId="0" applyFont="1" applyFill="1" applyBorder="1" applyAlignment="1" applyProtection="1">
      <alignment horizontal="left" vertical="top"/>
      <protection hidden="1"/>
    </xf>
    <xf numFmtId="0" fontId="276" fillId="27" borderId="50" xfId="0" applyFont="1" applyFill="1" applyBorder="1" applyProtection="1">
      <protection hidden="1"/>
    </xf>
    <xf numFmtId="0" fontId="44" fillId="27" borderId="52" xfId="0" applyFont="1" applyFill="1" applyBorder="1" applyProtection="1">
      <protection hidden="1"/>
    </xf>
    <xf numFmtId="0" fontId="61" fillId="27" borderId="53" xfId="0" applyFont="1" applyFill="1" applyBorder="1" applyProtection="1">
      <protection hidden="1"/>
    </xf>
    <xf numFmtId="0" fontId="61" fillId="37" borderId="0" xfId="0" applyFont="1" applyFill="1" applyProtection="1">
      <protection hidden="1"/>
    </xf>
    <xf numFmtId="0" fontId="278" fillId="27" borderId="0" xfId="0" applyFont="1" applyFill="1" applyProtection="1">
      <protection hidden="1"/>
    </xf>
    <xf numFmtId="0" fontId="38" fillId="27" borderId="52" xfId="0" applyFont="1" applyFill="1" applyBorder="1" applyProtection="1">
      <protection hidden="1"/>
    </xf>
    <xf numFmtId="0" fontId="275" fillId="27" borderId="0" xfId="0" applyFont="1" applyFill="1" applyProtection="1">
      <protection hidden="1"/>
    </xf>
    <xf numFmtId="0" fontId="7" fillId="41" borderId="0" xfId="0" applyFont="1" applyFill="1" applyAlignment="1" applyProtection="1">
      <alignment horizontal="left" vertical="center" indent="1"/>
      <protection hidden="1"/>
    </xf>
    <xf numFmtId="0" fontId="281" fillId="0" borderId="0" xfId="0" applyFont="1" applyAlignment="1" applyProtection="1">
      <alignment vertical="center"/>
      <protection hidden="1"/>
    </xf>
    <xf numFmtId="0" fontId="282" fillId="0" borderId="0" xfId="0" applyFont="1" applyAlignment="1" applyProtection="1">
      <alignment horizontal="left" vertical="center" indent="1"/>
      <protection hidden="1"/>
    </xf>
    <xf numFmtId="0" fontId="282" fillId="0" borderId="0" xfId="0" applyFont="1" applyAlignment="1" applyProtection="1">
      <alignment horizontal="left" vertical="center"/>
      <protection hidden="1"/>
    </xf>
    <xf numFmtId="0" fontId="54" fillId="27" borderId="56" xfId="0" applyFont="1" applyFill="1" applyBorder="1" applyAlignment="1" applyProtection="1">
      <alignment vertical="top" wrapText="1"/>
      <protection hidden="1"/>
    </xf>
    <xf numFmtId="0" fontId="283" fillId="4" borderId="0" xfId="0" applyFont="1" applyFill="1" applyAlignment="1" applyProtection="1">
      <alignment horizontal="left" vertical="top"/>
      <protection hidden="1"/>
    </xf>
    <xf numFmtId="0" fontId="279" fillId="27" borderId="0" xfId="0" applyFont="1" applyFill="1" applyAlignment="1" applyProtection="1">
      <alignment horizontal="left" vertical="center"/>
      <protection hidden="1"/>
    </xf>
    <xf numFmtId="0" fontId="9" fillId="27" borderId="0" xfId="0" applyFont="1" applyFill="1" applyAlignment="1" applyProtection="1">
      <alignment horizontal="left" vertical="center"/>
      <protection hidden="1"/>
    </xf>
    <xf numFmtId="0" fontId="0" fillId="27" borderId="52" xfId="0" applyFill="1" applyBorder="1" applyAlignment="1" applyProtection="1">
      <alignment horizontal="left" indent="2"/>
      <protection hidden="1"/>
    </xf>
    <xf numFmtId="0" fontId="44" fillId="27" borderId="0" xfId="0" applyFont="1" applyFill="1" applyAlignment="1" applyProtection="1">
      <alignment horizontal="left" indent="3"/>
      <protection hidden="1"/>
    </xf>
    <xf numFmtId="0" fontId="0" fillId="27" borderId="52" xfId="0" applyFill="1" applyBorder="1" applyAlignment="1" applyProtection="1">
      <alignment horizontal="left" vertical="top" indent="2"/>
      <protection hidden="1"/>
    </xf>
    <xf numFmtId="0" fontId="44" fillId="27" borderId="0" xfId="0" applyFont="1" applyFill="1" applyAlignment="1" applyProtection="1">
      <alignment vertical="top"/>
      <protection hidden="1"/>
    </xf>
    <xf numFmtId="0" fontId="44" fillId="27" borderId="0" xfId="0" applyFont="1" applyFill="1" applyProtection="1">
      <protection hidden="1"/>
    </xf>
    <xf numFmtId="0" fontId="285" fillId="48" borderId="0" xfId="0" applyFont="1" applyFill="1" applyAlignment="1" applyProtection="1">
      <alignment vertical="center"/>
      <protection hidden="1"/>
    </xf>
    <xf numFmtId="0" fontId="286" fillId="48" borderId="0" xfId="0" applyFont="1" applyFill="1" applyAlignment="1" applyProtection="1">
      <alignment vertical="center" wrapText="1"/>
      <protection hidden="1"/>
    </xf>
    <xf numFmtId="0" fontId="286" fillId="48" borderId="56" xfId="0" applyFont="1" applyFill="1" applyBorder="1" applyAlignment="1" applyProtection="1">
      <alignment vertical="center" wrapText="1"/>
      <protection hidden="1"/>
    </xf>
    <xf numFmtId="0" fontId="145" fillId="27" borderId="0" xfId="0" applyFont="1" applyFill="1" applyAlignment="1" applyProtection="1">
      <alignment horizontal="left"/>
      <protection hidden="1"/>
    </xf>
    <xf numFmtId="0" fontId="159" fillId="4" borderId="0" xfId="1" applyFont="1" applyFill="1" applyBorder="1" applyAlignment="1" applyProtection="1">
      <alignment horizontal="right" vertical="center" wrapText="1" indent="1"/>
      <protection hidden="1"/>
    </xf>
    <xf numFmtId="0" fontId="6" fillId="4" borderId="7" xfId="0" applyFont="1" applyFill="1" applyBorder="1" applyAlignment="1" applyProtection="1">
      <alignment horizontal="right" vertical="center" indent="1"/>
      <protection hidden="1"/>
    </xf>
    <xf numFmtId="0" fontId="6" fillId="4" borderId="46" xfId="0" applyFont="1" applyFill="1" applyBorder="1" applyAlignment="1" applyProtection="1">
      <alignment horizontal="right" vertical="center" indent="1"/>
      <protection hidden="1"/>
    </xf>
    <xf numFmtId="0" fontId="6" fillId="4" borderId="0" xfId="0" applyFont="1" applyFill="1" applyAlignment="1" applyProtection="1">
      <alignment horizontal="left" vertical="center" indent="1"/>
      <protection hidden="1"/>
    </xf>
    <xf numFmtId="0" fontId="6" fillId="4" borderId="4" xfId="0" applyFont="1" applyFill="1" applyBorder="1" applyAlignment="1" applyProtection="1">
      <alignment horizontal="right" vertical="center" indent="1"/>
      <protection hidden="1"/>
    </xf>
    <xf numFmtId="0" fontId="6" fillId="4" borderId="8" xfId="0" applyFont="1" applyFill="1" applyBorder="1" applyAlignment="1" applyProtection="1">
      <alignment horizontal="right" vertical="center" indent="1"/>
      <protection hidden="1"/>
    </xf>
    <xf numFmtId="0" fontId="6" fillId="4" borderId="5" xfId="0" applyFont="1" applyFill="1" applyBorder="1" applyAlignment="1" applyProtection="1">
      <alignment horizontal="right" vertical="center" indent="1"/>
      <protection hidden="1"/>
    </xf>
    <xf numFmtId="0" fontId="3" fillId="4" borderId="3" xfId="0" applyFont="1" applyFill="1" applyBorder="1" applyAlignment="1" applyProtection="1">
      <alignment vertical="center" wrapText="1"/>
      <protection hidden="1"/>
    </xf>
    <xf numFmtId="0" fontId="5" fillId="4" borderId="0" xfId="0" applyFont="1" applyFill="1" applyAlignment="1" applyProtection="1">
      <alignment horizontal="right" vertical="center" indent="1"/>
      <protection hidden="1"/>
    </xf>
    <xf numFmtId="0" fontId="160" fillId="4" borderId="0" xfId="0" applyFont="1" applyFill="1" applyAlignment="1" applyProtection="1">
      <alignment horizontal="left" vertical="center"/>
      <protection hidden="1"/>
    </xf>
    <xf numFmtId="0" fontId="10" fillId="8" borderId="1" xfId="0" applyFont="1" applyFill="1" applyBorder="1" applyAlignment="1" applyProtection="1">
      <alignment horizontal="left" vertical="center"/>
      <protection hidden="1"/>
    </xf>
    <xf numFmtId="0" fontId="10" fillId="55" borderId="1" xfId="0" applyFont="1" applyFill="1" applyBorder="1" applyAlignment="1" applyProtection="1">
      <alignment horizontal="left" vertical="center"/>
      <protection hidden="1"/>
    </xf>
    <xf numFmtId="0" fontId="48" fillId="0" borderId="251" xfId="0" applyFont="1" applyBorder="1" applyAlignment="1" applyProtection="1">
      <alignment horizontal="left" vertical="center" wrapText="1" indent="1"/>
      <protection hidden="1"/>
    </xf>
    <xf numFmtId="0" fontId="128" fillId="0" borderId="143" xfId="0" applyFont="1" applyBorder="1" applyAlignment="1" applyProtection="1">
      <alignment horizontal="left" vertical="center" indent="2"/>
      <protection hidden="1"/>
    </xf>
    <xf numFmtId="0" fontId="128" fillId="0" borderId="170" xfId="0" applyFont="1" applyBorder="1" applyAlignment="1" applyProtection="1">
      <alignment horizontal="left" vertical="center" indent="2"/>
      <protection hidden="1"/>
    </xf>
    <xf numFmtId="0" fontId="83" fillId="0" borderId="0" xfId="0" applyFont="1" applyAlignment="1" applyProtection="1">
      <alignment horizontal="left" vertical="top" indent="2"/>
      <protection hidden="1"/>
    </xf>
    <xf numFmtId="0" fontId="43" fillId="18" borderId="0" xfId="0" applyFont="1" applyFill="1" applyAlignment="1" applyProtection="1">
      <alignment horizontal="left" vertical="center" indent="1"/>
      <protection hidden="1"/>
    </xf>
    <xf numFmtId="0" fontId="43" fillId="17" borderId="0" xfId="0" applyFont="1" applyFill="1" applyAlignment="1" applyProtection="1">
      <alignment horizontal="left" vertical="center" indent="1"/>
      <protection hidden="1"/>
    </xf>
    <xf numFmtId="0" fontId="43" fillId="16" borderId="0" xfId="0" applyFont="1" applyFill="1" applyAlignment="1" applyProtection="1">
      <alignment horizontal="left" vertical="center" indent="1"/>
      <protection hidden="1"/>
    </xf>
    <xf numFmtId="0" fontId="43" fillId="15" borderId="0" xfId="0" applyFont="1" applyFill="1" applyAlignment="1" applyProtection="1">
      <alignment horizontal="left" vertical="center" indent="1"/>
      <protection hidden="1"/>
    </xf>
    <xf numFmtId="0" fontId="43" fillId="13" borderId="10" xfId="0" applyFont="1" applyFill="1" applyBorder="1" applyAlignment="1" applyProtection="1">
      <alignment horizontal="left" vertical="center" indent="1"/>
      <protection hidden="1"/>
    </xf>
    <xf numFmtId="0" fontId="283" fillId="4" borderId="0" xfId="0" applyFont="1" applyFill="1" applyAlignment="1" applyProtection="1">
      <alignment horizontal="left"/>
      <protection hidden="1"/>
    </xf>
    <xf numFmtId="0" fontId="287" fillId="5" borderId="0" xfId="0" applyFont="1" applyFill="1" applyAlignment="1" applyProtection="1">
      <alignment horizontal="left" indent="1"/>
      <protection hidden="1"/>
    </xf>
    <xf numFmtId="0" fontId="287" fillId="5" borderId="0" xfId="0" applyFont="1" applyFill="1" applyAlignment="1" applyProtection="1">
      <alignment horizontal="left" vertical="center" indent="1"/>
      <protection hidden="1"/>
    </xf>
    <xf numFmtId="0" fontId="288" fillId="5" borderId="0" xfId="0" applyFont="1" applyFill="1" applyAlignment="1" applyProtection="1">
      <alignment vertical="center"/>
      <protection hidden="1"/>
    </xf>
    <xf numFmtId="0" fontId="283" fillId="5" borderId="0" xfId="0" applyFont="1" applyFill="1" applyAlignment="1" applyProtection="1">
      <alignment horizontal="left" vertical="center" indent="1"/>
      <protection hidden="1"/>
    </xf>
    <xf numFmtId="0" fontId="283" fillId="5" borderId="0" xfId="0" applyFont="1" applyFill="1" applyAlignment="1" applyProtection="1">
      <alignment horizontal="left" indent="1"/>
      <protection hidden="1"/>
    </xf>
    <xf numFmtId="0" fontId="17" fillId="5" borderId="0" xfId="0" applyFont="1" applyFill="1" applyAlignment="1" applyProtection="1">
      <alignment vertical="center"/>
      <protection hidden="1"/>
    </xf>
    <xf numFmtId="0" fontId="17" fillId="5" borderId="351" xfId="0" applyFont="1" applyFill="1" applyBorder="1" applyAlignment="1" applyProtection="1">
      <alignment vertical="center"/>
      <protection hidden="1"/>
    </xf>
    <xf numFmtId="0" fontId="289" fillId="5" borderId="0" xfId="0" applyFont="1" applyFill="1" applyAlignment="1" applyProtection="1">
      <alignment horizontal="left" vertical="top" indent="1"/>
      <protection hidden="1"/>
    </xf>
    <xf numFmtId="0" fontId="283" fillId="5" borderId="0" xfId="0" applyFont="1" applyFill="1" applyAlignment="1" applyProtection="1">
      <alignment horizontal="left" vertical="top"/>
      <protection hidden="1"/>
    </xf>
    <xf numFmtId="0" fontId="289" fillId="5" borderId="0" xfId="0" applyFont="1" applyFill="1" applyAlignment="1" applyProtection="1">
      <alignment horizontal="right" vertical="center" indent="1"/>
      <protection hidden="1"/>
    </xf>
    <xf numFmtId="0" fontId="289" fillId="5" borderId="0" xfId="0" applyFont="1" applyFill="1" applyAlignment="1" applyProtection="1">
      <alignment horizontal="left" vertical="center" indent="1"/>
      <protection hidden="1"/>
    </xf>
    <xf numFmtId="0" fontId="290" fillId="4" borderId="0" xfId="0" applyFont="1" applyFill="1" applyProtection="1">
      <protection hidden="1"/>
    </xf>
    <xf numFmtId="167" fontId="290" fillId="4" borderId="0" xfId="0" applyNumberFormat="1" applyFont="1" applyFill="1" applyProtection="1">
      <protection hidden="1"/>
    </xf>
    <xf numFmtId="168" fontId="290" fillId="4" borderId="0" xfId="0" applyNumberFormat="1" applyFont="1" applyFill="1" applyProtection="1">
      <protection hidden="1"/>
    </xf>
    <xf numFmtId="167" fontId="283" fillId="4" borderId="0" xfId="0" applyNumberFormat="1" applyFont="1" applyFill="1" applyProtection="1">
      <protection hidden="1"/>
    </xf>
    <xf numFmtId="167" fontId="0" fillId="0" borderId="0" xfId="0" applyNumberFormat="1" applyProtection="1">
      <protection hidden="1"/>
    </xf>
    <xf numFmtId="167" fontId="98" fillId="0" borderId="0" xfId="0" applyNumberFormat="1" applyFont="1" applyAlignment="1" applyProtection="1">
      <alignment vertical="top"/>
      <protection hidden="1"/>
    </xf>
    <xf numFmtId="0" fontId="168" fillId="0" borderId="0" xfId="0" applyFont="1" applyProtection="1">
      <protection hidden="1"/>
    </xf>
    <xf numFmtId="167" fontId="177" fillId="0" borderId="0" xfId="0" applyNumberFormat="1" applyFont="1" applyAlignment="1" applyProtection="1">
      <alignment vertical="top"/>
      <protection hidden="1"/>
    </xf>
    <xf numFmtId="167" fontId="178" fillId="0" borderId="0" xfId="0" applyNumberFormat="1" applyFont="1" applyAlignment="1" applyProtection="1">
      <alignment vertical="top"/>
      <protection hidden="1"/>
    </xf>
    <xf numFmtId="167" fontId="179" fillId="0" borderId="0" xfId="0" applyNumberFormat="1" applyFont="1" applyAlignment="1" applyProtection="1">
      <alignment vertical="top"/>
      <protection hidden="1"/>
    </xf>
    <xf numFmtId="167" fontId="180" fillId="0" borderId="0" xfId="0" applyNumberFormat="1" applyFont="1" applyAlignment="1" applyProtection="1">
      <alignment vertical="top"/>
      <protection hidden="1"/>
    </xf>
    <xf numFmtId="0" fontId="79" fillId="4" borderId="23" xfId="0" applyFont="1" applyFill="1" applyBorder="1" applyAlignment="1" applyProtection="1">
      <alignment vertical="center" wrapText="1"/>
      <protection hidden="1"/>
    </xf>
    <xf numFmtId="0" fontId="0" fillId="0" borderId="170" xfId="0" applyBorder="1" applyAlignment="1" applyProtection="1">
      <alignment vertical="top"/>
      <protection hidden="1"/>
    </xf>
    <xf numFmtId="0" fontId="71" fillId="4" borderId="170" xfId="0" applyFont="1" applyFill="1" applyBorder="1" applyAlignment="1" applyProtection="1">
      <alignment vertical="top"/>
      <protection hidden="1"/>
    </xf>
    <xf numFmtId="0" fontId="14" fillId="4" borderId="170" xfId="0" applyFont="1" applyFill="1" applyBorder="1" applyAlignment="1" applyProtection="1">
      <alignment horizontal="left" vertical="top"/>
      <protection hidden="1"/>
    </xf>
    <xf numFmtId="0" fontId="70" fillId="4" borderId="170" xfId="0" applyFont="1" applyFill="1" applyBorder="1" applyAlignment="1" applyProtection="1">
      <alignment horizontal="left" vertical="top"/>
      <protection hidden="1"/>
    </xf>
    <xf numFmtId="0" fontId="128" fillId="0" borderId="170" xfId="0" applyFont="1" applyBorder="1" applyAlignment="1" applyProtection="1">
      <alignment vertical="top"/>
      <protection hidden="1"/>
    </xf>
    <xf numFmtId="0" fontId="129" fillId="0" borderId="253" xfId="0" applyFont="1" applyBorder="1" applyAlignment="1" applyProtection="1">
      <alignment vertical="top"/>
      <protection hidden="1"/>
    </xf>
    <xf numFmtId="0" fontId="128" fillId="0" borderId="253" xfId="0" applyFont="1" applyBorder="1" applyAlignment="1" applyProtection="1">
      <alignment horizontal="left" vertical="top"/>
      <protection hidden="1"/>
    </xf>
    <xf numFmtId="0" fontId="128" fillId="0" borderId="257" xfId="0" applyFont="1" applyBorder="1" applyAlignment="1" applyProtection="1">
      <alignment horizontal="left" vertical="center" indent="2"/>
      <protection hidden="1"/>
    </xf>
    <xf numFmtId="0" fontId="15" fillId="4" borderId="258" xfId="0" applyFont="1" applyFill="1" applyBorder="1" applyAlignment="1" applyProtection="1">
      <alignment horizontal="left" vertical="center" indent="1"/>
      <protection hidden="1"/>
    </xf>
    <xf numFmtId="0" fontId="15" fillId="4" borderId="253" xfId="0" applyFont="1" applyFill="1" applyBorder="1" applyAlignment="1" applyProtection="1">
      <alignment horizontal="left" vertical="center" indent="1"/>
      <protection hidden="1"/>
    </xf>
    <xf numFmtId="0" fontId="128" fillId="0" borderId="258" xfId="0" applyFont="1" applyBorder="1" applyAlignment="1" applyProtection="1">
      <alignment horizontal="left" vertical="center" indent="2"/>
      <protection hidden="1"/>
    </xf>
    <xf numFmtId="0" fontId="14" fillId="4" borderId="257" xfId="0" applyFont="1" applyFill="1" applyBorder="1" applyAlignment="1" applyProtection="1">
      <alignment horizontal="left" vertical="center" indent="1"/>
      <protection hidden="1"/>
    </xf>
    <xf numFmtId="0" fontId="79" fillId="4" borderId="0" xfId="0" applyFont="1" applyFill="1" applyAlignment="1" applyProtection="1">
      <alignment vertical="top" wrapText="1"/>
      <protection hidden="1"/>
    </xf>
    <xf numFmtId="0" fontId="79" fillId="4" borderId="23" xfId="0" applyFont="1" applyFill="1" applyBorder="1" applyAlignment="1" applyProtection="1">
      <alignment vertical="top" wrapText="1"/>
      <protection hidden="1"/>
    </xf>
    <xf numFmtId="0" fontId="15" fillId="4" borderId="350" xfId="0" applyFont="1" applyFill="1" applyBorder="1" applyAlignment="1" applyProtection="1">
      <alignment horizontal="left" indent="2"/>
      <protection hidden="1"/>
    </xf>
    <xf numFmtId="0" fontId="14" fillId="4" borderId="350" xfId="0" applyFont="1" applyFill="1" applyBorder="1" applyProtection="1">
      <protection hidden="1"/>
    </xf>
    <xf numFmtId="0" fontId="0" fillId="0" borderId="350" xfId="0" applyBorder="1" applyProtection="1">
      <protection hidden="1"/>
    </xf>
    <xf numFmtId="0" fontId="0" fillId="0" borderId="352" xfId="0" applyBorder="1" applyProtection="1">
      <protection hidden="1"/>
    </xf>
    <xf numFmtId="0" fontId="14" fillId="4" borderId="353" xfId="0" applyFont="1" applyFill="1" applyBorder="1" applyProtection="1">
      <protection hidden="1"/>
    </xf>
    <xf numFmtId="0" fontId="87" fillId="4" borderId="0" xfId="0" applyFont="1" applyFill="1" applyAlignment="1" applyProtection="1">
      <alignment horizontal="right"/>
      <protection hidden="1"/>
    </xf>
    <xf numFmtId="0" fontId="186" fillId="4" borderId="0" xfId="0" applyFont="1" applyFill="1" applyAlignment="1" applyProtection="1">
      <alignment horizontal="left" vertical="center" indent="1"/>
      <protection hidden="1"/>
    </xf>
    <xf numFmtId="0" fontId="79" fillId="4" borderId="0" xfId="0" applyFont="1" applyFill="1" applyAlignment="1" applyProtection="1">
      <alignment vertical="center" wrapText="1"/>
      <protection hidden="1"/>
    </xf>
    <xf numFmtId="167" fontId="293" fillId="4" borderId="0" xfId="0" applyNumberFormat="1" applyFont="1" applyFill="1" applyProtection="1">
      <protection hidden="1"/>
    </xf>
    <xf numFmtId="167" fontId="214" fillId="4" borderId="0" xfId="0" applyNumberFormat="1" applyFont="1" applyFill="1" applyAlignment="1" applyProtection="1">
      <alignment horizontal="right" vertical="top"/>
      <protection hidden="1"/>
    </xf>
    <xf numFmtId="0" fontId="70" fillId="4" borderId="0" xfId="0" applyFont="1" applyFill="1" applyAlignment="1" applyProtection="1">
      <alignment vertical="top"/>
      <protection hidden="1"/>
    </xf>
    <xf numFmtId="167" fontId="294" fillId="4" borderId="0" xfId="0" applyNumberFormat="1" applyFont="1" applyFill="1" applyAlignment="1" applyProtection="1">
      <alignment horizontal="right" vertical="center"/>
      <protection hidden="1"/>
    </xf>
    <xf numFmtId="0" fontId="295" fillId="4" borderId="0" xfId="0" applyFont="1" applyFill="1" applyAlignment="1" applyProtection="1">
      <alignment vertical="center"/>
      <protection hidden="1"/>
    </xf>
    <xf numFmtId="167" fontId="296" fillId="4" borderId="0" xfId="0" applyNumberFormat="1" applyFont="1" applyFill="1" applyAlignment="1" applyProtection="1">
      <alignment horizontal="right" vertical="top"/>
      <protection hidden="1"/>
    </xf>
    <xf numFmtId="0" fontId="12" fillId="4" borderId="354" xfId="0" applyFont="1" applyFill="1" applyBorder="1" applyProtection="1">
      <protection hidden="1"/>
    </xf>
    <xf numFmtId="0" fontId="297" fillId="4" borderId="0" xfId="0" applyFont="1" applyFill="1" applyAlignment="1" applyProtection="1">
      <alignment horizontal="right" indent="1"/>
      <protection hidden="1"/>
    </xf>
    <xf numFmtId="0" fontId="297" fillId="4" borderId="0" xfId="0" applyFont="1" applyFill="1" applyAlignment="1" applyProtection="1">
      <alignment horizontal="right"/>
      <protection hidden="1"/>
    </xf>
    <xf numFmtId="0" fontId="30" fillId="4" borderId="23" xfId="0" applyFont="1" applyFill="1" applyBorder="1" applyProtection="1">
      <protection hidden="1"/>
    </xf>
    <xf numFmtId="0" fontId="0" fillId="58" borderId="0" xfId="0" applyFill="1" applyProtection="1">
      <protection hidden="1"/>
    </xf>
    <xf numFmtId="0" fontId="0" fillId="58" borderId="355" xfId="0" applyFill="1" applyBorder="1" applyProtection="1">
      <protection hidden="1"/>
    </xf>
    <xf numFmtId="0" fontId="79" fillId="4" borderId="355" xfId="0" applyFont="1" applyFill="1" applyBorder="1" applyAlignment="1" applyProtection="1">
      <alignment vertical="top" wrapText="1"/>
      <protection hidden="1"/>
    </xf>
    <xf numFmtId="0" fontId="13" fillId="4" borderId="355" xfId="0" applyFont="1" applyFill="1" applyBorder="1" applyAlignment="1" applyProtection="1">
      <alignment vertical="top"/>
      <protection hidden="1"/>
    </xf>
    <xf numFmtId="0" fontId="0" fillId="59" borderId="0" xfId="0" applyFill="1" applyProtection="1">
      <protection hidden="1"/>
    </xf>
    <xf numFmtId="0" fontId="0" fillId="59" borderId="356" xfId="0" applyFill="1" applyBorder="1" applyProtection="1">
      <protection hidden="1"/>
    </xf>
    <xf numFmtId="0" fontId="79" fillId="4" borderId="356" xfId="0" applyFont="1" applyFill="1" applyBorder="1" applyAlignment="1" applyProtection="1">
      <alignment vertical="top" wrapText="1"/>
      <protection hidden="1"/>
    </xf>
    <xf numFmtId="0" fontId="0" fillId="60" borderId="0" xfId="0" applyFill="1" applyProtection="1">
      <protection hidden="1"/>
    </xf>
    <xf numFmtId="0" fontId="0" fillId="60" borderId="357" xfId="0" applyFill="1" applyBorder="1" applyProtection="1">
      <protection hidden="1"/>
    </xf>
    <xf numFmtId="0" fontId="79" fillId="4" borderId="357" xfId="0" applyFont="1" applyFill="1" applyBorder="1" applyAlignment="1" applyProtection="1">
      <alignment vertical="top" wrapText="1"/>
      <protection hidden="1"/>
    </xf>
    <xf numFmtId="0" fontId="12" fillId="4" borderId="0" xfId="0" applyFont="1" applyFill="1" applyAlignment="1" applyProtection="1">
      <alignment horizontal="center"/>
      <protection hidden="1"/>
    </xf>
    <xf numFmtId="0" fontId="129" fillId="0" borderId="170" xfId="0" applyFont="1" applyBorder="1" applyAlignment="1" applyProtection="1">
      <alignment vertical="top"/>
      <protection hidden="1"/>
    </xf>
    <xf numFmtId="0" fontId="129" fillId="0" borderId="143" xfId="0" applyFont="1" applyBorder="1" applyProtection="1">
      <protection hidden="1"/>
    </xf>
    <xf numFmtId="0" fontId="129" fillId="0" borderId="257" xfId="0" applyFont="1" applyBorder="1" applyProtection="1">
      <protection hidden="1"/>
    </xf>
    <xf numFmtId="0" fontId="128" fillId="0" borderId="170" xfId="0" applyFont="1" applyBorder="1" applyAlignment="1" applyProtection="1">
      <alignment horizontal="left" vertical="top"/>
      <protection hidden="1"/>
    </xf>
    <xf numFmtId="0" fontId="128" fillId="0" borderId="257" xfId="0" applyFont="1" applyBorder="1" applyAlignment="1" applyProtection="1">
      <alignment horizontal="left"/>
      <protection hidden="1"/>
    </xf>
    <xf numFmtId="0" fontId="48" fillId="0" borderId="251" xfId="0" applyFont="1" applyBorder="1" applyAlignment="1" applyProtection="1">
      <alignment horizontal="left" vertical="center" wrapText="1" indent="2"/>
      <protection hidden="1"/>
    </xf>
    <xf numFmtId="0" fontId="310" fillId="0" borderId="22" xfId="0" applyFont="1" applyBorder="1" applyAlignment="1" applyProtection="1">
      <alignment horizontal="left" vertical="top" indent="2"/>
      <protection hidden="1"/>
    </xf>
    <xf numFmtId="0" fontId="310" fillId="0" borderId="0" xfId="0" applyFont="1" applyAlignment="1" applyProtection="1">
      <alignment horizontal="left" vertical="top" indent="1"/>
      <protection hidden="1"/>
    </xf>
    <xf numFmtId="167" fontId="192" fillId="0" borderId="0" xfId="0" applyNumberFormat="1" applyFont="1" applyAlignment="1" applyProtection="1">
      <alignment horizontal="right" vertical="top"/>
      <protection hidden="1"/>
    </xf>
    <xf numFmtId="167" fontId="198" fillId="0" borderId="0" xfId="0" applyNumberFormat="1" applyFont="1" applyAlignment="1" applyProtection="1">
      <alignment horizontal="right" vertical="top"/>
      <protection hidden="1"/>
    </xf>
    <xf numFmtId="167" fontId="195" fillId="0" borderId="0" xfId="0" applyNumberFormat="1" applyFont="1" applyAlignment="1" applyProtection="1">
      <alignment horizontal="right" vertical="top"/>
      <protection hidden="1"/>
    </xf>
    <xf numFmtId="167" fontId="193" fillId="0" borderId="0" xfId="0" applyNumberFormat="1" applyFont="1" applyAlignment="1" applyProtection="1">
      <alignment horizontal="right" vertical="top"/>
      <protection hidden="1"/>
    </xf>
    <xf numFmtId="167" fontId="194" fillId="0" borderId="0" xfId="0" applyNumberFormat="1" applyFont="1" applyAlignment="1" applyProtection="1">
      <alignment horizontal="right" vertical="top"/>
      <protection hidden="1"/>
    </xf>
    <xf numFmtId="167" fontId="176" fillId="0" borderId="0" xfId="0" applyNumberFormat="1" applyFont="1" applyAlignment="1" applyProtection="1">
      <alignment horizontal="right" vertical="top"/>
      <protection hidden="1"/>
    </xf>
    <xf numFmtId="164" fontId="97" fillId="0" borderId="0" xfId="0" applyNumberFormat="1" applyFont="1" applyAlignment="1" applyProtection="1">
      <alignment vertical="top"/>
      <protection hidden="1"/>
    </xf>
    <xf numFmtId="167" fontId="18" fillId="0" borderId="0" xfId="0" applyNumberFormat="1" applyFont="1" applyAlignment="1" applyProtection="1">
      <alignment vertical="center"/>
      <protection hidden="1"/>
    </xf>
    <xf numFmtId="0" fontId="9" fillId="0" borderId="0" xfId="0" applyFont="1" applyAlignment="1" applyProtection="1">
      <alignment horizontal="right"/>
      <protection hidden="1"/>
    </xf>
    <xf numFmtId="167" fontId="44" fillId="0" borderId="0" xfId="0" applyNumberFormat="1" applyFont="1" applyAlignment="1" applyProtection="1">
      <alignment horizontal="left"/>
      <protection hidden="1"/>
    </xf>
    <xf numFmtId="167" fontId="44" fillId="0" borderId="0" xfId="0" applyNumberFormat="1" applyFont="1" applyAlignment="1" applyProtection="1">
      <alignment horizontal="right"/>
      <protection hidden="1"/>
    </xf>
    <xf numFmtId="167" fontId="44" fillId="0" borderId="0" xfId="0" applyNumberFormat="1" applyFont="1" applyProtection="1">
      <protection hidden="1"/>
    </xf>
    <xf numFmtId="164" fontId="44" fillId="0" borderId="0" xfId="0" applyNumberFormat="1" applyFont="1" applyProtection="1">
      <protection hidden="1"/>
    </xf>
    <xf numFmtId="0" fontId="0" fillId="0" borderId="3" xfId="0" applyBorder="1" applyAlignment="1" applyProtection="1">
      <alignment horizontal="right" vertical="center"/>
      <protection hidden="1"/>
    </xf>
    <xf numFmtId="164" fontId="0" fillId="0" borderId="0" xfId="0" applyNumberFormat="1" applyAlignment="1" applyProtection="1">
      <alignment vertical="center"/>
      <protection hidden="1"/>
    </xf>
    <xf numFmtId="164" fontId="0" fillId="0" borderId="46" xfId="0" applyNumberFormat="1" applyBorder="1" applyAlignment="1" applyProtection="1">
      <alignment vertical="center"/>
      <protection hidden="1"/>
    </xf>
    <xf numFmtId="167" fontId="44" fillId="0" borderId="2" xfId="0" applyNumberFormat="1" applyFont="1" applyBorder="1" applyAlignment="1" applyProtection="1">
      <alignment horizontal="right" vertical="top" wrapText="1"/>
      <protection hidden="1"/>
    </xf>
    <xf numFmtId="167" fontId="44" fillId="0" borderId="54" xfId="0" applyNumberFormat="1" applyFont="1" applyBorder="1" applyAlignment="1" applyProtection="1">
      <alignment horizontal="right" vertical="top" wrapText="1"/>
      <protection hidden="1"/>
    </xf>
    <xf numFmtId="0" fontId="311" fillId="4" borderId="355" xfId="0" applyFont="1" applyFill="1" applyBorder="1" applyAlignment="1" applyProtection="1">
      <alignment vertical="top"/>
      <protection hidden="1"/>
    </xf>
    <xf numFmtId="0" fontId="311" fillId="4" borderId="356" xfId="0" applyFont="1" applyFill="1" applyBorder="1" applyAlignment="1" applyProtection="1">
      <alignment vertical="top"/>
      <protection hidden="1"/>
    </xf>
    <xf numFmtId="0" fontId="0" fillId="0" borderId="0" xfId="0" applyAlignment="1" applyProtection="1">
      <alignment horizontal="right" vertical="center"/>
      <protection hidden="1"/>
    </xf>
    <xf numFmtId="0" fontId="79" fillId="4" borderId="0" xfId="0" applyFont="1" applyFill="1" applyAlignment="1" applyProtection="1">
      <alignment horizontal="right" vertical="center" wrapText="1"/>
      <protection hidden="1"/>
    </xf>
    <xf numFmtId="0" fontId="79" fillId="4" borderId="0" xfId="0" applyFont="1" applyFill="1" applyAlignment="1" applyProtection="1">
      <alignment horizontal="right" vertical="center" wrapText="1" indent="1"/>
      <protection hidden="1"/>
    </xf>
    <xf numFmtId="164" fontId="44" fillId="0" borderId="0" xfId="0" applyNumberFormat="1" applyFont="1" applyAlignment="1" applyProtection="1">
      <alignment vertical="center"/>
      <protection hidden="1"/>
    </xf>
    <xf numFmtId="0" fontId="314" fillId="4" borderId="26" xfId="0" applyFont="1" applyFill="1" applyBorder="1" applyAlignment="1" applyProtection="1">
      <alignment horizontal="right" vertical="center" indent="2"/>
      <protection hidden="1"/>
    </xf>
    <xf numFmtId="164" fontId="44" fillId="0" borderId="8" xfId="0" applyNumberFormat="1" applyFont="1" applyBorder="1" applyAlignment="1" applyProtection="1">
      <alignment horizontal="right" vertical="center" indent="3"/>
      <protection hidden="1"/>
    </xf>
    <xf numFmtId="164" fontId="0" fillId="0" borderId="5" xfId="0" applyNumberFormat="1" applyBorder="1" applyAlignment="1" applyProtection="1">
      <alignment horizontal="right" vertical="center" indent="3"/>
      <protection hidden="1"/>
    </xf>
    <xf numFmtId="164" fontId="44" fillId="0" borderId="2" xfId="0" applyNumberFormat="1" applyFont="1" applyBorder="1" applyAlignment="1" applyProtection="1">
      <alignment vertical="center"/>
      <protection hidden="1"/>
    </xf>
    <xf numFmtId="164" fontId="0" fillId="0" borderId="54" xfId="0" applyNumberFormat="1" applyBorder="1" applyAlignment="1" applyProtection="1">
      <alignment vertical="center"/>
      <protection hidden="1"/>
    </xf>
    <xf numFmtId="167" fontId="98" fillId="0" borderId="0" xfId="0" applyNumberFormat="1" applyFont="1" applyAlignment="1" applyProtection="1">
      <alignment vertical="top" wrapText="1"/>
      <protection hidden="1"/>
    </xf>
    <xf numFmtId="0" fontId="70" fillId="4" borderId="0" xfId="0" applyFont="1" applyFill="1" applyAlignment="1" applyProtection="1">
      <alignment horizontal="right" vertical="center" indent="1"/>
      <protection hidden="1"/>
    </xf>
    <xf numFmtId="0" fontId="10" fillId="4" borderId="14" xfId="0" applyFont="1" applyFill="1" applyBorder="1" applyProtection="1">
      <protection hidden="1"/>
    </xf>
    <xf numFmtId="0" fontId="10" fillId="4" borderId="17" xfId="0" applyFont="1" applyFill="1" applyBorder="1" applyProtection="1">
      <protection hidden="1"/>
    </xf>
    <xf numFmtId="0" fontId="12" fillId="4" borderId="17" xfId="0" applyFont="1" applyFill="1" applyBorder="1" applyProtection="1">
      <protection hidden="1"/>
    </xf>
    <xf numFmtId="0" fontId="10" fillId="4" borderId="15" xfId="0" applyFont="1" applyFill="1" applyBorder="1" applyProtection="1">
      <protection hidden="1"/>
    </xf>
    <xf numFmtId="0" fontId="13" fillId="4" borderId="0" xfId="0" applyFont="1" applyFill="1" applyAlignment="1" applyProtection="1">
      <alignment horizontal="right"/>
      <protection hidden="1"/>
    </xf>
    <xf numFmtId="167" fontId="84" fillId="0" borderId="0" xfId="0" applyNumberFormat="1" applyFont="1" applyAlignment="1">
      <alignment vertical="center" wrapText="1"/>
    </xf>
    <xf numFmtId="0" fontId="87" fillId="0" borderId="0" xfId="0" applyFont="1" applyAlignment="1" applyProtection="1">
      <alignment horizontal="left" vertical="top"/>
      <protection hidden="1"/>
    </xf>
    <xf numFmtId="0" fontId="33" fillId="4" borderId="0" xfId="0" applyFont="1" applyFill="1" applyAlignment="1" applyProtection="1">
      <alignment horizontal="left"/>
      <protection hidden="1"/>
    </xf>
    <xf numFmtId="167" fontId="241" fillId="0" borderId="0" xfId="0" applyNumberFormat="1" applyFont="1" applyAlignment="1">
      <alignment horizontal="right" vertical="top"/>
    </xf>
    <xf numFmtId="164" fontId="210" fillId="0" borderId="0" xfId="0" applyNumberFormat="1" applyFont="1" applyAlignment="1">
      <alignment horizontal="left" vertical="top"/>
    </xf>
    <xf numFmtId="167" fontId="240" fillId="0" borderId="0" xfId="0" applyNumberFormat="1" applyFont="1" applyAlignment="1">
      <alignment horizontal="right" vertical="top"/>
    </xf>
    <xf numFmtId="167" fontId="242" fillId="0" borderId="0" xfId="0" applyNumberFormat="1" applyFont="1" applyAlignment="1">
      <alignment horizontal="right" vertical="top"/>
    </xf>
    <xf numFmtId="167" fontId="258" fillId="0" borderId="0" xfId="0" applyNumberFormat="1" applyFont="1" applyAlignment="1">
      <alignment horizontal="right" vertical="top"/>
    </xf>
    <xf numFmtId="167" fontId="257" fillId="0" borderId="0" xfId="0" applyNumberFormat="1" applyFont="1" applyAlignment="1">
      <alignment horizontal="right" vertical="top"/>
    </xf>
    <xf numFmtId="167" fontId="243" fillId="0" borderId="0" xfId="0" applyNumberFormat="1" applyFont="1" applyAlignment="1">
      <alignment horizontal="right" vertical="top"/>
    </xf>
    <xf numFmtId="167" fontId="84" fillId="0" borderId="0" xfId="0" applyNumberFormat="1" applyFont="1" applyAlignment="1">
      <alignment vertical="center"/>
    </xf>
    <xf numFmtId="164" fontId="4" fillId="0" borderId="114" xfId="0" applyNumberFormat="1" applyFont="1" applyBorder="1" applyAlignment="1">
      <alignment vertical="top"/>
    </xf>
    <xf numFmtId="164" fontId="4" fillId="0" borderId="129" xfId="0" applyNumberFormat="1" applyFont="1" applyBorder="1" applyAlignment="1">
      <alignment vertical="top"/>
    </xf>
    <xf numFmtId="164" fontId="4" fillId="0" borderId="130" xfId="0" applyNumberFormat="1" applyFont="1" applyBorder="1" applyAlignment="1">
      <alignment vertical="top"/>
    </xf>
    <xf numFmtId="1" fontId="13" fillId="4" borderId="0" xfId="0" applyNumberFormat="1" applyFont="1" applyFill="1" applyAlignment="1" applyProtection="1">
      <alignment horizontal="right"/>
      <protection hidden="1"/>
    </xf>
    <xf numFmtId="0" fontId="323" fillId="0" borderId="0" xfId="0" applyFont="1" applyAlignment="1" applyProtection="1">
      <alignment vertical="top"/>
      <protection hidden="1"/>
    </xf>
    <xf numFmtId="0" fontId="256" fillId="4" borderId="0" xfId="0" applyFont="1" applyFill="1" applyAlignment="1" applyProtection="1">
      <alignment horizontal="left" vertical="top"/>
      <protection hidden="1"/>
    </xf>
    <xf numFmtId="0" fontId="256" fillId="4" borderId="0" xfId="0" applyFont="1" applyFill="1" applyAlignment="1" applyProtection="1">
      <alignment horizontal="left"/>
      <protection hidden="1"/>
    </xf>
    <xf numFmtId="0" fontId="5" fillId="0" borderId="3" xfId="0" applyFont="1" applyBorder="1" applyAlignment="1">
      <alignment horizontal="left"/>
    </xf>
    <xf numFmtId="167" fontId="249" fillId="0" borderId="0" xfId="0" applyNumberFormat="1" applyFont="1" applyAlignment="1">
      <alignment horizontal="right"/>
    </xf>
    <xf numFmtId="0" fontId="70" fillId="0" borderId="0" xfId="0" applyFont="1" applyAlignment="1" applyProtection="1">
      <alignment vertical="center"/>
      <protection hidden="1"/>
    </xf>
    <xf numFmtId="0" fontId="330" fillId="0" borderId="0" xfId="0" applyFont="1" applyAlignment="1" applyProtection="1">
      <alignment vertical="center"/>
      <protection hidden="1"/>
    </xf>
    <xf numFmtId="0" fontId="87" fillId="0" borderId="12" xfId="0" applyFont="1" applyBorder="1" applyAlignment="1" applyProtection="1">
      <alignment horizontal="left" indent="1"/>
      <protection hidden="1"/>
    </xf>
    <xf numFmtId="0" fontId="87" fillId="0" borderId="12" xfId="0" applyFont="1" applyBorder="1" applyAlignment="1" applyProtection="1">
      <alignment horizontal="left"/>
      <protection hidden="1"/>
    </xf>
    <xf numFmtId="0" fontId="12" fillId="4" borderId="12" xfId="0" applyFont="1" applyFill="1" applyBorder="1" applyAlignment="1" applyProtection="1">
      <alignment vertical="center"/>
      <protection hidden="1"/>
    </xf>
    <xf numFmtId="0" fontId="208" fillId="0" borderId="16" xfId="0" applyFont="1" applyBorder="1" applyAlignment="1" applyProtection="1">
      <alignment horizontal="left" vertical="center"/>
      <protection hidden="1"/>
    </xf>
    <xf numFmtId="6" fontId="4" fillId="0" borderId="0" xfId="0" applyNumberFormat="1" applyFont="1"/>
    <xf numFmtId="0" fontId="82" fillId="0" borderId="0" xfId="0" applyFont="1" applyAlignment="1" applyProtection="1">
      <alignment horizontal="left" indent="1"/>
      <protection hidden="1"/>
    </xf>
    <xf numFmtId="6" fontId="24" fillId="0" borderId="0" xfId="0" applyNumberFormat="1" applyFont="1" applyProtection="1">
      <protection hidden="1"/>
    </xf>
    <xf numFmtId="0" fontId="87" fillId="0" borderId="16" xfId="0" applyFont="1" applyBorder="1" applyAlignment="1" applyProtection="1">
      <alignment horizontal="left" vertical="top"/>
      <protection hidden="1"/>
    </xf>
    <xf numFmtId="0" fontId="28" fillId="52" borderId="360" xfId="0" applyFont="1" applyFill="1" applyBorder="1" applyAlignment="1" applyProtection="1">
      <alignment vertical="center"/>
      <protection hidden="1"/>
    </xf>
    <xf numFmtId="0" fontId="28" fillId="51" borderId="0" xfId="0" applyFont="1" applyFill="1" applyAlignment="1" applyProtection="1">
      <alignment vertical="center"/>
      <protection hidden="1"/>
    </xf>
    <xf numFmtId="0" fontId="28" fillId="54" borderId="14" xfId="0" applyFont="1" applyFill="1" applyBorder="1" applyAlignment="1" applyProtection="1">
      <alignment vertical="center"/>
      <protection hidden="1"/>
    </xf>
    <xf numFmtId="0" fontId="17" fillId="4" borderId="11" xfId="0" applyFont="1" applyFill="1" applyBorder="1" applyAlignment="1" applyProtection="1">
      <alignment vertical="center"/>
      <protection hidden="1"/>
    </xf>
    <xf numFmtId="164" fontId="80" fillId="4" borderId="0" xfId="0" applyNumberFormat="1" applyFont="1" applyFill="1" applyAlignment="1" applyProtection="1">
      <alignment vertical="center"/>
      <protection hidden="1"/>
    </xf>
    <xf numFmtId="164" fontId="74" fillId="4" borderId="0" xfId="0" applyNumberFormat="1" applyFont="1" applyFill="1" applyAlignment="1" applyProtection="1">
      <alignment vertical="center"/>
      <protection hidden="1"/>
    </xf>
    <xf numFmtId="9" fontId="183" fillId="54" borderId="14" xfId="0" applyNumberFormat="1" applyFont="1" applyFill="1" applyBorder="1" applyAlignment="1" applyProtection="1">
      <alignment horizontal="center" vertical="center"/>
      <protection hidden="1"/>
    </xf>
    <xf numFmtId="9" fontId="183" fillId="52" borderId="360" xfId="0" applyNumberFormat="1" applyFont="1" applyFill="1" applyBorder="1" applyAlignment="1" applyProtection="1">
      <alignment horizontal="center" vertical="center"/>
      <protection hidden="1"/>
    </xf>
    <xf numFmtId="9" fontId="183" fillId="52" borderId="359" xfId="0" applyNumberFormat="1" applyFont="1" applyFill="1" applyBorder="1" applyAlignment="1" applyProtection="1">
      <alignment horizontal="center" vertical="top"/>
      <protection hidden="1"/>
    </xf>
    <xf numFmtId="0" fontId="87" fillId="0" borderId="16" xfId="0" applyFont="1" applyBorder="1" applyAlignment="1" applyProtection="1">
      <alignment horizontal="left" indent="1"/>
      <protection hidden="1"/>
    </xf>
    <xf numFmtId="0" fontId="87" fillId="0" borderId="365" xfId="0" applyFont="1" applyBorder="1" applyAlignment="1" applyProtection="1">
      <alignment horizontal="left" indent="1"/>
      <protection hidden="1"/>
    </xf>
    <xf numFmtId="0" fontId="87" fillId="0" borderId="365" xfId="0" applyFont="1" applyBorder="1" applyAlignment="1" applyProtection="1">
      <alignment horizontal="left" vertical="top" indent="1"/>
      <protection hidden="1"/>
    </xf>
    <xf numFmtId="0" fontId="87" fillId="0" borderId="11" xfId="0" applyFont="1" applyBorder="1" applyAlignment="1" applyProtection="1">
      <alignment horizontal="left" indent="1"/>
      <protection hidden="1"/>
    </xf>
    <xf numFmtId="0" fontId="87" fillId="0" borderId="14" xfId="0" applyFont="1" applyBorder="1" applyAlignment="1" applyProtection="1">
      <alignment horizontal="left" indent="1"/>
      <protection hidden="1"/>
    </xf>
    <xf numFmtId="0" fontId="208" fillId="0" borderId="17" xfId="0" applyFont="1" applyBorder="1" applyAlignment="1" applyProtection="1">
      <alignment horizontal="left" vertical="center"/>
      <protection hidden="1"/>
    </xf>
    <xf numFmtId="0" fontId="12" fillId="4" borderId="13" xfId="0" applyFont="1" applyFill="1" applyBorder="1" applyProtection="1">
      <protection hidden="1"/>
    </xf>
    <xf numFmtId="0" fontId="44" fillId="0" borderId="2" xfId="0" applyFont="1" applyBorder="1" applyAlignment="1">
      <alignment horizontal="right" indent="1"/>
    </xf>
    <xf numFmtId="164" fontId="44" fillId="0" borderId="2" xfId="0" applyNumberFormat="1" applyFont="1" applyBorder="1" applyAlignment="1">
      <alignment horizontal="right"/>
    </xf>
    <xf numFmtId="164" fontId="44" fillId="0" borderId="366" xfId="0" applyNumberFormat="1" applyFont="1" applyBorder="1" applyAlignment="1">
      <alignment horizontal="right"/>
    </xf>
    <xf numFmtId="0" fontId="44" fillId="0" borderId="2" xfId="0" applyFont="1" applyBorder="1" applyAlignment="1">
      <alignment horizontal="right"/>
    </xf>
    <xf numFmtId="0" fontId="44" fillId="0" borderId="2" xfId="0" applyFont="1" applyBorder="1" applyAlignment="1">
      <alignment horizontal="right" indent="2"/>
    </xf>
    <xf numFmtId="0" fontId="44" fillId="0" borderId="8" xfId="0" applyFont="1" applyBorder="1" applyAlignment="1">
      <alignment horizontal="right"/>
    </xf>
    <xf numFmtId="164" fontId="44" fillId="0" borderId="8" xfId="0" applyNumberFormat="1" applyFont="1" applyBorder="1" applyAlignment="1">
      <alignment horizontal="right"/>
    </xf>
    <xf numFmtId="0" fontId="44" fillId="0" borderId="8" xfId="0" applyFont="1" applyBorder="1" applyAlignment="1">
      <alignment horizontal="right" vertical="center" indent="2"/>
    </xf>
    <xf numFmtId="0" fontId="44" fillId="0" borderId="367" xfId="0" applyFont="1" applyBorder="1" applyAlignment="1">
      <alignment horizontal="right" vertical="center" wrapText="1" indent="1"/>
    </xf>
    <xf numFmtId="0" fontId="44" fillId="0" borderId="6" xfId="0" applyFont="1" applyBorder="1" applyAlignment="1">
      <alignment horizontal="right" vertical="center" wrapText="1" indent="1"/>
    </xf>
    <xf numFmtId="0" fontId="44" fillId="0" borderId="366" xfId="0" applyFont="1" applyBorder="1" applyAlignment="1">
      <alignment horizontal="right" vertical="center" wrapText="1" indent="1"/>
    </xf>
    <xf numFmtId="0" fontId="44" fillId="0" borderId="54" xfId="0" applyFont="1" applyBorder="1" applyAlignment="1">
      <alignment horizontal="right" vertical="center" indent="1"/>
    </xf>
    <xf numFmtId="9" fontId="44" fillId="0" borderId="367" xfId="0" applyNumberFormat="1" applyFont="1" applyBorder="1" applyAlignment="1">
      <alignment horizontal="right" indent="1"/>
    </xf>
    <xf numFmtId="9" fontId="44" fillId="0" borderId="6" xfId="0" applyNumberFormat="1" applyFont="1" applyBorder="1" applyAlignment="1">
      <alignment horizontal="right" indent="1"/>
    </xf>
    <xf numFmtId="9" fontId="44" fillId="0" borderId="366" xfId="0" applyNumberFormat="1" applyFont="1" applyBorder="1" applyAlignment="1">
      <alignment horizontal="right" indent="1"/>
    </xf>
    <xf numFmtId="1" fontId="145" fillId="0" borderId="54" xfId="0" applyNumberFormat="1" applyFont="1" applyBorder="1" applyAlignment="1" applyProtection="1">
      <alignment horizontal="right" vertical="center" indent="1"/>
      <protection hidden="1"/>
    </xf>
    <xf numFmtId="9" fontId="44" fillId="0" borderId="368" xfId="0" applyNumberFormat="1" applyFont="1" applyBorder="1" applyAlignment="1">
      <alignment horizontal="right" vertical="center" indent="1"/>
    </xf>
    <xf numFmtId="9" fontId="44" fillId="0" borderId="79" xfId="0" applyNumberFormat="1" applyFont="1" applyBorder="1" applyAlignment="1">
      <alignment horizontal="right" vertical="center" indent="1"/>
    </xf>
    <xf numFmtId="9" fontId="44" fillId="0" borderId="369" xfId="0" applyNumberFormat="1" applyFont="1" applyBorder="1" applyAlignment="1">
      <alignment horizontal="right" vertical="center" indent="1"/>
    </xf>
    <xf numFmtId="1" fontId="145" fillId="0" borderId="5" xfId="0" applyNumberFormat="1" applyFont="1" applyBorder="1" applyAlignment="1" applyProtection="1">
      <alignment horizontal="right" vertical="center" indent="1"/>
      <protection hidden="1"/>
    </xf>
    <xf numFmtId="0" fontId="70" fillId="4" borderId="18" xfId="0" applyFont="1" applyFill="1" applyBorder="1" applyAlignment="1" applyProtection="1">
      <alignment horizontal="left" vertical="center"/>
      <protection hidden="1"/>
    </xf>
    <xf numFmtId="0" fontId="125" fillId="4" borderId="0" xfId="0" applyFont="1" applyFill="1" applyAlignment="1" applyProtection="1">
      <alignment vertical="center"/>
      <protection hidden="1"/>
    </xf>
    <xf numFmtId="0" fontId="223" fillId="4" borderId="0" xfId="0" applyFont="1" applyFill="1" applyProtection="1">
      <protection hidden="1"/>
    </xf>
    <xf numFmtId="0" fontId="0" fillId="0" borderId="370" xfId="0" applyBorder="1" applyProtection="1">
      <protection hidden="1"/>
    </xf>
    <xf numFmtId="0" fontId="17" fillId="4" borderId="370" xfId="0" applyFont="1" applyFill="1" applyBorder="1" applyAlignment="1" applyProtection="1">
      <alignment vertical="center"/>
      <protection hidden="1"/>
    </xf>
    <xf numFmtId="0" fontId="82" fillId="0" borderId="343" xfId="0" applyFont="1" applyBorder="1" applyAlignment="1">
      <alignment horizontal="left" vertical="top" wrapText="1" indent="1"/>
    </xf>
    <xf numFmtId="0" fontId="208" fillId="0" borderId="0" xfId="0" applyFont="1" applyAlignment="1" applyProtection="1">
      <alignment horizontal="left"/>
      <protection hidden="1"/>
    </xf>
    <xf numFmtId="0" fontId="208" fillId="0" borderId="0" xfId="0" applyFont="1" applyAlignment="1" applyProtection="1">
      <alignment horizontal="left" indent="2"/>
      <protection hidden="1"/>
    </xf>
    <xf numFmtId="0" fontId="83" fillId="0" borderId="0" xfId="0" applyFont="1" applyAlignment="1">
      <alignment horizontal="left"/>
    </xf>
    <xf numFmtId="0" fontId="83" fillId="0" borderId="0" xfId="0" applyFont="1" applyAlignment="1">
      <alignment horizontal="left" indent="2"/>
    </xf>
    <xf numFmtId="0" fontId="219" fillId="10" borderId="327" xfId="0" applyFont="1" applyFill="1" applyBorder="1" applyAlignment="1" applyProtection="1">
      <alignment horizontal="right" vertical="center" wrapText="1"/>
      <protection hidden="1"/>
    </xf>
    <xf numFmtId="0" fontId="219" fillId="10" borderId="142" xfId="0" applyFont="1" applyFill="1" applyBorder="1" applyAlignment="1" applyProtection="1">
      <alignment horizontal="right" vertical="center" wrapText="1"/>
      <protection hidden="1"/>
    </xf>
    <xf numFmtId="0" fontId="219" fillId="11" borderId="329" xfId="0" applyFont="1" applyFill="1" applyBorder="1" applyAlignment="1" applyProtection="1">
      <alignment horizontal="right" vertical="center" wrapText="1"/>
      <protection hidden="1"/>
    </xf>
    <xf numFmtId="0" fontId="219" fillId="11" borderId="324" xfId="0" applyFont="1" applyFill="1" applyBorder="1" applyAlignment="1" applyProtection="1">
      <alignment horizontal="right" vertical="center" wrapText="1"/>
      <protection hidden="1"/>
    </xf>
    <xf numFmtId="0" fontId="219" fillId="19" borderId="329" xfId="0" applyFont="1" applyFill="1" applyBorder="1" applyAlignment="1" applyProtection="1">
      <alignment horizontal="right" vertical="center" wrapText="1"/>
      <protection hidden="1"/>
    </xf>
    <xf numFmtId="0" fontId="219" fillId="19" borderId="324" xfId="0" applyFont="1" applyFill="1" applyBorder="1" applyAlignment="1" applyProtection="1">
      <alignment horizontal="right" vertical="center" wrapText="1"/>
      <protection hidden="1"/>
    </xf>
    <xf numFmtId="0" fontId="219" fillId="14" borderId="329" xfId="0" applyFont="1" applyFill="1" applyBorder="1" applyAlignment="1" applyProtection="1">
      <alignment horizontal="right" vertical="center" wrapText="1"/>
      <protection hidden="1"/>
    </xf>
    <xf numFmtId="0" fontId="219" fillId="14" borderId="324" xfId="0" applyFont="1" applyFill="1" applyBorder="1" applyAlignment="1" applyProtection="1">
      <alignment horizontal="right" vertical="center" wrapText="1"/>
      <protection hidden="1"/>
    </xf>
    <xf numFmtId="0" fontId="219" fillId="12" borderId="329" xfId="0" applyFont="1" applyFill="1" applyBorder="1" applyAlignment="1" applyProtection="1">
      <alignment horizontal="right" vertical="center" wrapText="1"/>
      <protection hidden="1"/>
    </xf>
    <xf numFmtId="0" fontId="219" fillId="12" borderId="324" xfId="0" applyFont="1" applyFill="1" applyBorder="1" applyAlignment="1" applyProtection="1">
      <alignment horizontal="right" vertical="center" wrapText="1"/>
      <protection hidden="1"/>
    </xf>
    <xf numFmtId="0" fontId="220" fillId="38" borderId="333" xfId="0" applyFont="1" applyFill="1" applyBorder="1" applyAlignment="1" applyProtection="1">
      <alignment horizontal="right" vertical="center" wrapText="1"/>
      <protection hidden="1"/>
    </xf>
    <xf numFmtId="0" fontId="220" fillId="39" borderId="332" xfId="0" applyFont="1" applyFill="1" applyBorder="1" applyAlignment="1" applyProtection="1">
      <alignment horizontal="right" vertical="center" wrapText="1"/>
      <protection hidden="1"/>
    </xf>
    <xf numFmtId="0" fontId="220" fillId="39" borderId="333" xfId="0" applyFont="1" applyFill="1" applyBorder="1" applyAlignment="1" applyProtection="1">
      <alignment horizontal="right" vertical="center" wrapText="1"/>
      <protection hidden="1"/>
    </xf>
    <xf numFmtId="0" fontId="220" fillId="16" borderId="332" xfId="0" applyFont="1" applyFill="1" applyBorder="1" applyAlignment="1" applyProtection="1">
      <alignment horizontal="right" vertical="center" wrapText="1"/>
      <protection hidden="1"/>
    </xf>
    <xf numFmtId="0" fontId="220" fillId="16" borderId="333" xfId="0" applyFont="1" applyFill="1" applyBorder="1" applyAlignment="1" applyProtection="1">
      <alignment horizontal="right" vertical="center" wrapText="1"/>
      <protection hidden="1"/>
    </xf>
    <xf numFmtId="0" fontId="220" fillId="13" borderId="334" xfId="0" applyFont="1" applyFill="1" applyBorder="1" applyAlignment="1" applyProtection="1">
      <alignment horizontal="right" vertical="center" wrapText="1"/>
      <protection hidden="1"/>
    </xf>
    <xf numFmtId="0" fontId="220" fillId="39" borderId="10" xfId="0" applyFont="1" applyFill="1" applyBorder="1" applyAlignment="1" applyProtection="1">
      <alignment horizontal="right" vertical="center" wrapText="1"/>
      <protection hidden="1"/>
    </xf>
    <xf numFmtId="0" fontId="220" fillId="16" borderId="10" xfId="0" applyFont="1" applyFill="1" applyBorder="1" applyAlignment="1" applyProtection="1">
      <alignment horizontal="right" vertical="center" wrapText="1"/>
      <protection hidden="1"/>
    </xf>
    <xf numFmtId="3" fontId="14" fillId="4" borderId="95" xfId="0" applyNumberFormat="1" applyFont="1" applyFill="1" applyBorder="1" applyAlignment="1" applyProtection="1">
      <alignment horizontal="right" vertical="center"/>
      <protection hidden="1"/>
    </xf>
    <xf numFmtId="0" fontId="223" fillId="0" borderId="11" xfId="0" applyFont="1" applyBorder="1" applyProtection="1">
      <protection hidden="1"/>
    </xf>
    <xf numFmtId="0" fontId="223" fillId="0" borderId="12" xfId="0" applyFont="1" applyBorder="1" applyProtection="1">
      <protection hidden="1"/>
    </xf>
    <xf numFmtId="0" fontId="0" fillId="0" borderId="12" xfId="0" applyBorder="1" applyProtection="1">
      <protection hidden="1"/>
    </xf>
    <xf numFmtId="0" fontId="0" fillId="0" borderId="13" xfId="0" applyBorder="1" applyProtection="1">
      <protection hidden="1"/>
    </xf>
    <xf numFmtId="0" fontId="223" fillId="0" borderId="14" xfId="0" applyFont="1" applyBorder="1" applyProtection="1">
      <protection hidden="1"/>
    </xf>
    <xf numFmtId="0" fontId="336" fillId="0" borderId="0" xfId="0" applyFont="1" applyAlignment="1" applyProtection="1">
      <alignment horizontal="right" indent="1"/>
      <protection hidden="1"/>
    </xf>
    <xf numFmtId="165" fontId="337" fillId="0" borderId="0" xfId="0" applyNumberFormat="1" applyFont="1" applyAlignment="1" applyProtection="1">
      <alignment horizontal="right"/>
      <protection hidden="1"/>
    </xf>
    <xf numFmtId="0" fontId="223" fillId="0" borderId="17" xfId="0" applyFont="1" applyBorder="1" applyProtection="1">
      <protection hidden="1"/>
    </xf>
    <xf numFmtId="0" fontId="223" fillId="0" borderId="16" xfId="0" applyFont="1" applyBorder="1" applyProtection="1">
      <protection hidden="1"/>
    </xf>
    <xf numFmtId="0" fontId="0" fillId="0" borderId="16" xfId="0" applyBorder="1" applyProtection="1">
      <protection hidden="1"/>
    </xf>
    <xf numFmtId="0" fontId="336" fillId="0" borderId="16" xfId="0" applyFont="1" applyBorder="1" applyAlignment="1" applyProtection="1">
      <alignment horizontal="right" indent="1"/>
      <protection hidden="1"/>
    </xf>
    <xf numFmtId="165" fontId="337" fillId="0" borderId="16" xfId="0" applyNumberFormat="1" applyFont="1" applyBorder="1" applyAlignment="1" applyProtection="1">
      <alignment horizontal="right"/>
      <protection hidden="1"/>
    </xf>
    <xf numFmtId="1" fontId="335" fillId="4" borderId="16" xfId="0" applyNumberFormat="1" applyFont="1" applyFill="1" applyBorder="1" applyAlignment="1" applyProtection="1">
      <alignment horizontal="center" vertical="center"/>
      <protection hidden="1"/>
    </xf>
    <xf numFmtId="1" fontId="335" fillId="4" borderId="18" xfId="0" applyNumberFormat="1" applyFont="1" applyFill="1" applyBorder="1" applyAlignment="1" applyProtection="1">
      <alignment horizontal="center" vertical="center"/>
      <protection hidden="1"/>
    </xf>
    <xf numFmtId="0" fontId="336" fillId="0" borderId="0" xfId="0" applyFont="1" applyAlignment="1" applyProtection="1">
      <alignment horizontal="right" vertical="center" indent="1"/>
      <protection hidden="1"/>
    </xf>
    <xf numFmtId="0" fontId="208" fillId="0" borderId="14" xfId="0" applyFont="1" applyBorder="1" applyAlignment="1" applyProtection="1">
      <alignment horizontal="left" vertical="center"/>
      <protection hidden="1"/>
    </xf>
    <xf numFmtId="9" fontId="183" fillId="54" borderId="14" xfId="0" applyNumberFormat="1" applyFont="1" applyFill="1" applyBorder="1" applyAlignment="1" applyProtection="1">
      <alignment horizontal="center" vertical="top"/>
      <protection hidden="1"/>
    </xf>
    <xf numFmtId="9" fontId="183" fillId="52" borderId="360" xfId="0" applyNumberFormat="1" applyFont="1" applyFill="1" applyBorder="1" applyAlignment="1" applyProtection="1">
      <alignment horizontal="center" vertical="top"/>
      <protection hidden="1"/>
    </xf>
    <xf numFmtId="0" fontId="183" fillId="51" borderId="16" xfId="0" applyFont="1" applyFill="1" applyBorder="1" applyAlignment="1" applyProtection="1">
      <alignment horizontal="center" vertical="top"/>
      <protection hidden="1"/>
    </xf>
    <xf numFmtId="9" fontId="74" fillId="4" borderId="16" xfId="0" applyNumberFormat="1" applyFont="1" applyFill="1" applyBorder="1" applyAlignment="1" applyProtection="1">
      <alignment horizontal="center" vertical="top"/>
      <protection hidden="1"/>
    </xf>
    <xf numFmtId="0" fontId="74" fillId="4" borderId="16" xfId="0" applyFont="1" applyFill="1" applyBorder="1" applyAlignment="1" applyProtection="1">
      <alignment horizontal="center" vertical="top"/>
      <protection hidden="1"/>
    </xf>
    <xf numFmtId="1" fontId="335" fillId="4" borderId="16" xfId="0" applyNumberFormat="1" applyFont="1" applyFill="1" applyBorder="1" applyAlignment="1" applyProtection="1">
      <alignment horizontal="left" vertical="top"/>
      <protection hidden="1"/>
    </xf>
    <xf numFmtId="1" fontId="335" fillId="4" borderId="18" xfId="0" applyNumberFormat="1" applyFont="1" applyFill="1" applyBorder="1" applyAlignment="1" applyProtection="1">
      <alignment horizontal="left" vertical="top"/>
      <protection hidden="1"/>
    </xf>
    <xf numFmtId="9" fontId="183" fillId="54" borderId="372" xfId="0" applyNumberFormat="1" applyFont="1" applyFill="1" applyBorder="1" applyAlignment="1" applyProtection="1">
      <alignment horizontal="center" vertical="top"/>
      <protection hidden="1"/>
    </xf>
    <xf numFmtId="9" fontId="183" fillId="51" borderId="373" xfId="0" applyNumberFormat="1" applyFont="1" applyFill="1" applyBorder="1" applyAlignment="1" applyProtection="1">
      <alignment horizontal="center" vertical="top"/>
      <protection hidden="1"/>
    </xf>
    <xf numFmtId="0" fontId="183" fillId="51" borderId="18" xfId="0" applyFont="1" applyFill="1" applyBorder="1" applyAlignment="1" applyProtection="1">
      <alignment horizontal="center" vertical="top"/>
      <protection hidden="1"/>
    </xf>
    <xf numFmtId="0" fontId="336" fillId="0" borderId="0" xfId="0" applyFont="1" applyAlignment="1" applyProtection="1">
      <alignment horizontal="right" vertical="center"/>
      <protection hidden="1"/>
    </xf>
    <xf numFmtId="1" fontId="13" fillId="0" borderId="0" xfId="0" applyNumberFormat="1" applyFont="1" applyAlignment="1" applyProtection="1">
      <alignment horizontal="center"/>
      <protection hidden="1"/>
    </xf>
    <xf numFmtId="0" fontId="175" fillId="0" borderId="0" xfId="0" applyFont="1" applyAlignment="1">
      <alignment horizontal="left" indent="9"/>
    </xf>
    <xf numFmtId="0" fontId="82" fillId="0" borderId="0" xfId="0" applyFont="1"/>
    <xf numFmtId="0" fontId="44" fillId="0" borderId="0" xfId="0" applyFont="1" applyAlignment="1">
      <alignment horizontal="left" indent="1"/>
    </xf>
    <xf numFmtId="164" fontId="4" fillId="0" borderId="0" xfId="0" applyNumberFormat="1" applyFont="1" applyAlignment="1">
      <alignment horizontal="left"/>
    </xf>
    <xf numFmtId="0" fontId="175" fillId="0" borderId="0" xfId="0" applyFont="1" applyAlignment="1">
      <alignment horizontal="left" indent="10"/>
    </xf>
    <xf numFmtId="0" fontId="339" fillId="4" borderId="0" xfId="0" applyFont="1" applyFill="1" applyProtection="1">
      <protection hidden="1"/>
    </xf>
    <xf numFmtId="0" fontId="0" fillId="4" borderId="374" xfId="0" applyFill="1" applyBorder="1" applyProtection="1">
      <protection hidden="1"/>
    </xf>
    <xf numFmtId="0" fontId="74" fillId="0" borderId="0" xfId="0" applyFont="1" applyAlignment="1" applyProtection="1">
      <alignment vertical="center"/>
      <protection hidden="1"/>
    </xf>
    <xf numFmtId="0" fontId="295" fillId="4" borderId="0" xfId="0" applyFont="1" applyFill="1" applyAlignment="1" applyProtection="1">
      <alignment vertical="top"/>
      <protection hidden="1"/>
    </xf>
    <xf numFmtId="0" fontId="295" fillId="4" borderId="0" xfId="0" applyFont="1" applyFill="1" applyProtection="1">
      <protection hidden="1"/>
    </xf>
    <xf numFmtId="167" fontId="292" fillId="4" borderId="0" xfId="0" applyNumberFormat="1" applyFont="1" applyFill="1" applyAlignment="1" applyProtection="1">
      <alignment horizontal="center" vertical="top"/>
      <protection hidden="1"/>
    </xf>
    <xf numFmtId="0" fontId="13" fillId="4" borderId="20" xfId="0" applyFont="1" applyFill="1" applyBorder="1" applyProtection="1">
      <protection hidden="1"/>
    </xf>
    <xf numFmtId="167" fontId="296" fillId="4" borderId="0" xfId="0" applyNumberFormat="1" applyFont="1" applyFill="1" applyAlignment="1" applyProtection="1">
      <alignment horizontal="center"/>
      <protection hidden="1"/>
    </xf>
    <xf numFmtId="167" fontId="294" fillId="4" borderId="0" xfId="0" applyNumberFormat="1" applyFont="1" applyFill="1" applyAlignment="1" applyProtection="1">
      <alignment horizontal="center"/>
      <protection hidden="1"/>
    </xf>
    <xf numFmtId="164" fontId="329" fillId="4" borderId="0" xfId="0" applyNumberFormat="1" applyFont="1" applyFill="1" applyAlignment="1" applyProtection="1">
      <alignment vertical="center"/>
      <protection hidden="1"/>
    </xf>
    <xf numFmtId="0" fontId="0" fillId="0" borderId="323" xfId="0" applyBorder="1" applyProtection="1">
      <protection hidden="1"/>
    </xf>
    <xf numFmtId="1" fontId="335" fillId="4" borderId="323" xfId="0" applyNumberFormat="1" applyFont="1" applyFill="1" applyBorder="1" applyAlignment="1" applyProtection="1">
      <alignment vertical="center"/>
      <protection hidden="1"/>
    </xf>
    <xf numFmtId="1" fontId="335" fillId="4" borderId="323" xfId="0" applyNumberFormat="1" applyFont="1" applyFill="1" applyBorder="1" applyAlignment="1" applyProtection="1">
      <alignment horizontal="center" vertical="center"/>
      <protection hidden="1"/>
    </xf>
    <xf numFmtId="0" fontId="336" fillId="0" borderId="0" xfId="0" applyFont="1" applyAlignment="1" applyProtection="1">
      <alignment horizontal="right"/>
      <protection hidden="1"/>
    </xf>
    <xf numFmtId="0" fontId="330" fillId="0" borderId="0" xfId="0" applyFont="1" applyAlignment="1" applyProtection="1">
      <alignment horizontal="left" vertical="center" indent="3"/>
      <protection hidden="1"/>
    </xf>
    <xf numFmtId="0" fontId="74" fillId="0" borderId="0" xfId="0" applyFont="1" applyAlignment="1" applyProtection="1">
      <alignment horizontal="left" indent="3"/>
      <protection hidden="1"/>
    </xf>
    <xf numFmtId="167" fontId="97" fillId="0" borderId="0" xfId="0" applyNumberFormat="1" applyFont="1" applyAlignment="1" applyProtection="1">
      <alignment horizontal="left" vertical="center" indent="16"/>
      <protection hidden="1"/>
    </xf>
    <xf numFmtId="167" fontId="244" fillId="0" borderId="0" xfId="0" applyNumberFormat="1" applyFont="1" applyAlignment="1" applyProtection="1">
      <alignment horizontal="right" vertical="center"/>
      <protection hidden="1"/>
    </xf>
    <xf numFmtId="0" fontId="38" fillId="0" borderId="0" xfId="0" applyFont="1" applyAlignment="1" applyProtection="1">
      <alignment horizontal="right" vertical="center"/>
      <protection hidden="1"/>
    </xf>
    <xf numFmtId="167" fontId="44" fillId="0" borderId="0" xfId="0" applyNumberFormat="1" applyFont="1" applyAlignment="1" applyProtection="1">
      <alignment horizontal="right" vertical="center"/>
      <protection hidden="1"/>
    </xf>
    <xf numFmtId="167" fontId="245" fillId="0" borderId="0" xfId="0" applyNumberFormat="1" applyFont="1" applyAlignment="1" applyProtection="1">
      <alignment horizontal="right" vertical="center"/>
      <protection hidden="1"/>
    </xf>
    <xf numFmtId="167" fontId="44" fillId="0" borderId="0" xfId="0" applyNumberFormat="1" applyFont="1" applyAlignment="1" applyProtection="1">
      <alignment horizontal="right" vertical="top"/>
      <protection hidden="1"/>
    </xf>
    <xf numFmtId="167" fontId="246" fillId="0" borderId="0" xfId="0" applyNumberFormat="1" applyFont="1" applyAlignment="1" applyProtection="1">
      <alignment horizontal="right" vertical="center"/>
      <protection hidden="1"/>
    </xf>
    <xf numFmtId="167" fontId="247" fillId="0" borderId="0" xfId="0" applyNumberFormat="1" applyFont="1" applyAlignment="1" applyProtection="1">
      <alignment horizontal="right" vertical="center"/>
      <protection hidden="1"/>
    </xf>
    <xf numFmtId="167" fontId="248" fillId="0" borderId="0" xfId="0" applyNumberFormat="1" applyFont="1" applyAlignment="1" applyProtection="1">
      <alignment horizontal="right" vertical="center"/>
      <protection hidden="1"/>
    </xf>
    <xf numFmtId="167" fontId="145" fillId="0" borderId="0" xfId="0" applyNumberFormat="1" applyFont="1" applyAlignment="1" applyProtection="1">
      <alignment horizontal="right"/>
      <protection hidden="1"/>
    </xf>
    <xf numFmtId="0" fontId="0" fillId="0" borderId="7" xfId="0" applyBorder="1" applyAlignment="1" applyProtection="1">
      <alignment horizontal="right" vertical="center"/>
      <protection hidden="1"/>
    </xf>
    <xf numFmtId="1" fontId="197" fillId="0" borderId="7" xfId="0" applyNumberFormat="1" applyFont="1" applyBorder="1" applyAlignment="1" applyProtection="1">
      <alignment horizontal="right" vertical="center" wrapText="1"/>
      <protection hidden="1"/>
    </xf>
    <xf numFmtId="167" fontId="340" fillId="0" borderId="7" xfId="0" applyNumberFormat="1" applyFont="1" applyBorder="1" applyAlignment="1" applyProtection="1">
      <alignment horizontal="right" vertical="center" indent="1"/>
      <protection hidden="1"/>
    </xf>
    <xf numFmtId="164" fontId="44" fillId="0" borderId="3" xfId="0" applyNumberFormat="1" applyFont="1" applyBorder="1" applyAlignment="1" applyProtection="1">
      <alignment vertical="center"/>
      <protection hidden="1"/>
    </xf>
    <xf numFmtId="164" fontId="44" fillId="0" borderId="54" xfId="0" applyNumberFormat="1" applyFont="1" applyBorder="1" applyAlignment="1" applyProtection="1">
      <alignment vertical="center"/>
      <protection hidden="1"/>
    </xf>
    <xf numFmtId="164" fontId="44" fillId="0" borderId="4" xfId="0" applyNumberFormat="1" applyFont="1" applyBorder="1" applyAlignment="1" applyProtection="1">
      <alignment horizontal="right" vertical="center" indent="3"/>
      <protection hidden="1"/>
    </xf>
    <xf numFmtId="164" fontId="44" fillId="0" borderId="5" xfId="0" applyNumberFormat="1" applyFont="1" applyBorder="1" applyAlignment="1" applyProtection="1">
      <alignment horizontal="right" vertical="center" indent="3"/>
      <protection hidden="1"/>
    </xf>
    <xf numFmtId="164" fontId="44" fillId="0" borderId="7" xfId="0" applyNumberFormat="1" applyFont="1" applyBorder="1" applyAlignment="1" applyProtection="1">
      <alignment vertical="center"/>
      <protection hidden="1"/>
    </xf>
    <xf numFmtId="164" fontId="44" fillId="0" borderId="46" xfId="0" applyNumberFormat="1" applyFont="1" applyBorder="1" applyAlignment="1" applyProtection="1">
      <alignment vertical="center"/>
      <protection hidden="1"/>
    </xf>
    <xf numFmtId="0" fontId="70" fillId="4" borderId="0" xfId="0" applyFont="1" applyFill="1" applyAlignment="1" applyProtection="1">
      <alignment horizontal="right" vertical="center"/>
      <protection hidden="1"/>
    </xf>
    <xf numFmtId="1" fontId="13" fillId="4" borderId="0" xfId="0" applyNumberFormat="1" applyFont="1" applyFill="1" applyAlignment="1" applyProtection="1">
      <alignment horizontal="center" vertical="center"/>
      <protection hidden="1"/>
    </xf>
    <xf numFmtId="0" fontId="341" fillId="4" borderId="0" xfId="0" applyFont="1" applyFill="1" applyAlignment="1" applyProtection="1">
      <alignment vertical="center"/>
      <protection hidden="1"/>
    </xf>
    <xf numFmtId="0" fontId="341" fillId="4" borderId="0" xfId="0" applyFont="1" applyFill="1" applyProtection="1">
      <protection hidden="1"/>
    </xf>
    <xf numFmtId="0" fontId="287" fillId="44" borderId="0" xfId="0" applyFont="1" applyFill="1" applyAlignment="1" applyProtection="1">
      <alignment horizontal="left" indent="1"/>
      <protection hidden="1"/>
    </xf>
    <xf numFmtId="0" fontId="287" fillId="44" borderId="0" xfId="0" applyFont="1" applyFill="1" applyAlignment="1" applyProtection="1">
      <alignment horizontal="left" vertical="center" indent="1"/>
      <protection hidden="1"/>
    </xf>
    <xf numFmtId="0" fontId="288" fillId="44" borderId="0" xfId="0" applyFont="1" applyFill="1" applyAlignment="1" applyProtection="1">
      <alignment vertical="center"/>
      <protection hidden="1"/>
    </xf>
    <xf numFmtId="0" fontId="283" fillId="44" borderId="0" xfId="0" applyFont="1" applyFill="1" applyAlignment="1" applyProtection="1">
      <alignment horizontal="left" vertical="center" indent="1"/>
      <protection hidden="1"/>
    </xf>
    <xf numFmtId="0" fontId="283" fillId="44" borderId="0" xfId="0" applyFont="1" applyFill="1" applyAlignment="1" applyProtection="1">
      <alignment horizontal="left" indent="1"/>
      <protection hidden="1"/>
    </xf>
    <xf numFmtId="0" fontId="17" fillId="44" borderId="0" xfId="0" applyFont="1" applyFill="1" applyAlignment="1" applyProtection="1">
      <alignment vertical="center"/>
      <protection hidden="1"/>
    </xf>
    <xf numFmtId="0" fontId="17" fillId="44" borderId="351" xfId="0" applyFont="1" applyFill="1" applyBorder="1" applyAlignment="1" applyProtection="1">
      <alignment vertical="center"/>
      <protection hidden="1"/>
    </xf>
    <xf numFmtId="0" fontId="289" fillId="44" borderId="0" xfId="0" applyFont="1" applyFill="1" applyAlignment="1" applyProtection="1">
      <alignment horizontal="left" vertical="top" indent="1"/>
      <protection hidden="1"/>
    </xf>
    <xf numFmtId="0" fontId="283" fillId="44" borderId="0" xfId="0" applyFont="1" applyFill="1" applyAlignment="1" applyProtection="1">
      <alignment horizontal="left" vertical="top"/>
      <protection hidden="1"/>
    </xf>
    <xf numFmtId="0" fontId="289" fillId="44" borderId="0" xfId="0" applyFont="1" applyFill="1" applyAlignment="1" applyProtection="1">
      <alignment horizontal="right" vertical="center" indent="1"/>
      <protection hidden="1"/>
    </xf>
    <xf numFmtId="0" fontId="289" fillId="44" borderId="0" xfId="0" applyFont="1" applyFill="1" applyAlignment="1" applyProtection="1">
      <alignment horizontal="left" vertical="center" indent="1"/>
      <protection hidden="1"/>
    </xf>
    <xf numFmtId="5" fontId="199" fillId="4" borderId="32" xfId="0" applyNumberFormat="1" applyFont="1" applyFill="1" applyBorder="1" applyAlignment="1" applyProtection="1">
      <alignment vertical="center"/>
      <protection hidden="1"/>
    </xf>
    <xf numFmtId="5" fontId="199" fillId="4" borderId="31" xfId="0" applyNumberFormat="1" applyFont="1" applyFill="1" applyBorder="1" applyAlignment="1" applyProtection="1">
      <alignment vertical="center"/>
      <protection hidden="1"/>
    </xf>
    <xf numFmtId="5" fontId="199" fillId="4" borderId="30" xfId="0" applyNumberFormat="1" applyFont="1" applyFill="1" applyBorder="1" applyAlignment="1" applyProtection="1">
      <alignment vertical="center"/>
      <protection hidden="1"/>
    </xf>
    <xf numFmtId="5" fontId="199" fillId="4" borderId="28" xfId="0" applyNumberFormat="1" applyFont="1" applyFill="1" applyBorder="1" applyAlignment="1" applyProtection="1">
      <alignment vertical="center"/>
      <protection hidden="1"/>
    </xf>
    <xf numFmtId="5" fontId="199" fillId="4" borderId="29" xfId="0" applyNumberFormat="1" applyFont="1" applyFill="1" applyBorder="1" applyAlignment="1" applyProtection="1">
      <alignment vertical="center"/>
      <protection hidden="1"/>
    </xf>
    <xf numFmtId="5" fontId="199" fillId="4" borderId="33" xfId="0" applyNumberFormat="1" applyFont="1" applyFill="1" applyBorder="1" applyAlignment="1" applyProtection="1">
      <alignment vertical="center"/>
      <protection hidden="1"/>
    </xf>
    <xf numFmtId="0" fontId="0" fillId="0" borderId="0" xfId="0" applyAlignment="1" applyProtection="1">
      <alignment horizontal="right" indent="2"/>
      <protection hidden="1"/>
    </xf>
    <xf numFmtId="0" fontId="74" fillId="4" borderId="0" xfId="0" applyFont="1" applyFill="1" applyAlignment="1" applyProtection="1">
      <alignment horizontal="right" indent="3"/>
      <protection hidden="1"/>
    </xf>
    <xf numFmtId="164" fontId="74" fillId="4" borderId="0" xfId="0" applyNumberFormat="1" applyFont="1" applyFill="1" applyAlignment="1" applyProtection="1">
      <alignment horizontal="right" indent="3"/>
      <protection hidden="1"/>
    </xf>
    <xf numFmtId="0" fontId="14" fillId="4" borderId="0" xfId="0" applyFont="1" applyFill="1" applyAlignment="1" applyProtection="1">
      <alignment horizontal="right" indent="2"/>
      <protection hidden="1"/>
    </xf>
    <xf numFmtId="0" fontId="12" fillId="4" borderId="0" xfId="0" applyFont="1" applyFill="1" applyAlignment="1" applyProtection="1">
      <alignment horizontal="right" indent="2"/>
      <protection hidden="1"/>
    </xf>
    <xf numFmtId="164" fontId="74" fillId="4" borderId="0" xfId="0" applyNumberFormat="1" applyFont="1" applyFill="1" applyAlignment="1" applyProtection="1">
      <alignment horizontal="right" vertical="center" indent="3"/>
      <protection hidden="1"/>
    </xf>
    <xf numFmtId="0" fontId="135" fillId="4" borderId="32" xfId="0" applyFont="1" applyFill="1" applyBorder="1" applyAlignment="1" applyProtection="1">
      <alignment horizontal="left" vertical="top"/>
      <protection hidden="1"/>
    </xf>
    <xf numFmtId="0" fontId="135" fillId="4" borderId="31" xfId="0" applyFont="1" applyFill="1" applyBorder="1" applyAlignment="1" applyProtection="1">
      <alignment horizontal="left" vertical="top"/>
      <protection hidden="1"/>
    </xf>
    <xf numFmtId="0" fontId="135" fillId="4" borderId="30" xfId="0" applyFont="1" applyFill="1" applyBorder="1" applyAlignment="1" applyProtection="1">
      <alignment horizontal="left" vertical="top"/>
      <protection hidden="1"/>
    </xf>
    <xf numFmtId="0" fontId="135" fillId="4" borderId="28" xfId="0" applyFont="1" applyFill="1" applyBorder="1" applyAlignment="1" applyProtection="1">
      <alignment horizontal="left" vertical="top"/>
      <protection hidden="1"/>
    </xf>
    <xf numFmtId="0" fontId="135" fillId="4" borderId="29" xfId="0" applyFont="1" applyFill="1" applyBorder="1" applyAlignment="1" applyProtection="1">
      <alignment horizontal="left" vertical="top"/>
      <protection hidden="1"/>
    </xf>
    <xf numFmtId="0" fontId="135" fillId="4" borderId="131" xfId="0" applyFont="1" applyFill="1" applyBorder="1" applyAlignment="1" applyProtection="1">
      <alignment horizontal="left" vertical="top"/>
      <protection hidden="1"/>
    </xf>
    <xf numFmtId="0" fontId="57" fillId="4" borderId="0" xfId="0" applyFont="1" applyFill="1" applyAlignment="1" applyProtection="1">
      <alignment vertical="top"/>
      <protection hidden="1"/>
    </xf>
    <xf numFmtId="164" fontId="57" fillId="4" borderId="32" xfId="0" applyNumberFormat="1" applyFont="1" applyFill="1" applyBorder="1" applyAlignment="1" applyProtection="1">
      <alignment vertical="center"/>
      <protection hidden="1"/>
    </xf>
    <xf numFmtId="0" fontId="57" fillId="4" borderId="0" xfId="0" applyFont="1" applyFill="1" applyAlignment="1" applyProtection="1">
      <alignment horizontal="right" indent="1"/>
      <protection hidden="1"/>
    </xf>
    <xf numFmtId="164" fontId="57" fillId="4" borderId="31" xfId="0" applyNumberFormat="1" applyFont="1" applyFill="1" applyBorder="1" applyAlignment="1" applyProtection="1">
      <alignment vertical="center"/>
      <protection hidden="1"/>
    </xf>
    <xf numFmtId="164" fontId="57" fillId="4" borderId="30" xfId="0" applyNumberFormat="1" applyFont="1" applyFill="1" applyBorder="1" applyAlignment="1" applyProtection="1">
      <alignment vertical="center"/>
      <protection hidden="1"/>
    </xf>
    <xf numFmtId="164" fontId="57" fillId="4" borderId="28" xfId="0" applyNumberFormat="1" applyFont="1" applyFill="1" applyBorder="1" applyAlignment="1" applyProtection="1">
      <alignment vertical="center"/>
      <protection hidden="1"/>
    </xf>
    <xf numFmtId="164" fontId="57" fillId="4" borderId="29" xfId="0" applyNumberFormat="1" applyFont="1" applyFill="1" applyBorder="1" applyAlignment="1" applyProtection="1">
      <alignment vertical="center"/>
      <protection hidden="1"/>
    </xf>
    <xf numFmtId="0" fontId="57" fillId="4" borderId="0" xfId="0" applyFont="1" applyFill="1" applyProtection="1">
      <protection hidden="1"/>
    </xf>
    <xf numFmtId="164" fontId="57" fillId="4" borderId="33" xfId="0" applyNumberFormat="1" applyFont="1" applyFill="1" applyBorder="1" applyAlignment="1" applyProtection="1">
      <alignment vertical="center"/>
      <protection hidden="1"/>
    </xf>
    <xf numFmtId="167" fontId="97" fillId="0" borderId="0" xfId="0" applyNumberFormat="1" applyFont="1" applyAlignment="1" applyProtection="1">
      <alignment horizontal="left" vertical="center" indent="5"/>
      <protection hidden="1"/>
    </xf>
    <xf numFmtId="0" fontId="54" fillId="0" borderId="3" xfId="0" applyFont="1" applyBorder="1" applyAlignment="1" applyProtection="1">
      <alignment horizontal="left"/>
      <protection hidden="1"/>
    </xf>
    <xf numFmtId="0" fontId="0" fillId="0" borderId="4" xfId="0" applyBorder="1" applyAlignment="1" applyProtection="1">
      <alignment horizontal="left"/>
      <protection hidden="1"/>
    </xf>
    <xf numFmtId="167" fontId="192" fillId="0" borderId="7" xfId="0" applyNumberFormat="1" applyFont="1" applyBorder="1" applyAlignment="1" applyProtection="1">
      <alignment horizontal="right" vertical="top"/>
      <protection hidden="1"/>
    </xf>
    <xf numFmtId="167" fontId="176" fillId="0" borderId="7" xfId="0" applyNumberFormat="1" applyFont="1" applyBorder="1" applyAlignment="1" applyProtection="1">
      <alignment vertical="top"/>
      <protection hidden="1"/>
    </xf>
    <xf numFmtId="167" fontId="283" fillId="4" borderId="0" xfId="0" applyNumberFormat="1" applyFont="1" applyFill="1" applyAlignment="1" applyProtection="1">
      <alignment horizontal="left"/>
      <protection hidden="1"/>
    </xf>
    <xf numFmtId="167" fontId="260" fillId="0" borderId="7" xfId="0" applyNumberFormat="1" applyFont="1" applyBorder="1" applyAlignment="1" applyProtection="1">
      <alignment vertical="top"/>
      <protection hidden="1"/>
    </xf>
    <xf numFmtId="167" fontId="262" fillId="0" borderId="7" xfId="0" applyNumberFormat="1" applyFont="1" applyBorder="1" applyAlignment="1" applyProtection="1">
      <alignment vertical="top"/>
      <protection hidden="1"/>
    </xf>
    <xf numFmtId="167" fontId="263" fillId="0" borderId="7" xfId="0" applyNumberFormat="1" applyFont="1" applyBorder="1" applyAlignment="1" applyProtection="1">
      <alignment vertical="top"/>
      <protection hidden="1"/>
    </xf>
    <xf numFmtId="167" fontId="264" fillId="0" borderId="7" xfId="0" applyNumberFormat="1" applyFont="1" applyBorder="1" applyAlignment="1" applyProtection="1">
      <alignment vertical="top"/>
      <protection hidden="1"/>
    </xf>
    <xf numFmtId="167" fontId="265" fillId="0" borderId="0" xfId="0" applyNumberFormat="1" applyFont="1" applyAlignment="1" applyProtection="1">
      <alignment vertical="top"/>
      <protection hidden="1"/>
    </xf>
    <xf numFmtId="167" fontId="261" fillId="0" borderId="0" xfId="0" applyNumberFormat="1" applyFont="1" applyAlignment="1" applyProtection="1">
      <alignment vertical="top"/>
      <protection hidden="1"/>
    </xf>
    <xf numFmtId="167" fontId="181" fillId="0" borderId="0" xfId="0" applyNumberFormat="1" applyFont="1" applyAlignment="1" applyProtection="1">
      <alignment vertical="top"/>
      <protection hidden="1"/>
    </xf>
    <xf numFmtId="0" fontId="82" fillId="0" borderId="0" xfId="0" applyFont="1" applyAlignment="1" applyProtection="1">
      <alignment vertical="center"/>
      <protection hidden="1"/>
    </xf>
    <xf numFmtId="0" fontId="287" fillId="61" borderId="0" xfId="0" applyFont="1" applyFill="1" applyAlignment="1" applyProtection="1">
      <alignment horizontal="left" indent="1"/>
      <protection hidden="1"/>
    </xf>
    <xf numFmtId="0" fontId="287" fillId="61" borderId="0" xfId="0" applyFont="1" applyFill="1" applyAlignment="1" applyProtection="1">
      <alignment horizontal="left" vertical="center" indent="1"/>
      <protection hidden="1"/>
    </xf>
    <xf numFmtId="0" fontId="288" fillId="61" borderId="0" xfId="0" applyFont="1" applyFill="1" applyAlignment="1" applyProtection="1">
      <alignment vertical="center"/>
      <protection hidden="1"/>
    </xf>
    <xf numFmtId="0" fontId="283" fillId="61" borderId="0" xfId="0" applyFont="1" applyFill="1" applyAlignment="1" applyProtection="1">
      <alignment horizontal="left" vertical="center" indent="1"/>
      <protection hidden="1"/>
    </xf>
    <xf numFmtId="0" fontId="283" fillId="61" borderId="0" xfId="0" applyFont="1" applyFill="1" applyAlignment="1" applyProtection="1">
      <alignment horizontal="left" indent="1"/>
      <protection hidden="1"/>
    </xf>
    <xf numFmtId="0" fontId="17" fillId="61" borderId="0" xfId="0" applyFont="1" applyFill="1" applyAlignment="1" applyProtection="1">
      <alignment vertical="center"/>
      <protection hidden="1"/>
    </xf>
    <xf numFmtId="0" fontId="289" fillId="61" borderId="0" xfId="0" applyFont="1" applyFill="1" applyAlignment="1" applyProtection="1">
      <alignment horizontal="left" vertical="top" indent="1"/>
      <protection hidden="1"/>
    </xf>
    <xf numFmtId="0" fontId="283" fillId="61" borderId="0" xfId="0" applyFont="1" applyFill="1" applyAlignment="1" applyProtection="1">
      <alignment horizontal="left" vertical="top"/>
      <protection hidden="1"/>
    </xf>
    <xf numFmtId="0" fontId="17" fillId="61" borderId="351" xfId="0" applyFont="1" applyFill="1" applyBorder="1" applyAlignment="1" applyProtection="1">
      <alignment vertical="center"/>
      <protection hidden="1"/>
    </xf>
    <xf numFmtId="0" fontId="289" fillId="61" borderId="0" xfId="0" applyFont="1" applyFill="1" applyAlignment="1" applyProtection="1">
      <alignment horizontal="right" vertical="center" indent="1"/>
      <protection hidden="1"/>
    </xf>
    <xf numFmtId="0" fontId="289" fillId="61" borderId="0" xfId="0" applyFont="1" applyFill="1" applyAlignment="1" applyProtection="1">
      <alignment horizontal="left" vertical="center" indent="1"/>
      <protection hidden="1"/>
    </xf>
    <xf numFmtId="0" fontId="87" fillId="47" borderId="43" xfId="0" applyFont="1" applyFill="1" applyBorder="1" applyAlignment="1" applyProtection="1">
      <alignment horizontal="right" vertical="center" indent="1"/>
      <protection hidden="1"/>
    </xf>
    <xf numFmtId="0" fontId="283" fillId="61" borderId="0" xfId="0" applyFont="1" applyFill="1" applyAlignment="1" applyProtection="1">
      <alignment vertical="top"/>
      <protection hidden="1"/>
    </xf>
    <xf numFmtId="0" fontId="283" fillId="61" borderId="0" xfId="0" applyFont="1" applyFill="1" applyAlignment="1" applyProtection="1">
      <alignment horizontal="right" vertical="top"/>
      <protection hidden="1"/>
    </xf>
    <xf numFmtId="0" fontId="0" fillId="61" borderId="0" xfId="0" applyFill="1" applyProtection="1">
      <protection hidden="1"/>
    </xf>
    <xf numFmtId="167" fontId="271" fillId="0" borderId="7" xfId="0" applyNumberFormat="1" applyFont="1" applyBorder="1" applyAlignment="1" applyProtection="1">
      <alignment vertical="top"/>
      <protection hidden="1"/>
    </xf>
    <xf numFmtId="167" fontId="270" fillId="0" borderId="7" xfId="0" applyNumberFormat="1" applyFont="1" applyBorder="1" applyAlignment="1" applyProtection="1">
      <alignment vertical="top"/>
      <protection hidden="1"/>
    </xf>
    <xf numFmtId="167" fontId="268" fillId="0" borderId="7" xfId="0" applyNumberFormat="1" applyFont="1" applyBorder="1" applyAlignment="1" applyProtection="1">
      <alignment vertical="top"/>
      <protection hidden="1"/>
    </xf>
    <xf numFmtId="167" fontId="267" fillId="0" borderId="7" xfId="0" applyNumberFormat="1" applyFont="1" applyBorder="1" applyAlignment="1" applyProtection="1">
      <alignment vertical="top"/>
      <protection hidden="1"/>
    </xf>
    <xf numFmtId="167" fontId="266" fillId="0" borderId="0" xfId="0" applyNumberFormat="1" applyFont="1" applyAlignment="1" applyProtection="1">
      <alignment vertical="top"/>
      <protection hidden="1"/>
    </xf>
    <xf numFmtId="167" fontId="269" fillId="0" borderId="0" xfId="0" applyNumberFormat="1" applyFont="1" applyAlignment="1" applyProtection="1">
      <alignment vertical="top"/>
      <protection hidden="1"/>
    </xf>
    <xf numFmtId="0" fontId="135" fillId="4" borderId="32" xfId="0" applyFont="1" applyFill="1" applyBorder="1" applyAlignment="1" applyProtection="1">
      <alignment horizontal="center" vertical="top"/>
      <protection hidden="1"/>
    </xf>
    <xf numFmtId="0" fontId="57" fillId="4" borderId="0" xfId="0" applyFont="1" applyFill="1" applyAlignment="1" applyProtection="1">
      <alignment horizontal="center" vertical="center"/>
      <protection hidden="1"/>
    </xf>
    <xf numFmtId="0" fontId="135" fillId="4" borderId="31" xfId="0" applyFont="1" applyFill="1" applyBorder="1" applyAlignment="1" applyProtection="1">
      <alignment horizontal="center" vertical="top"/>
      <protection hidden="1"/>
    </xf>
    <xf numFmtId="164" fontId="57" fillId="4" borderId="0" xfId="0" applyNumberFormat="1" applyFont="1" applyFill="1" applyAlignment="1" applyProtection="1">
      <alignment horizontal="center" vertical="top"/>
      <protection hidden="1"/>
    </xf>
    <xf numFmtId="0" fontId="135" fillId="4" borderId="30" xfId="0" applyFont="1" applyFill="1" applyBorder="1" applyAlignment="1" applyProtection="1">
      <alignment horizontal="center" vertical="top"/>
      <protection hidden="1"/>
    </xf>
    <xf numFmtId="0" fontId="135" fillId="4" borderId="28" xfId="0" applyFont="1" applyFill="1" applyBorder="1" applyAlignment="1" applyProtection="1">
      <alignment horizontal="center" vertical="top"/>
      <protection hidden="1"/>
    </xf>
    <xf numFmtId="0" fontId="135" fillId="4" borderId="29" xfId="0" applyFont="1" applyFill="1" applyBorder="1" applyAlignment="1" applyProtection="1">
      <alignment horizontal="center" vertical="top"/>
      <protection hidden="1"/>
    </xf>
    <xf numFmtId="0" fontId="135" fillId="4" borderId="131" xfId="0" applyFont="1" applyFill="1" applyBorder="1" applyAlignment="1" applyProtection="1">
      <alignment horizontal="center" vertical="top"/>
      <protection hidden="1"/>
    </xf>
    <xf numFmtId="0" fontId="57" fillId="4" borderId="0" xfId="0" applyFont="1" applyFill="1" applyAlignment="1" applyProtection="1">
      <alignment horizontal="center" vertical="top"/>
      <protection hidden="1"/>
    </xf>
    <xf numFmtId="0" fontId="200" fillId="0" borderId="0" xfId="0" applyFont="1" applyAlignment="1" applyProtection="1">
      <alignment horizontal="right"/>
      <protection hidden="1"/>
    </xf>
    <xf numFmtId="0" fontId="0" fillId="0" borderId="6" xfId="0" applyBorder="1" applyAlignment="1" applyProtection="1">
      <alignment horizontal="center" vertical="center"/>
      <protection hidden="1"/>
    </xf>
    <xf numFmtId="0" fontId="186" fillId="47" borderId="44" xfId="0" applyFont="1" applyFill="1" applyBorder="1" applyAlignment="1" applyProtection="1">
      <alignment horizontal="left" vertical="center"/>
      <protection hidden="1"/>
    </xf>
    <xf numFmtId="0" fontId="314" fillId="4" borderId="25" xfId="0" applyFont="1" applyFill="1" applyBorder="1" applyAlignment="1" applyProtection="1">
      <alignment horizontal="left" vertical="center" indent="1"/>
      <protection hidden="1"/>
    </xf>
    <xf numFmtId="0" fontId="314" fillId="4" borderId="25" xfId="0" applyFont="1" applyFill="1" applyBorder="1" applyAlignment="1" applyProtection="1">
      <alignment horizontal="left" vertical="center"/>
      <protection hidden="1"/>
    </xf>
    <xf numFmtId="0" fontId="70" fillId="4" borderId="25" xfId="0" applyFont="1" applyFill="1" applyBorder="1" applyAlignment="1" applyProtection="1">
      <alignment horizontal="right" vertical="center"/>
      <protection hidden="1"/>
    </xf>
    <xf numFmtId="0" fontId="70" fillId="4" borderId="25" xfId="0" applyFont="1" applyFill="1" applyBorder="1" applyAlignment="1" applyProtection="1">
      <alignment horizontal="left" vertical="center"/>
      <protection hidden="1"/>
    </xf>
    <xf numFmtId="0" fontId="290" fillId="0" borderId="25" xfId="0" applyFont="1" applyBorder="1" applyAlignment="1" applyProtection="1">
      <alignment horizontal="right" vertical="center"/>
      <protection hidden="1"/>
    </xf>
    <xf numFmtId="0" fontId="70" fillId="4" borderId="25" xfId="0" applyFont="1" applyFill="1" applyBorder="1" applyAlignment="1" applyProtection="1">
      <alignment vertical="center"/>
      <protection hidden="1"/>
    </xf>
    <xf numFmtId="0" fontId="290" fillId="0" borderId="25" xfId="0" applyFont="1" applyBorder="1" applyAlignment="1" applyProtection="1">
      <alignment vertical="center"/>
      <protection hidden="1"/>
    </xf>
    <xf numFmtId="0" fontId="314" fillId="4" borderId="26" xfId="0" applyFont="1" applyFill="1" applyBorder="1" applyAlignment="1" applyProtection="1">
      <alignment horizontal="right" vertical="center" indent="1"/>
      <protection hidden="1"/>
    </xf>
    <xf numFmtId="0" fontId="0" fillId="0" borderId="25" xfId="0" applyBorder="1" applyAlignment="1" applyProtection="1">
      <alignment horizontal="right" indent="2"/>
      <protection hidden="1"/>
    </xf>
    <xf numFmtId="0" fontId="70" fillId="4" borderId="37" xfId="0" applyFont="1" applyFill="1" applyBorder="1" applyAlignment="1" applyProtection="1">
      <alignment vertical="center"/>
      <protection hidden="1"/>
    </xf>
    <xf numFmtId="0" fontId="70" fillId="4" borderId="25" xfId="0" applyFont="1" applyFill="1" applyBorder="1" applyAlignment="1" applyProtection="1">
      <alignment horizontal="left" vertical="center" indent="1"/>
      <protection hidden="1"/>
    </xf>
    <xf numFmtId="0" fontId="70" fillId="4" borderId="22" xfId="0" applyFont="1" applyFill="1" applyBorder="1" applyAlignment="1" applyProtection="1">
      <alignment horizontal="left" vertical="center" indent="1"/>
      <protection hidden="1"/>
    </xf>
    <xf numFmtId="0" fontId="160" fillId="4" borderId="7" xfId="0" applyFont="1" applyFill="1" applyBorder="1" applyAlignment="1" applyProtection="1">
      <alignment horizontal="right" vertical="center" indent="1"/>
      <protection hidden="1"/>
    </xf>
    <xf numFmtId="0" fontId="160" fillId="4" borderId="0" xfId="0" applyFont="1" applyFill="1" applyAlignment="1" applyProtection="1">
      <alignment horizontal="right" vertical="center" indent="1"/>
      <protection hidden="1"/>
    </xf>
    <xf numFmtId="0" fontId="10" fillId="53" borderId="59" xfId="0" applyFont="1" applyFill="1" applyBorder="1" applyAlignment="1" applyProtection="1">
      <alignment horizontal="left" vertical="center"/>
      <protection hidden="1"/>
    </xf>
    <xf numFmtId="164" fontId="273" fillId="4" borderId="0" xfId="0" applyNumberFormat="1" applyFont="1" applyFill="1" applyAlignment="1" applyProtection="1">
      <alignment horizontal="left"/>
      <protection hidden="1"/>
    </xf>
    <xf numFmtId="0" fontId="164" fillId="0" borderId="0" xfId="0" applyFont="1" applyAlignment="1" applyProtection="1">
      <alignment horizontal="left"/>
      <protection hidden="1"/>
    </xf>
    <xf numFmtId="167" fontId="304" fillId="4" borderId="22" xfId="0" applyNumberFormat="1" applyFont="1" applyFill="1" applyBorder="1" applyAlignment="1" applyProtection="1">
      <alignment vertical="center"/>
      <protection hidden="1"/>
    </xf>
    <xf numFmtId="0" fontId="273" fillId="4" borderId="0" xfId="0" applyFont="1" applyFill="1" applyProtection="1">
      <protection hidden="1"/>
    </xf>
    <xf numFmtId="167" fontId="273" fillId="4" borderId="0" xfId="0" applyNumberFormat="1" applyFont="1" applyFill="1" applyProtection="1">
      <protection hidden="1"/>
    </xf>
    <xf numFmtId="167" fontId="304" fillId="4" borderId="0" xfId="0" applyNumberFormat="1" applyFont="1" applyFill="1" applyAlignment="1" applyProtection="1">
      <alignment vertical="center"/>
      <protection hidden="1"/>
    </xf>
    <xf numFmtId="167" fontId="228" fillId="4" borderId="0" xfId="0" applyNumberFormat="1" applyFont="1" applyFill="1" applyProtection="1">
      <protection hidden="1"/>
    </xf>
    <xf numFmtId="167" fontId="308" fillId="4" borderId="0" xfId="0" applyNumberFormat="1" applyFont="1" applyFill="1" applyProtection="1">
      <protection hidden="1"/>
    </xf>
    <xf numFmtId="167" fontId="307" fillId="4" borderId="0" xfId="0" applyNumberFormat="1" applyFont="1" applyFill="1" applyProtection="1">
      <protection hidden="1"/>
    </xf>
    <xf numFmtId="167" fontId="306" fillId="4" borderId="0" xfId="0" applyNumberFormat="1" applyFont="1" applyFill="1" applyAlignment="1" applyProtection="1">
      <alignment horizontal="right"/>
      <protection hidden="1"/>
    </xf>
    <xf numFmtId="167" fontId="304" fillId="4" borderId="22" xfId="0" applyNumberFormat="1" applyFont="1" applyFill="1" applyBorder="1" applyAlignment="1" applyProtection="1">
      <alignment horizontal="right"/>
      <protection hidden="1"/>
    </xf>
    <xf numFmtId="167" fontId="306" fillId="4" borderId="0" xfId="0" applyNumberFormat="1" applyFont="1" applyFill="1" applyAlignment="1" applyProtection="1">
      <alignment horizontal="center"/>
      <protection hidden="1"/>
    </xf>
    <xf numFmtId="167" fontId="304" fillId="4" borderId="0" xfId="0" applyNumberFormat="1" applyFont="1" applyFill="1" applyAlignment="1" applyProtection="1">
      <alignment horizontal="center"/>
      <protection hidden="1"/>
    </xf>
    <xf numFmtId="165" fontId="273" fillId="4" borderId="0" xfId="0" applyNumberFormat="1" applyFont="1" applyFill="1" applyAlignment="1" applyProtection="1">
      <alignment vertical="top"/>
      <protection hidden="1"/>
    </xf>
    <xf numFmtId="165" fontId="309" fillId="4" borderId="0" xfId="0" applyNumberFormat="1" applyFont="1" applyFill="1" applyAlignment="1" applyProtection="1">
      <alignment horizontal="left" vertical="top" indent="1"/>
      <protection hidden="1"/>
    </xf>
    <xf numFmtId="167" fontId="359" fillId="4" borderId="0" xfId="0" applyNumberFormat="1" applyFont="1" applyFill="1" applyAlignment="1" applyProtection="1">
      <alignment horizontal="right" vertical="top"/>
      <protection hidden="1"/>
    </xf>
    <xf numFmtId="0" fontId="223" fillId="0" borderId="20" xfId="0" applyFont="1" applyBorder="1" applyProtection="1">
      <protection hidden="1"/>
    </xf>
    <xf numFmtId="0" fontId="223" fillId="0" borderId="25" xfId="0" applyFont="1" applyBorder="1" applyProtection="1">
      <protection hidden="1"/>
    </xf>
    <xf numFmtId="3" fontId="14" fillId="4" borderId="0" xfId="0" applyNumberFormat="1" applyFont="1" applyFill="1" applyAlignment="1" applyProtection="1">
      <alignment horizontal="right" vertical="center"/>
      <protection hidden="1"/>
    </xf>
    <xf numFmtId="0" fontId="17" fillId="4" borderId="379" xfId="0" applyFont="1" applyFill="1" applyBorder="1" applyAlignment="1" applyProtection="1">
      <alignment horizontal="left"/>
      <protection hidden="1"/>
    </xf>
    <xf numFmtId="0" fontId="17" fillId="4" borderId="380" xfId="0" applyFont="1" applyFill="1" applyBorder="1" applyAlignment="1" applyProtection="1">
      <alignment horizontal="left"/>
      <protection hidden="1"/>
    </xf>
    <xf numFmtId="165" fontId="309" fillId="4" borderId="0" xfId="0" applyNumberFormat="1" applyFont="1" applyFill="1" applyAlignment="1" applyProtection="1">
      <alignment horizontal="left" vertical="top"/>
      <protection hidden="1"/>
    </xf>
    <xf numFmtId="0" fontId="7" fillId="9" borderId="0" xfId="0" applyFont="1" applyFill="1" applyAlignment="1" applyProtection="1">
      <alignment horizontal="center" vertical="center"/>
      <protection hidden="1"/>
    </xf>
    <xf numFmtId="0" fontId="250" fillId="0" borderId="0" xfId="0" applyFont="1" applyAlignment="1" applyProtection="1">
      <alignment horizontal="center" vertical="center" wrapText="1"/>
      <protection hidden="1"/>
    </xf>
    <xf numFmtId="0" fontId="13" fillId="4" borderId="0" xfId="0" applyFont="1" applyFill="1" applyAlignment="1" applyProtection="1">
      <alignment horizontal="center" vertical="top"/>
      <protection hidden="1"/>
    </xf>
    <xf numFmtId="0" fontId="13" fillId="4" borderId="0" xfId="0" applyFont="1" applyFill="1" applyAlignment="1" applyProtection="1">
      <alignment horizontal="right" vertical="top"/>
      <protection hidden="1"/>
    </xf>
    <xf numFmtId="0" fontId="128" fillId="0" borderId="293" xfId="0" applyFont="1" applyBorder="1" applyAlignment="1" applyProtection="1">
      <alignment horizontal="right" vertical="center"/>
      <protection hidden="1"/>
    </xf>
    <xf numFmtId="164" fontId="273" fillId="0" borderId="0" xfId="0" applyNumberFormat="1" applyFont="1" applyAlignment="1" applyProtection="1">
      <alignment horizontal="left"/>
      <protection hidden="1"/>
    </xf>
    <xf numFmtId="0" fontId="135" fillId="4" borderId="0" xfId="0" applyFont="1" applyFill="1" applyAlignment="1" applyProtection="1">
      <alignment horizontal="center"/>
      <protection hidden="1"/>
    </xf>
    <xf numFmtId="0" fontId="135" fillId="4" borderId="0" xfId="0" applyFont="1" applyFill="1" applyAlignment="1" applyProtection="1">
      <alignment horizontal="center" vertical="center"/>
      <protection hidden="1"/>
    </xf>
    <xf numFmtId="0" fontId="18" fillId="4" borderId="0" xfId="0" applyFont="1" applyFill="1" applyAlignment="1" applyProtection="1">
      <alignment horizontal="center"/>
      <protection hidden="1"/>
    </xf>
    <xf numFmtId="0" fontId="43" fillId="10" borderId="0" xfId="0" applyFont="1" applyFill="1" applyAlignment="1" applyProtection="1">
      <alignment horizontal="left" vertical="center" wrapText="1" indent="1"/>
      <protection hidden="1"/>
    </xf>
    <xf numFmtId="0" fontId="43" fillId="11" borderId="0" xfId="0" applyFont="1" applyFill="1" applyAlignment="1" applyProtection="1">
      <alignment horizontal="left" vertical="center" wrapText="1" indent="1"/>
      <protection hidden="1"/>
    </xf>
    <xf numFmtId="0" fontId="43" fillId="19" borderId="0" xfId="0" applyFont="1" applyFill="1" applyAlignment="1" applyProtection="1">
      <alignment horizontal="left" vertical="center" wrapText="1" indent="1"/>
      <protection hidden="1"/>
    </xf>
    <xf numFmtId="0" fontId="43" fillId="14" borderId="0" xfId="0" applyFont="1" applyFill="1" applyAlignment="1" applyProtection="1">
      <alignment horizontal="left" vertical="center" wrapText="1" indent="1"/>
      <protection hidden="1"/>
    </xf>
    <xf numFmtId="0" fontId="43" fillId="12" borderId="142" xfId="0" applyFont="1" applyFill="1" applyBorder="1" applyAlignment="1" applyProtection="1">
      <alignment horizontal="left" vertical="center" wrapText="1" indent="1"/>
      <protection hidden="1"/>
    </xf>
    <xf numFmtId="0" fontId="24" fillId="4" borderId="0" xfId="0" applyFont="1" applyFill="1" applyAlignment="1" applyProtection="1">
      <alignment horizontal="right" vertical="top" indent="1"/>
      <protection hidden="1"/>
    </xf>
    <xf numFmtId="0" fontId="20" fillId="4" borderId="0" xfId="0" applyFont="1" applyFill="1" applyAlignment="1" applyProtection="1">
      <alignment horizontal="center" textRotation="90"/>
      <protection hidden="1"/>
    </xf>
    <xf numFmtId="0" fontId="53" fillId="4" borderId="0" xfId="0" applyFont="1" applyFill="1" applyAlignment="1" applyProtection="1">
      <alignment horizontal="right" vertical="center" wrapText="1" indent="2"/>
      <protection hidden="1"/>
    </xf>
    <xf numFmtId="168" fontId="283" fillId="4" borderId="0" xfId="0" applyNumberFormat="1" applyFont="1" applyFill="1" applyAlignment="1" applyProtection="1">
      <alignment horizontal="left" vertical="top"/>
      <protection hidden="1"/>
    </xf>
    <xf numFmtId="0" fontId="15" fillId="4" borderId="170" xfId="0" applyFont="1" applyFill="1" applyBorder="1" applyAlignment="1" applyProtection="1">
      <alignment horizontal="left" vertical="center" indent="1"/>
      <protection hidden="1"/>
    </xf>
    <xf numFmtId="167" fontId="283" fillId="4" borderId="0" xfId="0" applyNumberFormat="1" applyFont="1" applyFill="1" applyAlignment="1" applyProtection="1">
      <alignment horizontal="left" vertical="top"/>
      <protection hidden="1"/>
    </xf>
    <xf numFmtId="0" fontId="7" fillId="41" borderId="0" xfId="0" applyFont="1" applyFill="1" applyAlignment="1" applyProtection="1">
      <alignment horizontal="center" vertical="center"/>
      <protection hidden="1"/>
    </xf>
    <xf numFmtId="167" fontId="283" fillId="4" borderId="0" xfId="0" applyNumberFormat="1" applyFont="1" applyFill="1" applyAlignment="1" applyProtection="1">
      <alignment horizontal="left" vertical="center"/>
      <protection hidden="1"/>
    </xf>
    <xf numFmtId="0" fontId="7" fillId="45" borderId="0" xfId="0" applyFont="1" applyFill="1" applyAlignment="1" applyProtection="1">
      <alignment horizontal="center" vertical="center"/>
      <protection hidden="1"/>
    </xf>
    <xf numFmtId="1" fontId="335" fillId="4" borderId="0" xfId="0" applyNumberFormat="1" applyFont="1" applyFill="1" applyAlignment="1" applyProtection="1">
      <alignment horizontal="center" vertical="center"/>
      <protection hidden="1"/>
    </xf>
    <xf numFmtId="0" fontId="295" fillId="4" borderId="0" xfId="0" applyFont="1" applyFill="1" applyAlignment="1" applyProtection="1">
      <alignment horizontal="left" vertical="center" wrapText="1"/>
      <protection hidden="1"/>
    </xf>
    <xf numFmtId="0" fontId="295" fillId="4" borderId="356" xfId="0" applyFont="1" applyFill="1" applyBorder="1" applyAlignment="1" applyProtection="1">
      <alignment horizontal="left" vertical="center" wrapText="1"/>
      <protection hidden="1"/>
    </xf>
    <xf numFmtId="165" fontId="337" fillId="0" borderId="0" xfId="0" applyNumberFormat="1" applyFont="1" applyAlignment="1" applyProtection="1">
      <alignment horizontal="right" vertical="center"/>
      <protection hidden="1"/>
    </xf>
    <xf numFmtId="0" fontId="220" fillId="13" borderId="93" xfId="0" applyFont="1" applyFill="1" applyBorder="1" applyAlignment="1" applyProtection="1">
      <alignment horizontal="right" vertical="center" wrapText="1"/>
      <protection hidden="1"/>
    </xf>
    <xf numFmtId="0" fontId="70" fillId="4" borderId="0" xfId="0" applyFont="1" applyFill="1" applyAlignment="1" applyProtection="1">
      <alignment horizontal="left" vertical="center"/>
      <protection hidden="1"/>
    </xf>
    <xf numFmtId="0" fontId="295" fillId="4" borderId="355" xfId="0" applyFont="1" applyFill="1" applyBorder="1" applyAlignment="1" applyProtection="1">
      <alignment horizontal="left" vertical="center" wrapText="1"/>
      <protection hidden="1"/>
    </xf>
    <xf numFmtId="0" fontId="13" fillId="4" borderId="0" xfId="0" applyFont="1" applyFill="1" applyAlignment="1" applyProtection="1">
      <alignment horizontal="right" vertical="center"/>
      <protection hidden="1"/>
    </xf>
    <xf numFmtId="0" fontId="218" fillId="4" borderId="22" xfId="0" applyFont="1" applyFill="1" applyBorder="1" applyAlignment="1" applyProtection="1">
      <alignment horizontal="left" vertical="center"/>
      <protection hidden="1"/>
    </xf>
    <xf numFmtId="0" fontId="219" fillId="10" borderId="142" xfId="0" applyFont="1" applyFill="1" applyBorder="1" applyAlignment="1" applyProtection="1">
      <alignment horizontal="left" vertical="center" wrapText="1" indent="1"/>
      <protection hidden="1"/>
    </xf>
    <xf numFmtId="0" fontId="219" fillId="14" borderId="324" xfId="0" applyFont="1" applyFill="1" applyBorder="1" applyAlignment="1" applyProtection="1">
      <alignment horizontal="left" vertical="center" wrapText="1" indent="1"/>
      <protection hidden="1"/>
    </xf>
    <xf numFmtId="1" fontId="13" fillId="4" borderId="0" xfId="0" applyNumberFormat="1" applyFont="1" applyFill="1" applyAlignment="1" applyProtection="1">
      <alignment horizontal="right" vertical="center"/>
      <protection hidden="1"/>
    </xf>
    <xf numFmtId="0" fontId="29" fillId="4" borderId="0" xfId="0" applyFont="1" applyFill="1" applyAlignment="1" applyProtection="1">
      <alignment horizontal="left" vertical="center"/>
      <protection hidden="1"/>
    </xf>
    <xf numFmtId="0" fontId="74" fillId="0" borderId="0" xfId="0" applyFont="1" applyAlignment="1" applyProtection="1">
      <alignment horizontal="left"/>
      <protection hidden="1"/>
    </xf>
    <xf numFmtId="0" fontId="219" fillId="11" borderId="324" xfId="0" applyFont="1" applyFill="1" applyBorder="1" applyAlignment="1" applyProtection="1">
      <alignment horizontal="left" vertical="center" wrapText="1" indent="1"/>
      <protection hidden="1"/>
    </xf>
    <xf numFmtId="0" fontId="219" fillId="19" borderId="324" xfId="0" applyFont="1" applyFill="1" applyBorder="1" applyAlignment="1" applyProtection="1">
      <alignment horizontal="left" vertical="center" wrapText="1" indent="1"/>
      <protection hidden="1"/>
    </xf>
    <xf numFmtId="0" fontId="220" fillId="10" borderId="142" xfId="0" applyFont="1" applyFill="1" applyBorder="1" applyAlignment="1" applyProtection="1">
      <alignment horizontal="right" vertical="center" wrapText="1"/>
      <protection hidden="1"/>
    </xf>
    <xf numFmtId="0" fontId="220" fillId="11" borderId="324" xfId="0" applyFont="1" applyFill="1" applyBorder="1" applyAlignment="1" applyProtection="1">
      <alignment horizontal="right" vertical="center" wrapText="1"/>
      <protection hidden="1"/>
    </xf>
    <xf numFmtId="0" fontId="220" fillId="19" borderId="324" xfId="0" applyFont="1" applyFill="1" applyBorder="1" applyAlignment="1" applyProtection="1">
      <alignment horizontal="right" vertical="center" wrapText="1"/>
      <protection hidden="1"/>
    </xf>
    <xf numFmtId="0" fontId="220" fillId="14" borderId="324" xfId="0" applyFont="1" applyFill="1" applyBorder="1" applyAlignment="1" applyProtection="1">
      <alignment horizontal="right" vertical="center" wrapText="1"/>
      <protection hidden="1"/>
    </xf>
    <xf numFmtId="0" fontId="220" fillId="12" borderId="324" xfId="0" applyFont="1" applyFill="1" applyBorder="1" applyAlignment="1" applyProtection="1">
      <alignment horizontal="right" vertical="center" wrapText="1"/>
      <protection hidden="1"/>
    </xf>
    <xf numFmtId="0" fontId="219" fillId="12" borderId="324" xfId="0" applyFont="1" applyFill="1" applyBorder="1" applyAlignment="1" applyProtection="1">
      <alignment horizontal="left" vertical="center" wrapText="1" indent="1"/>
      <protection hidden="1"/>
    </xf>
    <xf numFmtId="0" fontId="17" fillId="4" borderId="0" xfId="0" applyFont="1" applyFill="1" applyAlignment="1" applyProtection="1">
      <alignment horizontal="left" vertical="center"/>
      <protection hidden="1"/>
    </xf>
    <xf numFmtId="0" fontId="220" fillId="38" borderId="10" xfId="0" applyFont="1" applyFill="1" applyBorder="1" applyAlignment="1" applyProtection="1">
      <alignment horizontal="right" vertical="center" wrapText="1"/>
      <protection hidden="1"/>
    </xf>
    <xf numFmtId="0" fontId="70" fillId="4" borderId="17" xfId="0" applyFont="1" applyFill="1" applyBorder="1" applyAlignment="1" applyProtection="1">
      <alignment horizontal="center" vertical="center"/>
      <protection hidden="1"/>
    </xf>
    <xf numFmtId="0" fontId="7" fillId="50" borderId="0" xfId="0" applyFont="1" applyFill="1" applyAlignment="1" applyProtection="1">
      <alignment horizontal="center" vertical="center"/>
      <protection hidden="1"/>
    </xf>
    <xf numFmtId="0" fontId="220" fillId="13" borderId="335" xfId="0" applyFont="1" applyFill="1" applyBorder="1" applyAlignment="1" applyProtection="1">
      <alignment horizontal="right" vertical="center" wrapText="1"/>
      <protection hidden="1"/>
    </xf>
    <xf numFmtId="0" fontId="220" fillId="38" borderId="332" xfId="0" applyFont="1" applyFill="1" applyBorder="1" applyAlignment="1" applyProtection="1">
      <alignment horizontal="right" vertical="center" wrapText="1"/>
      <protection hidden="1"/>
    </xf>
    <xf numFmtId="0" fontId="159" fillId="4" borderId="0" xfId="0" applyFont="1" applyFill="1" applyAlignment="1" applyProtection="1">
      <alignment horizontal="right" vertical="center" indent="1"/>
      <protection hidden="1"/>
    </xf>
    <xf numFmtId="0" fontId="64" fillId="4" borderId="2" xfId="0" applyFont="1" applyFill="1" applyBorder="1" applyProtection="1">
      <protection hidden="1"/>
    </xf>
    <xf numFmtId="0" fontId="123" fillId="4" borderId="7" xfId="1" applyFont="1" applyFill="1" applyBorder="1" applyAlignment="1" applyProtection="1">
      <alignment horizontal="center" vertical="center" wrapText="1"/>
      <protection hidden="1"/>
    </xf>
    <xf numFmtId="0" fontId="0" fillId="0" borderId="0" xfId="0" applyAlignment="1" applyProtection="1">
      <alignment horizontal="right" vertical="top"/>
      <protection hidden="1"/>
    </xf>
    <xf numFmtId="0" fontId="0" fillId="56" borderId="0" xfId="0" applyFill="1" applyAlignment="1" applyProtection="1">
      <alignment horizontal="left" vertical="center"/>
      <protection hidden="1"/>
    </xf>
    <xf numFmtId="0" fontId="11" fillId="0" borderId="0" xfId="0" applyFont="1" applyProtection="1">
      <protection hidden="1"/>
    </xf>
    <xf numFmtId="0" fontId="96" fillId="0" borderId="0" xfId="0" applyFont="1" applyAlignment="1" applyProtection="1">
      <alignment horizontal="center" vertical="center"/>
      <protection hidden="1"/>
    </xf>
    <xf numFmtId="0" fontId="197" fillId="0" borderId="0" xfId="0" applyFont="1" applyAlignment="1" applyProtection="1">
      <alignment vertical="center"/>
      <protection hidden="1"/>
    </xf>
    <xf numFmtId="0" fontId="0" fillId="0" borderId="2" xfId="0" applyBorder="1" applyAlignment="1" applyProtection="1">
      <alignment horizontal="right" indent="1"/>
      <protection hidden="1"/>
    </xf>
    <xf numFmtId="0" fontId="0" fillId="0" borderId="6" xfId="0" applyBorder="1" applyAlignment="1" applyProtection="1">
      <alignment horizontal="left" indent="1"/>
      <protection hidden="1"/>
    </xf>
    <xf numFmtId="0" fontId="0" fillId="0" borderId="63" xfId="0" applyBorder="1" applyAlignment="1" applyProtection="1">
      <alignment horizontal="left" indent="1"/>
      <protection hidden="1"/>
    </xf>
    <xf numFmtId="0" fontId="0" fillId="0" borderId="79" xfId="0" applyBorder="1" applyAlignment="1" applyProtection="1">
      <alignment horizontal="left" indent="1"/>
      <protection hidden="1"/>
    </xf>
    <xf numFmtId="167" fontId="319" fillId="4" borderId="0" xfId="0" applyNumberFormat="1" applyFont="1" applyFill="1" applyAlignment="1" applyProtection="1">
      <alignment horizontal="right" vertical="center"/>
      <protection hidden="1"/>
    </xf>
    <xf numFmtId="167" fontId="211" fillId="4" borderId="0" xfId="0" applyNumberFormat="1" applyFont="1" applyFill="1" applyAlignment="1" applyProtection="1">
      <alignment horizontal="right" vertical="center"/>
      <protection hidden="1"/>
    </xf>
    <xf numFmtId="167" fontId="238" fillId="4" borderId="0" xfId="0" applyNumberFormat="1" applyFont="1" applyFill="1" applyAlignment="1" applyProtection="1">
      <alignment horizontal="right" vertical="center"/>
      <protection hidden="1"/>
    </xf>
    <xf numFmtId="167" fontId="316" fillId="4" borderId="0" xfId="0" applyNumberFormat="1" applyFont="1" applyFill="1" applyAlignment="1" applyProtection="1">
      <alignment horizontal="right" vertical="center"/>
      <protection hidden="1"/>
    </xf>
    <xf numFmtId="167" fontId="317" fillId="4" borderId="0" xfId="0" applyNumberFormat="1" applyFont="1" applyFill="1" applyAlignment="1" applyProtection="1">
      <alignment horizontal="right" vertical="center"/>
      <protection hidden="1"/>
    </xf>
    <xf numFmtId="167" fontId="213" fillId="4" borderId="0" xfId="0" applyNumberFormat="1" applyFont="1" applyFill="1" applyAlignment="1" applyProtection="1">
      <alignment horizontal="right" vertical="center"/>
      <protection hidden="1"/>
    </xf>
    <xf numFmtId="167" fontId="320" fillId="4" borderId="0" xfId="0" applyNumberFormat="1" applyFont="1" applyFill="1" applyAlignment="1" applyProtection="1">
      <alignment horizontal="right"/>
      <protection hidden="1"/>
    </xf>
    <xf numFmtId="167" fontId="321" fillId="4" borderId="0" xfId="0" applyNumberFormat="1" applyFont="1" applyFill="1" applyAlignment="1" applyProtection="1">
      <alignment horizontal="right" vertical="center"/>
      <protection hidden="1"/>
    </xf>
    <xf numFmtId="167" fontId="322" fillId="4" borderId="0" xfId="0" applyNumberFormat="1" applyFont="1" applyFill="1" applyAlignment="1" applyProtection="1">
      <alignment horizontal="right" vertical="center"/>
      <protection hidden="1"/>
    </xf>
    <xf numFmtId="167" fontId="239" fillId="4" borderId="0" xfId="0" applyNumberFormat="1" applyFont="1" applyFill="1" applyAlignment="1" applyProtection="1">
      <alignment horizontal="right" vertical="top"/>
      <protection hidden="1"/>
    </xf>
    <xf numFmtId="167" fontId="318" fillId="4" borderId="0" xfId="0" applyNumberFormat="1" applyFont="1" applyFill="1" applyAlignment="1" applyProtection="1">
      <alignment horizontal="left" vertical="top"/>
      <protection hidden="1"/>
    </xf>
    <xf numFmtId="167" fontId="234" fillId="4" borderId="0" xfId="0" applyNumberFormat="1" applyFont="1" applyFill="1" applyAlignment="1" applyProtection="1">
      <alignment horizontal="center" vertical="top"/>
      <protection hidden="1"/>
    </xf>
    <xf numFmtId="167" fontId="318" fillId="4" borderId="0" xfId="0" applyNumberFormat="1" applyFont="1" applyFill="1" applyAlignment="1" applyProtection="1">
      <alignment horizontal="left" vertical="top" indent="1"/>
      <protection hidden="1"/>
    </xf>
    <xf numFmtId="167" fontId="227" fillId="4" borderId="0" xfId="0" applyNumberFormat="1" applyFont="1" applyFill="1" applyAlignment="1" applyProtection="1">
      <alignment horizontal="right" vertical="top"/>
      <protection hidden="1"/>
    </xf>
    <xf numFmtId="167" fontId="343" fillId="4" borderId="0" xfId="0" applyNumberFormat="1" applyFont="1" applyFill="1" applyAlignment="1" applyProtection="1">
      <alignment horizontal="center" vertical="center"/>
      <protection hidden="1"/>
    </xf>
    <xf numFmtId="167" fontId="342" fillId="4" borderId="0" xfId="0" applyNumberFormat="1" applyFont="1" applyFill="1" applyAlignment="1" applyProtection="1">
      <alignment horizontal="center"/>
      <protection hidden="1"/>
    </xf>
    <xf numFmtId="167" fontId="344" fillId="4" borderId="0" xfId="0" applyNumberFormat="1" applyFont="1" applyFill="1" applyAlignment="1" applyProtection="1">
      <alignment horizontal="center"/>
      <protection hidden="1"/>
    </xf>
    <xf numFmtId="167" fontId="345" fillId="4" borderId="0" xfId="0" applyNumberFormat="1" applyFont="1" applyFill="1" applyAlignment="1" applyProtection="1">
      <alignment horizontal="center"/>
      <protection hidden="1"/>
    </xf>
    <xf numFmtId="167" fontId="347" fillId="4" borderId="0" xfId="0" applyNumberFormat="1" applyFont="1" applyFill="1" applyAlignment="1" applyProtection="1">
      <alignment horizontal="center" vertical="center"/>
      <protection hidden="1"/>
    </xf>
    <xf numFmtId="167" fontId="236" fillId="4" borderId="0" xfId="0" applyNumberFormat="1" applyFont="1" applyFill="1" applyAlignment="1" applyProtection="1">
      <alignment horizontal="right" vertical="top"/>
      <protection hidden="1"/>
    </xf>
    <xf numFmtId="167" fontId="237" fillId="4" borderId="0" xfId="0" applyNumberFormat="1" applyFont="1" applyFill="1" applyAlignment="1" applyProtection="1">
      <alignment horizontal="right" vertical="top"/>
      <protection hidden="1"/>
    </xf>
    <xf numFmtId="167" fontId="235" fillId="4" borderId="0" xfId="0" applyNumberFormat="1" applyFont="1" applyFill="1" applyAlignment="1" applyProtection="1">
      <alignment horizontal="right" vertical="top"/>
      <protection hidden="1"/>
    </xf>
    <xf numFmtId="167" fontId="324" fillId="4" borderId="0" xfId="0" applyNumberFormat="1" applyFont="1" applyFill="1" applyAlignment="1" applyProtection="1">
      <alignment horizontal="right" vertical="center"/>
      <protection hidden="1"/>
    </xf>
    <xf numFmtId="0" fontId="87" fillId="4" borderId="0" xfId="0" applyFont="1" applyFill="1" applyAlignment="1" applyProtection="1">
      <alignment horizontal="left"/>
      <protection hidden="1"/>
    </xf>
    <xf numFmtId="167" fontId="328" fillId="4" borderId="0" xfId="0" applyNumberFormat="1" applyFont="1" applyFill="1" applyAlignment="1" applyProtection="1">
      <alignment horizontal="center" vertical="center"/>
      <protection hidden="1"/>
    </xf>
    <xf numFmtId="167" fontId="328" fillId="4" borderId="0" xfId="0" applyNumberFormat="1" applyFont="1" applyFill="1" applyAlignment="1" applyProtection="1">
      <alignment horizontal="right" vertical="center"/>
      <protection hidden="1"/>
    </xf>
    <xf numFmtId="167" fontId="326" fillId="4" borderId="0" xfId="0" applyNumberFormat="1" applyFont="1" applyFill="1" applyAlignment="1" applyProtection="1">
      <alignment horizontal="right" vertical="center"/>
      <protection hidden="1"/>
    </xf>
    <xf numFmtId="167" fontId="333" fillId="4" borderId="0" xfId="0" applyNumberFormat="1" applyFont="1" applyFill="1" applyAlignment="1" applyProtection="1">
      <alignment horizontal="center" vertical="center"/>
      <protection hidden="1"/>
    </xf>
    <xf numFmtId="167" fontId="333" fillId="4" borderId="0" xfId="0" applyNumberFormat="1" applyFont="1" applyFill="1" applyAlignment="1" applyProtection="1">
      <alignment horizontal="right" vertical="center"/>
      <protection hidden="1"/>
    </xf>
    <xf numFmtId="167" fontId="334" fillId="4" borderId="0" xfId="0" applyNumberFormat="1" applyFont="1" applyFill="1" applyAlignment="1" applyProtection="1">
      <alignment horizontal="center" vertical="center"/>
      <protection hidden="1"/>
    </xf>
    <xf numFmtId="167" fontId="334" fillId="4" borderId="0" xfId="0" applyNumberFormat="1" applyFont="1" applyFill="1" applyAlignment="1" applyProtection="1">
      <alignment horizontal="right" vertical="center"/>
      <protection hidden="1"/>
    </xf>
    <xf numFmtId="167" fontId="325" fillId="4" borderId="0" xfId="0" applyNumberFormat="1" applyFont="1" applyFill="1" applyAlignment="1" applyProtection="1">
      <alignment horizontal="right" vertical="center"/>
      <protection hidden="1"/>
    </xf>
    <xf numFmtId="167" fontId="327" fillId="4" borderId="0" xfId="0" applyNumberFormat="1" applyFont="1" applyFill="1" applyAlignment="1" applyProtection="1">
      <alignment horizontal="center" vertical="center"/>
      <protection hidden="1"/>
    </xf>
    <xf numFmtId="167" fontId="327" fillId="4" borderId="0" xfId="0" applyNumberFormat="1" applyFont="1" applyFill="1" applyAlignment="1" applyProtection="1">
      <alignment horizontal="right" vertical="center"/>
      <protection hidden="1"/>
    </xf>
    <xf numFmtId="167" fontId="331" fillId="4" borderId="0" xfId="0" applyNumberFormat="1" applyFont="1" applyFill="1" applyAlignment="1" applyProtection="1">
      <alignment horizontal="center" vertical="center"/>
      <protection hidden="1"/>
    </xf>
    <xf numFmtId="167" fontId="331" fillId="4" borderId="0" xfId="0" applyNumberFormat="1" applyFont="1" applyFill="1" applyAlignment="1" applyProtection="1">
      <alignment horizontal="right" vertical="center"/>
      <protection hidden="1"/>
    </xf>
    <xf numFmtId="167" fontId="332" fillId="4" borderId="0" xfId="0" applyNumberFormat="1" applyFont="1" applyFill="1" applyAlignment="1" applyProtection="1">
      <alignment horizontal="center" vertical="center"/>
      <protection hidden="1"/>
    </xf>
    <xf numFmtId="167" fontId="332" fillId="4" borderId="0" xfId="0" applyNumberFormat="1" applyFont="1" applyFill="1" applyAlignment="1" applyProtection="1">
      <alignment horizontal="right" vertical="center"/>
      <protection hidden="1"/>
    </xf>
    <xf numFmtId="0" fontId="283" fillId="4" borderId="0" xfId="0" applyFont="1" applyFill="1" applyAlignment="1" applyProtection="1">
      <alignment horizontal="right" vertical="center"/>
      <protection hidden="1"/>
    </xf>
    <xf numFmtId="0" fontId="283" fillId="4" borderId="0" xfId="0" applyFont="1" applyFill="1" applyAlignment="1" applyProtection="1">
      <alignment horizontal="right" vertical="top"/>
      <protection hidden="1"/>
    </xf>
    <xf numFmtId="0" fontId="283" fillId="4" borderId="16" xfId="0" applyFont="1" applyFill="1" applyBorder="1" applyAlignment="1" applyProtection="1">
      <alignment horizontal="right" vertical="top"/>
      <protection hidden="1"/>
    </xf>
    <xf numFmtId="0" fontId="83" fillId="4" borderId="25" xfId="0" applyFont="1" applyFill="1" applyBorder="1" applyAlignment="1" applyProtection="1">
      <alignment horizontal="left"/>
      <protection hidden="1"/>
    </xf>
    <xf numFmtId="0" fontId="83" fillId="4" borderId="25" xfId="0" applyFont="1" applyFill="1" applyBorder="1" applyAlignment="1" applyProtection="1">
      <alignment horizontal="left" indent="1"/>
      <protection hidden="1"/>
    </xf>
    <xf numFmtId="0" fontId="83" fillId="27" borderId="16" xfId="0" applyFont="1" applyFill="1" applyBorder="1" applyAlignment="1" applyProtection="1">
      <alignment horizontal="left"/>
      <protection hidden="1"/>
    </xf>
    <xf numFmtId="0" fontId="83" fillId="27" borderId="16" xfId="0" applyFont="1" applyFill="1" applyBorder="1" applyAlignment="1" applyProtection="1">
      <alignment horizontal="left" indent="1"/>
      <protection hidden="1"/>
    </xf>
    <xf numFmtId="0" fontId="83" fillId="4" borderId="0" xfId="0" applyFont="1" applyFill="1" applyAlignment="1" applyProtection="1">
      <alignment horizontal="left" indent="1"/>
      <protection hidden="1"/>
    </xf>
    <xf numFmtId="0" fontId="83" fillId="27" borderId="12" xfId="0" applyFont="1" applyFill="1" applyBorder="1" applyAlignment="1" applyProtection="1">
      <alignment horizontal="left"/>
      <protection hidden="1"/>
    </xf>
    <xf numFmtId="0" fontId="83" fillId="4" borderId="20" xfId="0" applyFont="1" applyFill="1" applyBorder="1" applyAlignment="1" applyProtection="1">
      <alignment horizontal="left" indent="1"/>
      <protection hidden="1"/>
    </xf>
    <xf numFmtId="0" fontId="82" fillId="4" borderId="371" xfId="0" applyFont="1" applyFill="1" applyBorder="1" applyAlignment="1" applyProtection="1">
      <alignment horizontal="left" vertical="top" wrapText="1" indent="1"/>
      <protection hidden="1"/>
    </xf>
    <xf numFmtId="0" fontId="82" fillId="4" borderId="0" xfId="0" applyFont="1" applyFill="1" applyAlignment="1" applyProtection="1">
      <alignment horizontal="left" vertical="top" wrapText="1" indent="1"/>
      <protection hidden="1"/>
    </xf>
    <xf numFmtId="0" fontId="83" fillId="4" borderId="0" xfId="0" applyFont="1" applyFill="1" applyAlignment="1" applyProtection="1">
      <alignment vertical="top" wrapText="1"/>
      <protection hidden="1"/>
    </xf>
    <xf numFmtId="0" fontId="83" fillId="4" borderId="370" xfId="0" applyFont="1" applyFill="1" applyBorder="1" applyAlignment="1" applyProtection="1">
      <alignment horizontal="left" vertical="top" wrapText="1" indent="1"/>
      <protection hidden="1"/>
    </xf>
    <xf numFmtId="0" fontId="83" fillId="4" borderId="0" xfId="0" applyFont="1" applyFill="1" applyAlignment="1" applyProtection="1">
      <alignment horizontal="left" vertical="top" wrapText="1" indent="1"/>
      <protection hidden="1"/>
    </xf>
    <xf numFmtId="0" fontId="83" fillId="4" borderId="370" xfId="0" applyFont="1" applyFill="1" applyBorder="1" applyAlignment="1" applyProtection="1">
      <alignment horizontal="left"/>
      <protection hidden="1"/>
    </xf>
    <xf numFmtId="0" fontId="361" fillId="0" borderId="0" xfId="0" applyFont="1" applyAlignment="1" applyProtection="1">
      <alignment vertical="center"/>
      <protection hidden="1"/>
    </xf>
    <xf numFmtId="49" fontId="0" fillId="0" borderId="348" xfId="0" applyNumberFormat="1" applyBorder="1" applyAlignment="1">
      <alignment horizontal="left" indent="1"/>
    </xf>
    <xf numFmtId="0" fontId="64" fillId="4" borderId="0" xfId="0" applyFont="1" applyFill="1" applyProtection="1">
      <protection hidden="1"/>
    </xf>
    <xf numFmtId="0" fontId="164" fillId="4" borderId="7" xfId="0" applyFont="1" applyFill="1" applyBorder="1" applyAlignment="1" applyProtection="1">
      <alignment horizontal="left" vertical="center"/>
      <protection hidden="1"/>
    </xf>
    <xf numFmtId="0" fontId="6" fillId="4" borderId="7" xfId="0" applyFont="1" applyFill="1" applyBorder="1" applyAlignment="1" applyProtection="1">
      <alignment horizontal="center" vertical="center" wrapText="1"/>
      <protection hidden="1"/>
    </xf>
    <xf numFmtId="0" fontId="362" fillId="4" borderId="7" xfId="0" applyFont="1" applyFill="1" applyBorder="1" applyAlignment="1" applyProtection="1">
      <alignment horizontal="left" vertical="center"/>
      <protection hidden="1"/>
    </xf>
    <xf numFmtId="0" fontId="44" fillId="4" borderId="0" xfId="0" applyFont="1" applyFill="1" applyAlignment="1" applyProtection="1">
      <alignment horizontal="left"/>
      <protection hidden="1"/>
    </xf>
    <xf numFmtId="0" fontId="152" fillId="4" borderId="0" xfId="0" applyFont="1" applyFill="1" applyAlignment="1" applyProtection="1">
      <alignment horizontal="right"/>
      <protection hidden="1"/>
    </xf>
    <xf numFmtId="0" fontId="152" fillId="4" borderId="0" xfId="0" applyFont="1" applyFill="1" applyAlignment="1" applyProtection="1">
      <alignment horizontal="right" vertical="center" indent="1"/>
      <protection hidden="1"/>
    </xf>
    <xf numFmtId="0" fontId="152" fillId="4" borderId="0" xfId="0" applyFont="1" applyFill="1" applyAlignment="1" applyProtection="1">
      <alignment horizontal="right" vertical="center" indent="3"/>
      <protection hidden="1"/>
    </xf>
    <xf numFmtId="0" fontId="170" fillId="4" borderId="0" xfId="0" applyFont="1" applyFill="1" applyAlignment="1" applyProtection="1">
      <alignment horizontal="right" vertical="top" wrapText="1"/>
      <protection hidden="1"/>
    </xf>
    <xf numFmtId="0" fontId="363" fillId="0" borderId="0" xfId="0" applyFont="1"/>
    <xf numFmtId="0" fontId="72" fillId="0" borderId="0" xfId="0" applyFont="1"/>
    <xf numFmtId="0" fontId="0" fillId="0" borderId="0" xfId="0" applyAlignment="1">
      <alignment wrapText="1"/>
    </xf>
    <xf numFmtId="0" fontId="44" fillId="0" borderId="0" xfId="0" applyFont="1" applyAlignment="1">
      <alignment wrapText="1"/>
    </xf>
    <xf numFmtId="0" fontId="0" fillId="0" borderId="0" xfId="0" applyAlignment="1">
      <alignment horizontal="left" wrapText="1"/>
    </xf>
    <xf numFmtId="0" fontId="61" fillId="0" borderId="0" xfId="0" applyFont="1" applyAlignment="1">
      <alignment wrapText="1"/>
    </xf>
    <xf numFmtId="0" fontId="0" fillId="0" borderId="8" xfId="0" applyBorder="1" applyAlignment="1">
      <alignment wrapText="1"/>
    </xf>
    <xf numFmtId="0" fontId="44" fillId="0" borderId="8" xfId="0" applyFont="1" applyBorder="1" applyAlignment="1">
      <alignment wrapText="1"/>
    </xf>
    <xf numFmtId="0" fontId="92" fillId="0" borderId="0" xfId="0" applyFont="1" applyAlignment="1">
      <alignment wrapText="1"/>
    </xf>
    <xf numFmtId="0" fontId="0" fillId="0" borderId="0" xfId="0" applyAlignment="1">
      <alignment vertical="top" wrapText="1"/>
    </xf>
    <xf numFmtId="14" fontId="0" fillId="0" borderId="0" xfId="0" applyNumberFormat="1"/>
    <xf numFmtId="3" fontId="0" fillId="0" borderId="0" xfId="0" applyNumberFormat="1"/>
    <xf numFmtId="171" fontId="0" fillId="0" borderId="0" xfId="0" applyNumberFormat="1"/>
    <xf numFmtId="172" fontId="0" fillId="0" borderId="0" xfId="0" applyNumberFormat="1"/>
    <xf numFmtId="1" fontId="0" fillId="0" borderId="0" xfId="0" applyNumberFormat="1"/>
    <xf numFmtId="1" fontId="35" fillId="62" borderId="0" xfId="0" applyNumberFormat="1" applyFont="1" applyFill="1"/>
    <xf numFmtId="1" fontId="35" fillId="0" borderId="383" xfId="0" applyNumberFormat="1" applyFont="1" applyBorder="1" applyAlignment="1">
      <alignment horizontal="center"/>
    </xf>
    <xf numFmtId="0" fontId="35" fillId="62" borderId="0" xfId="0" applyFont="1" applyFill="1"/>
    <xf numFmtId="0" fontId="0" fillId="62" borderId="0" xfId="0" applyFill="1"/>
    <xf numFmtId="0" fontId="0" fillId="0" borderId="0" xfId="0" applyAlignment="1">
      <alignment horizontal="right"/>
    </xf>
    <xf numFmtId="0" fontId="0" fillId="32" borderId="0" xfId="0" applyFill="1"/>
    <xf numFmtId="0" fontId="35" fillId="32" borderId="0" xfId="0" applyFont="1" applyFill="1" applyAlignment="1">
      <alignment horizontal="center"/>
    </xf>
    <xf numFmtId="0" fontId="35" fillId="63" borderId="0" xfId="0" applyFont="1" applyFill="1" applyAlignment="1">
      <alignment horizontal="left"/>
    </xf>
    <xf numFmtId="0" fontId="0" fillId="63" borderId="0" xfId="0" applyFill="1"/>
    <xf numFmtId="0" fontId="35" fillId="32" borderId="0" xfId="0" applyFont="1" applyFill="1" applyAlignment="1">
      <alignment horizontal="centerContinuous"/>
    </xf>
    <xf numFmtId="0" fontId="35" fillId="63" borderId="0" xfId="0" applyFont="1" applyFill="1" applyAlignment="1">
      <alignment horizontal="center" vertical="center" wrapText="1"/>
    </xf>
    <xf numFmtId="0" fontId="10" fillId="29" borderId="0" xfId="0" applyFont="1" applyFill="1" applyAlignment="1" applyProtection="1">
      <alignment horizontal="center" vertical="center" wrapText="1"/>
      <protection hidden="1"/>
    </xf>
    <xf numFmtId="0" fontId="184" fillId="9" borderId="0" xfId="0" applyFont="1" applyFill="1" applyProtection="1">
      <protection hidden="1"/>
    </xf>
    <xf numFmtId="0" fontId="184" fillId="41" borderId="0" xfId="0" applyFont="1" applyFill="1" applyProtection="1">
      <protection hidden="1"/>
    </xf>
    <xf numFmtId="0" fontId="184" fillId="45" borderId="0" xfId="0" applyFont="1" applyFill="1" applyProtection="1">
      <protection hidden="1"/>
    </xf>
    <xf numFmtId="0" fontId="10" fillId="29" borderId="0" xfId="0" applyFont="1" applyFill="1" applyAlignment="1" applyProtection="1">
      <alignment horizontal="left" vertical="center" wrapText="1"/>
      <protection hidden="1"/>
    </xf>
    <xf numFmtId="49" fontId="364" fillId="15" borderId="383" xfId="0" applyNumberFormat="1" applyFont="1" applyFill="1" applyBorder="1" applyAlignment="1">
      <alignment horizontal="center" wrapText="1"/>
    </xf>
    <xf numFmtId="49" fontId="0" fillId="0" borderId="0" xfId="0" applyNumberFormat="1"/>
    <xf numFmtId="0" fontId="141" fillId="23" borderId="105" xfId="0" quotePrefix="1" applyFont="1" applyFill="1" applyBorder="1" applyAlignment="1" applyProtection="1">
      <alignment horizontal="left" vertical="center" wrapText="1" indent="1"/>
      <protection locked="0"/>
    </xf>
    <xf numFmtId="0" fontId="64" fillId="0" borderId="0" xfId="0" applyFont="1" applyProtection="1">
      <protection hidden="1"/>
    </xf>
    <xf numFmtId="0" fontId="6" fillId="4" borderId="0" xfId="0" applyFont="1" applyFill="1" applyAlignment="1" applyProtection="1">
      <alignment horizontal="left" vertical="center"/>
      <protection hidden="1"/>
    </xf>
    <xf numFmtId="164" fontId="100" fillId="25" borderId="162" xfId="0" applyNumberFormat="1" applyFont="1" applyFill="1" applyBorder="1" applyAlignment="1" applyProtection="1">
      <alignment horizontal="left" vertical="center"/>
      <protection locked="0"/>
    </xf>
    <xf numFmtId="164" fontId="100" fillId="25" borderId="116" xfId="0" applyNumberFormat="1" applyFont="1" applyFill="1" applyBorder="1" applyAlignment="1" applyProtection="1">
      <alignment horizontal="left" vertical="center"/>
      <protection locked="0"/>
    </xf>
    <xf numFmtId="164" fontId="100" fillId="25" borderId="159" xfId="0" applyNumberFormat="1" applyFont="1" applyFill="1" applyBorder="1" applyAlignment="1" applyProtection="1">
      <alignment horizontal="left" vertical="center"/>
      <protection locked="0"/>
    </xf>
    <xf numFmtId="0" fontId="100" fillId="25" borderId="116" xfId="0" applyFont="1" applyFill="1" applyBorder="1" applyAlignment="1" applyProtection="1">
      <alignment horizontal="left" vertical="center"/>
      <protection locked="0"/>
    </xf>
    <xf numFmtId="0" fontId="100" fillId="25" borderId="162" xfId="0" applyFont="1" applyFill="1" applyBorder="1" applyAlignment="1" applyProtection="1">
      <alignment horizontal="left" vertical="center"/>
      <protection locked="0"/>
    </xf>
    <xf numFmtId="0" fontId="100" fillId="25" borderId="159" xfId="0" applyFont="1" applyFill="1" applyBorder="1" applyAlignment="1" applyProtection="1">
      <alignment horizontal="left" vertical="center"/>
      <protection locked="0"/>
    </xf>
    <xf numFmtId="0" fontId="165" fillId="4" borderId="0" xfId="0" applyFont="1" applyFill="1" applyAlignment="1" applyProtection="1">
      <alignment horizontal="left" vertical="center" wrapText="1" indent="1"/>
      <protection hidden="1"/>
    </xf>
    <xf numFmtId="0" fontId="165" fillId="4" borderId="56" xfId="0" applyFont="1" applyFill="1" applyBorder="1" applyAlignment="1" applyProtection="1">
      <alignment horizontal="left" vertical="center" wrapText="1" indent="1"/>
      <protection hidden="1"/>
    </xf>
    <xf numFmtId="0" fontId="44" fillId="4" borderId="7" xfId="0" applyFont="1" applyFill="1" applyBorder="1" applyAlignment="1" applyProtection="1">
      <alignment horizontal="left" vertical="top" wrapText="1" indent="1"/>
      <protection hidden="1"/>
    </xf>
    <xf numFmtId="0" fontId="44" fillId="4" borderId="0" xfId="0" applyFont="1" applyFill="1" applyAlignment="1" applyProtection="1">
      <alignment horizontal="left" vertical="top" wrapText="1" indent="1"/>
      <protection hidden="1"/>
    </xf>
    <xf numFmtId="0" fontId="44" fillId="4" borderId="242" xfId="0" applyFont="1" applyFill="1" applyBorder="1" applyAlignment="1" applyProtection="1">
      <alignment horizontal="left" vertical="top" wrapText="1" indent="1"/>
      <protection hidden="1"/>
    </xf>
    <xf numFmtId="0" fontId="44" fillId="4" borderId="56" xfId="0" applyFont="1" applyFill="1" applyBorder="1" applyAlignment="1" applyProtection="1">
      <alignment horizontal="left" vertical="top" wrapText="1" indent="1"/>
      <protection hidden="1"/>
    </xf>
    <xf numFmtId="0" fontId="44" fillId="4" borderId="46" xfId="0" applyFont="1" applyFill="1" applyBorder="1" applyAlignment="1" applyProtection="1">
      <alignment horizontal="left" vertical="top" wrapText="1" indent="1"/>
      <protection hidden="1"/>
    </xf>
    <xf numFmtId="0" fontId="44" fillId="4" borderId="246" xfId="0" applyFont="1" applyFill="1" applyBorder="1" applyAlignment="1" applyProtection="1">
      <alignment horizontal="left" vertical="top" wrapText="1" indent="1"/>
      <protection hidden="1"/>
    </xf>
    <xf numFmtId="0" fontId="44" fillId="4" borderId="53" xfId="0" applyFont="1" applyFill="1" applyBorder="1" applyAlignment="1" applyProtection="1">
      <alignment horizontal="left" vertical="top" wrapText="1" indent="1"/>
      <protection hidden="1"/>
    </xf>
    <xf numFmtId="0" fontId="44" fillId="4" borderId="57" xfId="0" applyFont="1" applyFill="1" applyBorder="1" applyAlignment="1" applyProtection="1">
      <alignment horizontal="left" vertical="top" wrapText="1" indent="1"/>
      <protection hidden="1"/>
    </xf>
    <xf numFmtId="0" fontId="165" fillId="4" borderId="2" xfId="0" applyFont="1" applyFill="1" applyBorder="1" applyAlignment="1" applyProtection="1">
      <alignment horizontal="left" vertical="center" wrapText="1" indent="1"/>
      <protection hidden="1"/>
    </xf>
    <xf numFmtId="0" fontId="165" fillId="4" borderId="8" xfId="0" applyFont="1" applyFill="1" applyBorder="1" applyAlignment="1" applyProtection="1">
      <alignment horizontal="left" vertical="center" wrapText="1" indent="1"/>
      <protection hidden="1"/>
    </xf>
    <xf numFmtId="0" fontId="44" fillId="4" borderId="4" xfId="0" applyFont="1" applyFill="1" applyBorder="1" applyAlignment="1" applyProtection="1">
      <alignment horizontal="left" vertical="top" wrapText="1" indent="1"/>
      <protection hidden="1"/>
    </xf>
    <xf numFmtId="0" fontId="44" fillId="4" borderId="8" xfId="0" applyFont="1" applyFill="1" applyBorder="1" applyAlignment="1" applyProtection="1">
      <alignment horizontal="left" vertical="top" wrapText="1" indent="1"/>
      <protection hidden="1"/>
    </xf>
    <xf numFmtId="0" fontId="44" fillId="4" borderId="5" xfId="0" applyFont="1" applyFill="1" applyBorder="1" applyAlignment="1" applyProtection="1">
      <alignment horizontal="left" vertical="top" wrapText="1" indent="1"/>
      <protection hidden="1"/>
    </xf>
    <xf numFmtId="0" fontId="44" fillId="4" borderId="53" xfId="0" applyFont="1" applyFill="1" applyBorder="1" applyAlignment="1" applyProtection="1">
      <alignment horizontal="left" vertical="top" indent="1"/>
      <protection hidden="1"/>
    </xf>
    <xf numFmtId="0" fontId="44" fillId="4" borderId="244" xfId="0" applyFont="1" applyFill="1" applyBorder="1" applyAlignment="1" applyProtection="1">
      <alignment horizontal="left" vertical="top" indent="1"/>
      <protection hidden="1"/>
    </xf>
    <xf numFmtId="0" fontId="152" fillId="4" borderId="49" xfId="0" applyFont="1" applyFill="1" applyBorder="1" applyAlignment="1" applyProtection="1">
      <alignment horizontal="left" vertical="center" indent="1"/>
      <protection hidden="1"/>
    </xf>
    <xf numFmtId="0" fontId="152" fillId="4" borderId="50" xfId="0" applyFont="1" applyFill="1" applyBorder="1" applyAlignment="1" applyProtection="1">
      <alignment horizontal="left" vertical="center" indent="1"/>
      <protection hidden="1"/>
    </xf>
    <xf numFmtId="0" fontId="152" fillId="4" borderId="52" xfId="0" applyFont="1" applyFill="1" applyBorder="1" applyAlignment="1" applyProtection="1">
      <alignment horizontal="left" vertical="center" indent="1"/>
      <protection hidden="1"/>
    </xf>
    <xf numFmtId="0" fontId="152" fillId="4" borderId="0" xfId="0" applyFont="1" applyFill="1" applyAlignment="1" applyProtection="1">
      <alignment horizontal="left" vertical="center" indent="1"/>
      <protection hidden="1"/>
    </xf>
    <xf numFmtId="0" fontId="152" fillId="4" borderId="55" xfId="0" applyFont="1" applyFill="1" applyBorder="1" applyAlignment="1" applyProtection="1">
      <alignment horizontal="left" vertical="center" indent="1"/>
      <protection hidden="1"/>
    </xf>
    <xf numFmtId="0" fontId="152" fillId="4" borderId="56" xfId="0" applyFont="1" applyFill="1" applyBorder="1" applyAlignment="1" applyProtection="1">
      <alignment horizontal="left" vertical="center" indent="1"/>
      <protection hidden="1"/>
    </xf>
    <xf numFmtId="0" fontId="138" fillId="28" borderId="49" xfId="0" applyFont="1" applyFill="1" applyBorder="1" applyAlignment="1" applyProtection="1">
      <alignment horizontal="center" vertical="center"/>
      <protection hidden="1"/>
    </xf>
    <xf numFmtId="0" fontId="138" fillId="28" borderId="50" xfId="0" applyFont="1" applyFill="1" applyBorder="1" applyAlignment="1" applyProtection="1">
      <alignment horizontal="center" vertical="center"/>
      <protection hidden="1"/>
    </xf>
    <xf numFmtId="0" fontId="138" fillId="28" borderId="51" xfId="0" applyFont="1" applyFill="1" applyBorder="1" applyAlignment="1" applyProtection="1">
      <alignment horizontal="center" vertical="center"/>
      <protection hidden="1"/>
    </xf>
    <xf numFmtId="0" fontId="138" fillId="28" borderId="52" xfId="0" applyFont="1" applyFill="1" applyBorder="1" applyAlignment="1" applyProtection="1">
      <alignment horizontal="center" vertical="center"/>
      <protection hidden="1"/>
    </xf>
    <xf numFmtId="0" fontId="138" fillId="28" borderId="0" xfId="0" applyFont="1" applyFill="1" applyAlignment="1" applyProtection="1">
      <alignment horizontal="center" vertical="center"/>
      <protection hidden="1"/>
    </xf>
    <xf numFmtId="0" fontId="138" fillId="28" borderId="53" xfId="0" applyFont="1" applyFill="1" applyBorder="1" applyAlignment="1" applyProtection="1">
      <alignment horizontal="center" vertical="center"/>
      <protection hidden="1"/>
    </xf>
    <xf numFmtId="0" fontId="138" fillId="28" borderId="55" xfId="0" applyFont="1" applyFill="1" applyBorder="1" applyAlignment="1" applyProtection="1">
      <alignment horizontal="center" vertical="center"/>
      <protection hidden="1"/>
    </xf>
    <xf numFmtId="0" fontId="138" fillId="28" borderId="56" xfId="0" applyFont="1" applyFill="1" applyBorder="1" applyAlignment="1" applyProtection="1">
      <alignment horizontal="center" vertical="center"/>
      <protection hidden="1"/>
    </xf>
    <xf numFmtId="0" fontId="138" fillId="28" borderId="57" xfId="0" applyFont="1" applyFill="1" applyBorder="1" applyAlignment="1" applyProtection="1">
      <alignment horizontal="center" vertical="center"/>
      <protection hidden="1"/>
    </xf>
    <xf numFmtId="0" fontId="73" fillId="28" borderId="0" xfId="0" applyFont="1" applyFill="1" applyAlignment="1" applyProtection="1">
      <alignment horizontal="center" vertical="center"/>
      <protection hidden="1"/>
    </xf>
    <xf numFmtId="0" fontId="0" fillId="27" borderId="49" xfId="0" applyFill="1" applyBorder="1" applyAlignment="1" applyProtection="1">
      <alignment horizontal="center" vertical="top" wrapText="1"/>
      <protection hidden="1"/>
    </xf>
    <xf numFmtId="0" fontId="0" fillId="27" borderId="50" xfId="0" applyFill="1" applyBorder="1" applyAlignment="1" applyProtection="1">
      <alignment horizontal="center" vertical="top" wrapText="1"/>
      <protection hidden="1"/>
    </xf>
    <xf numFmtId="0" fontId="0" fillId="27" borderId="51" xfId="0" applyFill="1" applyBorder="1" applyAlignment="1" applyProtection="1">
      <alignment horizontal="center" vertical="top" wrapText="1"/>
      <protection hidden="1"/>
    </xf>
    <xf numFmtId="0" fontId="0" fillId="27" borderId="52" xfId="0" applyFill="1" applyBorder="1" applyAlignment="1" applyProtection="1">
      <alignment horizontal="center" vertical="top" wrapText="1"/>
      <protection hidden="1"/>
    </xf>
    <xf numFmtId="0" fontId="0" fillId="27" borderId="0" xfId="0" applyFill="1" applyAlignment="1" applyProtection="1">
      <alignment horizontal="center" vertical="top" wrapText="1"/>
      <protection hidden="1"/>
    </xf>
    <xf numFmtId="0" fontId="0" fillId="27" borderId="53" xfId="0" applyFill="1" applyBorder="1" applyAlignment="1" applyProtection="1">
      <alignment horizontal="center" vertical="top" wrapText="1"/>
      <protection hidden="1"/>
    </xf>
    <xf numFmtId="0" fontId="0" fillId="27" borderId="55" xfId="0" applyFill="1" applyBorder="1" applyAlignment="1" applyProtection="1">
      <alignment horizontal="center" vertical="top" wrapText="1"/>
      <protection hidden="1"/>
    </xf>
    <xf numFmtId="0" fontId="0" fillId="27" borderId="56" xfId="0" applyFill="1" applyBorder="1" applyAlignment="1" applyProtection="1">
      <alignment horizontal="center" vertical="top" wrapText="1"/>
      <protection hidden="1"/>
    </xf>
    <xf numFmtId="0" fontId="0" fillId="27" borderId="57" xfId="0" applyFill="1" applyBorder="1" applyAlignment="1" applyProtection="1">
      <alignment horizontal="center" vertical="top" wrapText="1"/>
      <protection hidden="1"/>
    </xf>
    <xf numFmtId="0" fontId="152" fillId="4" borderId="243" xfId="0" applyFont="1" applyFill="1" applyBorder="1" applyAlignment="1" applyProtection="1">
      <alignment horizontal="left" vertical="center" indent="1"/>
      <protection hidden="1"/>
    </xf>
    <xf numFmtId="0" fontId="152" fillId="4" borderId="247" xfId="0" applyFont="1" applyFill="1" applyBorder="1" applyAlignment="1" applyProtection="1">
      <alignment horizontal="left" vertical="center" indent="1"/>
      <protection hidden="1"/>
    </xf>
    <xf numFmtId="0" fontId="152" fillId="4" borderId="7" xfId="0" applyFont="1" applyFill="1" applyBorder="1" applyAlignment="1" applyProtection="1">
      <alignment horizontal="left" vertical="center" indent="1"/>
      <protection hidden="1"/>
    </xf>
    <xf numFmtId="0" fontId="152" fillId="4" borderId="46" xfId="0" applyFont="1" applyFill="1" applyBorder="1" applyAlignment="1" applyProtection="1">
      <alignment horizontal="left" vertical="center" indent="1"/>
      <protection hidden="1"/>
    </xf>
    <xf numFmtId="0" fontId="152" fillId="4" borderId="242" xfId="0" applyFont="1" applyFill="1" applyBorder="1" applyAlignment="1" applyProtection="1">
      <alignment horizontal="left" vertical="center" indent="1"/>
      <protection hidden="1"/>
    </xf>
    <xf numFmtId="0" fontId="152" fillId="4" borderId="246" xfId="0" applyFont="1" applyFill="1" applyBorder="1" applyAlignment="1" applyProtection="1">
      <alignment horizontal="left" vertical="center" indent="1"/>
      <protection hidden="1"/>
    </xf>
    <xf numFmtId="0" fontId="152" fillId="4" borderId="243" xfId="0" applyFont="1" applyFill="1" applyBorder="1" applyAlignment="1" applyProtection="1">
      <alignment horizontal="left" vertical="center" wrapText="1" indent="1"/>
      <protection hidden="1"/>
    </xf>
    <xf numFmtId="0" fontId="152" fillId="4" borderId="247" xfId="0" applyFont="1" applyFill="1" applyBorder="1" applyAlignment="1" applyProtection="1">
      <alignment horizontal="left" vertical="center" wrapText="1" indent="1"/>
      <protection hidden="1"/>
    </xf>
    <xf numFmtId="0" fontId="152" fillId="4" borderId="7" xfId="0" applyFont="1" applyFill="1" applyBorder="1" applyAlignment="1" applyProtection="1">
      <alignment horizontal="left" vertical="center" wrapText="1" indent="1"/>
      <protection hidden="1"/>
    </xf>
    <xf numFmtId="0" fontId="152" fillId="4" borderId="46" xfId="0" applyFont="1" applyFill="1" applyBorder="1" applyAlignment="1" applyProtection="1">
      <alignment horizontal="left" vertical="center" wrapText="1" indent="1"/>
      <protection hidden="1"/>
    </xf>
    <xf numFmtId="0" fontId="152" fillId="4" borderId="242" xfId="0" applyFont="1" applyFill="1" applyBorder="1" applyAlignment="1" applyProtection="1">
      <alignment horizontal="left" vertical="center" wrapText="1" indent="1"/>
      <protection hidden="1"/>
    </xf>
    <xf numFmtId="0" fontId="152" fillId="4" borderId="246" xfId="0" applyFont="1" applyFill="1" applyBorder="1" applyAlignment="1" applyProtection="1">
      <alignment horizontal="left" vertical="center" wrapText="1" indent="1"/>
      <protection hidden="1"/>
    </xf>
    <xf numFmtId="0" fontId="152" fillId="4" borderId="51" xfId="0" applyFont="1" applyFill="1" applyBorder="1" applyAlignment="1" applyProtection="1">
      <alignment horizontal="left" vertical="center" indent="1"/>
      <protection hidden="1"/>
    </xf>
    <xf numFmtId="0" fontId="152" fillId="4" borderId="53" xfId="0" applyFont="1" applyFill="1" applyBorder="1" applyAlignment="1" applyProtection="1">
      <alignment horizontal="left" vertical="center" indent="1"/>
      <protection hidden="1"/>
    </xf>
    <xf numFmtId="0" fontId="152" fillId="4" borderId="57" xfId="0" applyFont="1" applyFill="1" applyBorder="1" applyAlignment="1" applyProtection="1">
      <alignment horizontal="left" vertical="center" indent="1"/>
      <protection hidden="1"/>
    </xf>
    <xf numFmtId="0" fontId="0" fillId="27" borderId="0" xfId="0" applyFill="1" applyAlignment="1" applyProtection="1">
      <alignment horizontal="left" vertical="top" wrapText="1" indent="10"/>
      <protection hidden="1"/>
    </xf>
    <xf numFmtId="0" fontId="0" fillId="27" borderId="0" xfId="0" applyFill="1" applyAlignment="1" applyProtection="1">
      <alignment horizontal="left" vertical="top" indent="10"/>
      <protection hidden="1"/>
    </xf>
    <xf numFmtId="0" fontId="54" fillId="27" borderId="0" xfId="0" applyFont="1" applyFill="1" applyAlignment="1" applyProtection="1">
      <alignment horizontal="right" wrapText="1"/>
      <protection hidden="1"/>
    </xf>
    <xf numFmtId="0" fontId="0" fillId="27" borderId="0" xfId="0" applyFill="1" applyAlignment="1" applyProtection="1">
      <alignment horizontal="left" vertical="top" wrapText="1"/>
      <protection hidden="1"/>
    </xf>
    <xf numFmtId="0" fontId="44" fillId="27" borderId="0" xfId="0" applyFont="1" applyFill="1" applyAlignment="1" applyProtection="1">
      <alignment horizontal="right" vertical="top" wrapText="1" indent="1"/>
      <protection hidden="1"/>
    </xf>
    <xf numFmtId="0" fontId="38" fillId="27" borderId="0" xfId="0" applyFont="1" applyFill="1" applyAlignment="1" applyProtection="1">
      <alignment horizontal="left" vertical="top" wrapText="1" indent="2"/>
      <protection hidden="1"/>
    </xf>
    <xf numFmtId="0" fontId="38" fillId="27" borderId="7" xfId="0" applyFont="1" applyFill="1" applyBorder="1" applyAlignment="1" applyProtection="1">
      <alignment horizontal="left" vertical="top" wrapText="1" indent="2"/>
      <protection hidden="1"/>
    </xf>
    <xf numFmtId="0" fontId="9" fillId="27" borderId="7" xfId="0" applyFont="1" applyFill="1" applyBorder="1" applyAlignment="1" applyProtection="1">
      <alignment horizontal="left" vertical="top" wrapText="1" indent="2"/>
      <protection hidden="1"/>
    </xf>
    <xf numFmtId="0" fontId="9" fillId="27" borderId="0" xfId="0" applyFont="1" applyFill="1" applyAlignment="1" applyProtection="1">
      <alignment horizontal="left" vertical="top" wrapText="1" indent="2"/>
      <protection hidden="1"/>
    </xf>
    <xf numFmtId="0" fontId="96" fillId="27" borderId="0" xfId="0" applyFont="1" applyFill="1" applyAlignment="1" applyProtection="1">
      <alignment horizontal="left" vertical="top" wrapText="1"/>
      <protection hidden="1"/>
    </xf>
    <xf numFmtId="0" fontId="0" fillId="27" borderId="7" xfId="0" applyFill="1" applyBorder="1" applyAlignment="1" applyProtection="1">
      <alignment horizontal="left" vertical="top" wrapText="1" indent="2"/>
      <protection hidden="1"/>
    </xf>
    <xf numFmtId="0" fontId="0" fillId="27" borderId="0" xfId="0" applyFill="1" applyAlignment="1" applyProtection="1">
      <alignment horizontal="left" vertical="top" wrapText="1" indent="2"/>
      <protection hidden="1"/>
    </xf>
    <xf numFmtId="0" fontId="0" fillId="27" borderId="0" xfId="0" applyFill="1" applyAlignment="1" applyProtection="1">
      <alignment horizontal="right" vertical="top" wrapText="1" indent="1"/>
      <protection hidden="1"/>
    </xf>
    <xf numFmtId="0" fontId="170" fillId="0" borderId="0" xfId="0" applyFont="1" applyAlignment="1" applyProtection="1">
      <alignment horizontal="right" vertical="center" wrapText="1"/>
      <protection hidden="1"/>
    </xf>
    <xf numFmtId="0" fontId="170" fillId="0" borderId="0" xfId="0" applyFont="1" applyAlignment="1" applyProtection="1">
      <alignment horizontal="right" vertical="center"/>
      <protection hidden="1"/>
    </xf>
    <xf numFmtId="0" fontId="44" fillId="27" borderId="46" xfId="0" applyFont="1" applyFill="1" applyBorder="1" applyAlignment="1" applyProtection="1">
      <alignment horizontal="right" vertical="top" wrapText="1" indent="1"/>
      <protection hidden="1"/>
    </xf>
    <xf numFmtId="0" fontId="0" fillId="27" borderId="46" xfId="0" applyFill="1" applyBorder="1" applyAlignment="1" applyProtection="1">
      <alignment horizontal="right" vertical="top" wrapText="1" indent="1"/>
      <protection hidden="1"/>
    </xf>
    <xf numFmtId="0" fontId="10" fillId="21" borderId="0" xfId="0" applyFont="1" applyFill="1" applyAlignment="1" applyProtection="1">
      <alignment horizontal="center" vertical="center" wrapText="1"/>
      <protection hidden="1"/>
    </xf>
    <xf numFmtId="0" fontId="10" fillId="28" borderId="0" xfId="0" applyFont="1" applyFill="1" applyAlignment="1" applyProtection="1">
      <alignment horizontal="center" vertical="center"/>
      <protection hidden="1"/>
    </xf>
    <xf numFmtId="0" fontId="10" fillId="29" borderId="0" xfId="0" applyFont="1" applyFill="1" applyAlignment="1" applyProtection="1">
      <alignment horizontal="center" vertical="center"/>
      <protection hidden="1"/>
    </xf>
    <xf numFmtId="0" fontId="0" fillId="27" borderId="0" xfId="0" applyFill="1" applyAlignment="1" applyProtection="1">
      <alignment horizontal="left" vertical="top" wrapText="1" indent="4"/>
      <protection hidden="1"/>
    </xf>
    <xf numFmtId="0" fontId="9" fillId="27" borderId="0" xfId="0" applyFont="1" applyFill="1" applyAlignment="1" applyProtection="1">
      <alignment horizontal="left" vertical="top" wrapText="1" indent="1"/>
      <protection hidden="1"/>
    </xf>
    <xf numFmtId="0" fontId="0" fillId="27" borderId="0" xfId="0" applyFill="1" applyAlignment="1" applyProtection="1">
      <alignment horizontal="left" vertical="center" wrapText="1" indent="4"/>
      <protection hidden="1"/>
    </xf>
    <xf numFmtId="0" fontId="44" fillId="27" borderId="7" xfId="0" applyFont="1" applyFill="1" applyBorder="1" applyAlignment="1" applyProtection="1">
      <alignment horizontal="left" vertical="top" wrapText="1" indent="2"/>
      <protection hidden="1"/>
    </xf>
    <xf numFmtId="0" fontId="44" fillId="27" borderId="0" xfId="0" applyFont="1" applyFill="1" applyAlignment="1" applyProtection="1">
      <alignment horizontal="left" vertical="top" wrapText="1" indent="2"/>
      <protection hidden="1"/>
    </xf>
    <xf numFmtId="0" fontId="122" fillId="27" borderId="0" xfId="3" applyFill="1" applyBorder="1" applyAlignment="1" applyProtection="1">
      <alignment horizontal="left" vertical="top" wrapText="1"/>
      <protection locked="0" hidden="1"/>
    </xf>
    <xf numFmtId="0" fontId="96" fillId="27" borderId="0" xfId="0" applyFont="1" applyFill="1" applyAlignment="1" applyProtection="1">
      <alignment horizontal="left" vertical="center" wrapText="1"/>
      <protection hidden="1"/>
    </xf>
    <xf numFmtId="0" fontId="0" fillId="27" borderId="0" xfId="0" applyFill="1" applyAlignment="1" applyProtection="1">
      <alignment horizontal="left" vertical="top" wrapText="1" indent="1"/>
      <protection hidden="1"/>
    </xf>
    <xf numFmtId="14" fontId="141" fillId="31" borderId="58" xfId="1" applyNumberFormat="1" applyFont="1" applyFill="1" applyBorder="1" applyAlignment="1" applyProtection="1">
      <alignment horizontal="left" vertical="center" wrapText="1" indent="1"/>
      <protection locked="0"/>
    </xf>
    <xf numFmtId="14" fontId="141" fillId="31" borderId="48" xfId="1" applyNumberFormat="1" applyFont="1" applyFill="1" applyBorder="1" applyAlignment="1" applyProtection="1">
      <alignment horizontal="left" vertical="center" wrapText="1" indent="1"/>
      <protection locked="0"/>
    </xf>
    <xf numFmtId="14" fontId="141" fillId="31" borderId="59" xfId="1" applyNumberFormat="1" applyFont="1" applyFill="1" applyBorder="1" applyAlignment="1" applyProtection="1">
      <alignment horizontal="left" vertical="center" wrapText="1" indent="1"/>
      <protection locked="0"/>
    </xf>
    <xf numFmtId="14" fontId="141" fillId="31" borderId="58" xfId="0" applyNumberFormat="1" applyFont="1" applyFill="1" applyBorder="1" applyAlignment="1" applyProtection="1">
      <alignment horizontal="left" vertical="center" wrapText="1" indent="1"/>
      <protection locked="0"/>
    </xf>
    <xf numFmtId="14" fontId="141" fillId="31" borderId="59" xfId="0" applyNumberFormat="1" applyFont="1" applyFill="1" applyBorder="1" applyAlignment="1" applyProtection="1">
      <alignment horizontal="left" vertical="center" wrapText="1" indent="1"/>
      <protection locked="0"/>
    </xf>
    <xf numFmtId="0" fontId="141" fillId="23" borderId="58" xfId="0" applyFont="1" applyFill="1" applyBorder="1" applyAlignment="1" applyProtection="1">
      <alignment horizontal="left" vertical="center" wrapText="1" indent="1"/>
      <protection locked="0"/>
    </xf>
    <xf numFmtId="0" fontId="141" fillId="23" borderId="48" xfId="0" applyFont="1" applyFill="1" applyBorder="1" applyAlignment="1" applyProtection="1">
      <alignment horizontal="left" vertical="center" wrapText="1" indent="1"/>
      <protection locked="0"/>
    </xf>
    <xf numFmtId="0" fontId="141" fillId="23" borderId="59" xfId="0" applyFont="1" applyFill="1" applyBorder="1" applyAlignment="1" applyProtection="1">
      <alignment horizontal="left" vertical="center" wrapText="1" indent="1"/>
      <protection locked="0"/>
    </xf>
    <xf numFmtId="14" fontId="141" fillId="23" borderId="58" xfId="0" applyNumberFormat="1" applyFont="1" applyFill="1" applyBorder="1" applyAlignment="1" applyProtection="1">
      <alignment horizontal="left" vertical="center" wrapText="1" indent="1"/>
      <protection locked="0"/>
    </xf>
    <xf numFmtId="14" fontId="141" fillId="23" borderId="59" xfId="0" applyNumberFormat="1" applyFont="1" applyFill="1" applyBorder="1" applyAlignment="1" applyProtection="1">
      <alignment horizontal="left" vertical="center" wrapText="1" indent="1"/>
      <protection locked="0"/>
    </xf>
    <xf numFmtId="0" fontId="127" fillId="27" borderId="0" xfId="0" applyFont="1" applyFill="1" applyAlignment="1" applyProtection="1">
      <alignment horizontal="left" vertical="top" wrapText="1"/>
      <protection hidden="1"/>
    </xf>
    <xf numFmtId="0" fontId="127" fillId="27" borderId="239" xfId="0" applyFont="1" applyFill="1" applyBorder="1" applyAlignment="1" applyProtection="1">
      <alignment horizontal="left" vertical="top"/>
      <protection hidden="1"/>
    </xf>
    <xf numFmtId="0" fontId="6" fillId="31" borderId="58" xfId="0" applyFont="1" applyFill="1" applyBorder="1" applyAlignment="1" applyProtection="1">
      <alignment horizontal="left" vertical="center" indent="1"/>
      <protection locked="0"/>
    </xf>
    <xf numFmtId="0" fontId="6" fillId="31" borderId="48" xfId="0" applyFont="1" applyFill="1" applyBorder="1" applyAlignment="1" applyProtection="1">
      <alignment horizontal="left" vertical="center" indent="1"/>
      <protection locked="0"/>
    </xf>
    <xf numFmtId="0" fontId="6" fillId="31" borderId="59" xfId="0" applyFont="1" applyFill="1" applyBorder="1" applyAlignment="1" applyProtection="1">
      <alignment horizontal="left" vertical="center" indent="1"/>
      <protection locked="0"/>
    </xf>
    <xf numFmtId="0" fontId="0" fillId="4" borderId="7" xfId="0" applyFill="1" applyBorder="1" applyAlignment="1" applyProtection="1">
      <alignment horizontal="left" wrapText="1" indent="2"/>
      <protection hidden="1"/>
    </xf>
    <xf numFmtId="0" fontId="0" fillId="4" borderId="0" xfId="0" applyFill="1" applyAlignment="1" applyProtection="1">
      <alignment horizontal="left" wrapText="1" indent="2"/>
      <protection hidden="1"/>
    </xf>
    <xf numFmtId="0" fontId="0" fillId="4" borderId="7" xfId="0" applyFill="1" applyBorder="1" applyAlignment="1" applyProtection="1">
      <alignment horizontal="left" vertical="center" wrapText="1" indent="2"/>
      <protection hidden="1"/>
    </xf>
    <xf numFmtId="0" fontId="0" fillId="4" borderId="0" xfId="0" applyFill="1" applyAlignment="1" applyProtection="1">
      <alignment horizontal="left" vertical="center" wrapText="1" indent="2"/>
      <protection hidden="1"/>
    </xf>
    <xf numFmtId="0" fontId="0" fillId="4" borderId="7" xfId="0" applyFill="1" applyBorder="1" applyAlignment="1" applyProtection="1">
      <alignment horizontal="right" vertical="center" wrapText="1" indent="2"/>
      <protection hidden="1"/>
    </xf>
    <xf numFmtId="0" fontId="0" fillId="4" borderId="0" xfId="0" applyFill="1" applyAlignment="1" applyProtection="1">
      <alignment horizontal="right" vertical="center" wrapText="1" indent="2"/>
      <protection hidden="1"/>
    </xf>
    <xf numFmtId="0" fontId="5" fillId="30" borderId="58" xfId="0" applyFont="1" applyFill="1" applyBorder="1" applyAlignment="1" applyProtection="1">
      <alignment horizontal="center" vertical="center" wrapText="1"/>
      <protection locked="0"/>
    </xf>
    <xf numFmtId="0" fontId="5" fillId="30" borderId="59" xfId="0" applyFont="1" applyFill="1" applyBorder="1" applyAlignment="1" applyProtection="1">
      <alignment horizontal="center" vertical="center" wrapText="1"/>
      <protection locked="0"/>
    </xf>
    <xf numFmtId="0" fontId="5" fillId="27" borderId="0" xfId="0" applyFont="1" applyFill="1" applyAlignment="1" applyProtection="1">
      <alignment horizontal="center" vertical="top"/>
      <protection hidden="1"/>
    </xf>
    <xf numFmtId="0" fontId="160" fillId="4" borderId="7" xfId="0" applyFont="1" applyFill="1" applyBorder="1" applyAlignment="1" applyProtection="1">
      <alignment horizontal="right" vertical="top" wrapText="1" indent="1"/>
      <protection hidden="1"/>
    </xf>
    <xf numFmtId="0" fontId="160" fillId="4" borderId="46" xfId="0" applyFont="1" applyFill="1" applyBorder="1" applyAlignment="1" applyProtection="1">
      <alignment horizontal="right" vertical="top" wrapText="1" indent="1"/>
      <protection hidden="1"/>
    </xf>
    <xf numFmtId="49" fontId="6" fillId="23" borderId="58" xfId="0" applyNumberFormat="1" applyFont="1" applyFill="1" applyBorder="1" applyAlignment="1" applyProtection="1">
      <alignment horizontal="left" vertical="center" wrapText="1" indent="1"/>
      <protection locked="0"/>
    </xf>
    <xf numFmtId="49" fontId="6" fillId="23" borderId="48" xfId="0" applyNumberFormat="1" applyFont="1" applyFill="1" applyBorder="1" applyAlignment="1" applyProtection="1">
      <alignment horizontal="left" vertical="center" wrapText="1" indent="1"/>
      <protection locked="0"/>
    </xf>
    <xf numFmtId="0" fontId="6" fillId="4" borderId="58" xfId="0" applyFont="1" applyFill="1" applyBorder="1" applyAlignment="1" applyProtection="1">
      <alignment horizontal="left" vertical="center" wrapText="1" indent="1"/>
      <protection hidden="1"/>
    </xf>
    <xf numFmtId="0" fontId="6" fillId="4" borderId="48" xfId="0" applyFont="1" applyFill="1" applyBorder="1" applyAlignment="1" applyProtection="1">
      <alignment horizontal="left" vertical="center" wrapText="1" indent="1"/>
      <protection hidden="1"/>
    </xf>
    <xf numFmtId="0" fontId="6" fillId="4" borderId="59" xfId="0" applyFont="1" applyFill="1" applyBorder="1" applyAlignment="1" applyProtection="1">
      <alignment horizontal="left" vertical="center" wrapText="1" indent="1"/>
      <protection hidden="1"/>
    </xf>
    <xf numFmtId="0" fontId="6" fillId="23" borderId="58" xfId="0" applyFont="1" applyFill="1" applyBorder="1" applyAlignment="1" applyProtection="1">
      <alignment horizontal="left" vertical="center" wrapText="1" indent="1"/>
      <protection locked="0"/>
    </xf>
    <xf numFmtId="0" fontId="6" fillId="23" borderId="48" xfId="0" applyFont="1" applyFill="1" applyBorder="1" applyAlignment="1" applyProtection="1">
      <alignment horizontal="left" vertical="center" wrapText="1" indent="1"/>
      <protection locked="0"/>
    </xf>
    <xf numFmtId="0" fontId="6" fillId="23" borderId="59" xfId="0" applyFont="1" applyFill="1" applyBorder="1" applyAlignment="1" applyProtection="1">
      <alignment horizontal="left" vertical="center" wrapText="1" indent="1"/>
      <protection locked="0"/>
    </xf>
    <xf numFmtId="0" fontId="159" fillId="4" borderId="7" xfId="0" applyFont="1" applyFill="1" applyBorder="1" applyAlignment="1" applyProtection="1">
      <alignment horizontal="right" vertical="center" indent="1"/>
      <protection hidden="1"/>
    </xf>
    <xf numFmtId="0" fontId="159" fillId="4" borderId="0" xfId="0" applyFont="1" applyFill="1" applyAlignment="1" applyProtection="1">
      <alignment horizontal="right" vertical="center" indent="1"/>
      <protection hidden="1"/>
    </xf>
    <xf numFmtId="0" fontId="159" fillId="4" borderId="46" xfId="0" applyFont="1" applyFill="1" applyBorder="1" applyAlignment="1" applyProtection="1">
      <alignment horizontal="right" vertical="center" indent="1"/>
      <protection hidden="1"/>
    </xf>
    <xf numFmtId="14" fontId="141" fillId="23" borderId="58" xfId="1" applyNumberFormat="1" applyFont="1" applyFill="1" applyBorder="1" applyAlignment="1" applyProtection="1">
      <alignment horizontal="left" vertical="center" wrapText="1" indent="1"/>
      <protection locked="0"/>
    </xf>
    <xf numFmtId="14" fontId="141" fillId="23" borderId="59" xfId="1" applyNumberFormat="1" applyFont="1" applyFill="1" applyBorder="1" applyAlignment="1" applyProtection="1">
      <alignment horizontal="left" vertical="center" wrapText="1" indent="1"/>
      <protection locked="0"/>
    </xf>
    <xf numFmtId="0" fontId="35" fillId="4" borderId="7" xfId="0" applyFont="1" applyFill="1" applyBorder="1" applyAlignment="1" applyProtection="1">
      <alignment horizontal="left" wrapText="1" indent="2"/>
      <protection hidden="1"/>
    </xf>
    <xf numFmtId="0" fontId="35" fillId="4" borderId="0" xfId="0" applyFont="1" applyFill="1" applyAlignment="1" applyProtection="1">
      <alignment horizontal="left" wrapText="1" indent="2"/>
      <protection hidden="1"/>
    </xf>
    <xf numFmtId="0" fontId="145" fillId="4" borderId="4" xfId="0" applyFont="1" applyFill="1" applyBorder="1" applyAlignment="1" applyProtection="1">
      <alignment horizontal="left" vertical="center" wrapText="1" indent="2"/>
      <protection hidden="1"/>
    </xf>
    <xf numFmtId="0" fontId="145" fillId="4" borderId="8" xfId="0" applyFont="1" applyFill="1" applyBorder="1" applyAlignment="1" applyProtection="1">
      <alignment horizontal="left" vertical="center" wrapText="1" indent="2"/>
      <protection hidden="1"/>
    </xf>
    <xf numFmtId="0" fontId="145" fillId="4" borderId="5" xfId="0" applyFont="1" applyFill="1" applyBorder="1" applyAlignment="1" applyProtection="1">
      <alignment horizontal="left" vertical="center" wrapText="1" indent="2"/>
      <protection hidden="1"/>
    </xf>
    <xf numFmtId="49" fontId="6" fillId="31" borderId="58" xfId="0" applyNumberFormat="1" applyFont="1" applyFill="1" applyBorder="1" applyAlignment="1" applyProtection="1">
      <alignment horizontal="left" vertical="center" wrapText="1" indent="1"/>
      <protection locked="0"/>
    </xf>
    <xf numFmtId="49" fontId="6" fillId="31" borderId="48" xfId="0" applyNumberFormat="1" applyFont="1" applyFill="1" applyBorder="1" applyAlignment="1" applyProtection="1">
      <alignment horizontal="left" vertical="center" wrapText="1" indent="1"/>
      <protection locked="0"/>
    </xf>
    <xf numFmtId="49" fontId="6" fillId="31" borderId="59" xfId="0" applyNumberFormat="1" applyFont="1" applyFill="1" applyBorder="1" applyAlignment="1" applyProtection="1">
      <alignment horizontal="left" vertical="center" wrapText="1" indent="1"/>
      <protection locked="0"/>
    </xf>
    <xf numFmtId="0" fontId="157" fillId="4" borderId="3" xfId="0" applyFont="1" applyFill="1" applyBorder="1" applyAlignment="1" applyProtection="1">
      <alignment horizontal="left" wrapText="1" indent="2"/>
      <protection hidden="1"/>
    </xf>
    <xf numFmtId="0" fontId="157" fillId="4" borderId="2" xfId="0" applyFont="1" applyFill="1" applyBorder="1" applyAlignment="1" applyProtection="1">
      <alignment horizontal="left" wrapText="1" indent="2"/>
      <protection hidden="1"/>
    </xf>
    <xf numFmtId="0" fontId="6" fillId="31" borderId="58" xfId="0" applyFont="1" applyFill="1" applyBorder="1" applyAlignment="1" applyProtection="1">
      <alignment horizontal="left" vertical="center" wrapText="1" indent="1"/>
      <protection locked="0"/>
    </xf>
    <xf numFmtId="0" fontId="6" fillId="31" borderId="48" xfId="0" applyFont="1" applyFill="1" applyBorder="1" applyAlignment="1" applyProtection="1">
      <alignment horizontal="left" vertical="center" wrapText="1" indent="1"/>
      <protection locked="0"/>
    </xf>
    <xf numFmtId="0" fontId="6" fillId="31" borderId="59" xfId="0" applyFont="1" applyFill="1" applyBorder="1" applyAlignment="1" applyProtection="1">
      <alignment horizontal="left" vertical="center" wrapText="1" indent="1"/>
      <protection locked="0"/>
    </xf>
    <xf numFmtId="0" fontId="6" fillId="4" borderId="0" xfId="0" applyFont="1" applyFill="1" applyAlignment="1" applyProtection="1">
      <alignment horizontal="left" vertical="center" wrapText="1" indent="1"/>
      <protection hidden="1"/>
    </xf>
    <xf numFmtId="49" fontId="6" fillId="4" borderId="58" xfId="0" applyNumberFormat="1" applyFont="1" applyFill="1" applyBorder="1" applyAlignment="1" applyProtection="1">
      <alignment horizontal="left" vertical="center" wrapText="1" indent="1"/>
      <protection hidden="1"/>
    </xf>
    <xf numFmtId="49" fontId="6" fillId="4" borderId="59" xfId="0" applyNumberFormat="1" applyFont="1" applyFill="1" applyBorder="1" applyAlignment="1" applyProtection="1">
      <alignment horizontal="left" vertical="center" wrapText="1" indent="1"/>
      <protection hidden="1"/>
    </xf>
    <xf numFmtId="49" fontId="6" fillId="4" borderId="48" xfId="0" applyNumberFormat="1" applyFont="1" applyFill="1" applyBorder="1" applyAlignment="1" applyProtection="1">
      <alignment horizontal="left" vertical="center" wrapText="1" indent="1"/>
      <protection hidden="1"/>
    </xf>
    <xf numFmtId="0" fontId="141" fillId="31" borderId="58" xfId="0" applyFont="1" applyFill="1" applyBorder="1" applyAlignment="1" applyProtection="1">
      <alignment horizontal="left" vertical="center" wrapText="1" indent="1"/>
      <protection locked="0"/>
    </xf>
    <xf numFmtId="0" fontId="141" fillId="31" borderId="59" xfId="0" applyFont="1" applyFill="1" applyBorder="1" applyAlignment="1" applyProtection="1">
      <alignment horizontal="left" vertical="center" wrapText="1" indent="1"/>
      <protection locked="0"/>
    </xf>
    <xf numFmtId="0" fontId="159" fillId="4" borderId="7" xfId="0" applyFont="1" applyFill="1" applyBorder="1" applyAlignment="1" applyProtection="1">
      <alignment horizontal="right" vertical="center" wrapText="1" indent="1"/>
      <protection hidden="1"/>
    </xf>
    <xf numFmtId="0" fontId="141" fillId="31" borderId="58" xfId="1" applyFont="1" applyFill="1" applyBorder="1" applyAlignment="1" applyProtection="1">
      <alignment horizontal="left" vertical="center" wrapText="1" indent="1"/>
      <protection locked="0"/>
    </xf>
    <xf numFmtId="0" fontId="141" fillId="31" borderId="59" xfId="1" applyFont="1" applyFill="1" applyBorder="1" applyAlignment="1" applyProtection="1">
      <alignment horizontal="left" vertical="center" wrapText="1" indent="1"/>
      <protection locked="0"/>
    </xf>
    <xf numFmtId="0" fontId="141" fillId="23" borderId="58" xfId="1" applyFont="1" applyFill="1" applyBorder="1" applyAlignment="1" applyProtection="1">
      <alignment horizontal="left" vertical="center" wrapText="1" indent="1"/>
      <protection locked="0"/>
    </xf>
    <xf numFmtId="0" fontId="141" fillId="23" borderId="59" xfId="1" applyFont="1" applyFill="1" applyBorder="1" applyAlignment="1" applyProtection="1">
      <alignment horizontal="left" vertical="center" wrapText="1" indent="1"/>
      <protection locked="0"/>
    </xf>
    <xf numFmtId="0" fontId="35" fillId="4" borderId="7" xfId="0" applyFont="1" applyFill="1" applyBorder="1" applyAlignment="1" applyProtection="1">
      <alignment horizontal="left" vertical="center" wrapText="1" indent="2"/>
      <protection hidden="1"/>
    </xf>
    <xf numFmtId="0" fontId="35" fillId="4" borderId="0" xfId="0" applyFont="1" applyFill="1" applyAlignment="1" applyProtection="1">
      <alignment horizontal="left" vertical="center" wrapText="1" indent="2"/>
      <protection hidden="1"/>
    </xf>
    <xf numFmtId="0" fontId="145" fillId="4" borderId="4" xfId="0" applyFont="1" applyFill="1" applyBorder="1" applyAlignment="1" applyProtection="1">
      <alignment horizontal="left" vertical="top" wrapText="1" indent="2"/>
      <protection hidden="1"/>
    </xf>
    <xf numFmtId="0" fontId="145" fillId="4" borderId="8" xfId="0" applyFont="1" applyFill="1" applyBorder="1" applyAlignment="1" applyProtection="1">
      <alignment horizontal="left" vertical="top" wrapText="1" indent="2"/>
      <protection hidden="1"/>
    </xf>
    <xf numFmtId="0" fontId="44" fillId="4" borderId="7" xfId="0" applyFont="1" applyFill="1" applyBorder="1" applyAlignment="1" applyProtection="1">
      <alignment horizontal="right" vertical="center" wrapText="1" indent="2"/>
      <protection hidden="1"/>
    </xf>
    <xf numFmtId="0" fontId="44" fillId="4" borderId="0" xfId="0" applyFont="1" applyFill="1" applyAlignment="1" applyProtection="1">
      <alignment horizontal="right" vertical="center" wrapText="1" indent="2"/>
      <protection hidden="1"/>
    </xf>
    <xf numFmtId="0" fontId="107" fillId="4" borderId="7" xfId="0" applyFont="1" applyFill="1" applyBorder="1" applyAlignment="1" applyProtection="1">
      <alignment horizontal="left" vertical="center" wrapText="1"/>
      <protection hidden="1"/>
    </xf>
    <xf numFmtId="0" fontId="107" fillId="4" borderId="0" xfId="0" applyFont="1" applyFill="1" applyAlignment="1" applyProtection="1">
      <alignment horizontal="left" vertical="center" wrapText="1"/>
      <protection hidden="1"/>
    </xf>
    <xf numFmtId="0" fontId="107" fillId="4" borderId="46" xfId="0" applyFont="1" applyFill="1" applyBorder="1" applyAlignment="1" applyProtection="1">
      <alignment horizontal="left" vertical="center" wrapText="1"/>
      <protection hidden="1"/>
    </xf>
    <xf numFmtId="0" fontId="6" fillId="23" borderId="58" xfId="0" applyFont="1" applyFill="1" applyBorder="1" applyAlignment="1" applyProtection="1">
      <alignment horizontal="left" vertical="center" indent="1"/>
      <protection hidden="1"/>
    </xf>
    <xf numFmtId="0" fontId="6" fillId="23" borderId="59" xfId="0" applyFont="1" applyFill="1" applyBorder="1" applyAlignment="1" applyProtection="1">
      <alignment horizontal="left" vertical="center" indent="1"/>
      <protection hidden="1"/>
    </xf>
    <xf numFmtId="0" fontId="6" fillId="23" borderId="58" xfId="0" applyFont="1" applyFill="1" applyBorder="1" applyAlignment="1" applyProtection="1">
      <alignment horizontal="left" vertical="center" wrapText="1" indent="1"/>
      <protection hidden="1"/>
    </xf>
    <xf numFmtId="0" fontId="6" fillId="23" borderId="48" xfId="0" applyFont="1" applyFill="1" applyBorder="1" applyAlignment="1" applyProtection="1">
      <alignment horizontal="left" vertical="center" wrapText="1" indent="1"/>
      <protection hidden="1"/>
    </xf>
    <xf numFmtId="0" fontId="6" fillId="23" borderId="59" xfId="0" applyFont="1" applyFill="1" applyBorder="1" applyAlignment="1" applyProtection="1">
      <alignment horizontal="left" vertical="center" wrapText="1" indent="1"/>
      <protection hidden="1"/>
    </xf>
    <xf numFmtId="49" fontId="6" fillId="23" borderId="59" xfId="0" applyNumberFormat="1" applyFont="1" applyFill="1" applyBorder="1" applyAlignment="1" applyProtection="1">
      <alignment horizontal="left" vertical="center" wrapText="1" indent="1"/>
      <protection locked="0"/>
    </xf>
    <xf numFmtId="0" fontId="5" fillId="23" borderId="58" xfId="0" applyFont="1" applyFill="1" applyBorder="1" applyAlignment="1" applyProtection="1">
      <alignment horizontal="left" vertical="center" indent="1"/>
      <protection locked="0"/>
    </xf>
    <xf numFmtId="0" fontId="5" fillId="23" borderId="48" xfId="0" applyFont="1" applyFill="1" applyBorder="1" applyAlignment="1" applyProtection="1">
      <alignment horizontal="left" vertical="center" indent="1"/>
      <protection locked="0"/>
    </xf>
    <xf numFmtId="0" fontId="5" fillId="23" borderId="59" xfId="0" applyFont="1" applyFill="1" applyBorder="1" applyAlignment="1" applyProtection="1">
      <alignment horizontal="left" vertical="center" indent="1"/>
      <protection locked="0"/>
    </xf>
    <xf numFmtId="0" fontId="6" fillId="23" borderId="58" xfId="0" applyFont="1" applyFill="1" applyBorder="1" applyAlignment="1" applyProtection="1">
      <alignment horizontal="left" vertical="center" indent="1"/>
      <protection locked="0"/>
    </xf>
    <xf numFmtId="0" fontId="6" fillId="23" borderId="59" xfId="0" applyFont="1" applyFill="1" applyBorder="1" applyAlignment="1" applyProtection="1">
      <alignment horizontal="left" vertical="center" indent="1"/>
      <protection locked="0"/>
    </xf>
    <xf numFmtId="0" fontId="5" fillId="23" borderId="1" xfId="0" applyFont="1" applyFill="1" applyBorder="1" applyAlignment="1" applyProtection="1">
      <alignment horizontal="left" vertical="center" wrapText="1" indent="1"/>
      <protection locked="0"/>
    </xf>
    <xf numFmtId="0" fontId="5" fillId="23" borderId="58" xfId="0" applyFont="1" applyFill="1" applyBorder="1" applyAlignment="1" applyProtection="1">
      <alignment horizontal="left" vertical="center" wrapText="1" indent="1"/>
      <protection locked="0"/>
    </xf>
    <xf numFmtId="0" fontId="5" fillId="23" borderId="48" xfId="0" applyFont="1" applyFill="1" applyBorder="1" applyAlignment="1" applyProtection="1">
      <alignment horizontal="left" vertical="center" wrapText="1" indent="1"/>
      <protection locked="0"/>
    </xf>
    <xf numFmtId="0" fontId="5" fillId="23" borderId="59" xfId="0" applyFont="1" applyFill="1" applyBorder="1" applyAlignment="1" applyProtection="1">
      <alignment horizontal="left" vertical="center" wrapText="1" indent="1"/>
      <protection locked="0"/>
    </xf>
    <xf numFmtId="10" fontId="6" fillId="23" borderId="1" xfId="0" applyNumberFormat="1" applyFont="1" applyFill="1" applyBorder="1" applyAlignment="1" applyProtection="1">
      <alignment horizontal="left" vertical="center" indent="1"/>
      <protection locked="0"/>
    </xf>
    <xf numFmtId="0" fontId="284" fillId="10" borderId="0" xfId="3" applyFont="1" applyFill="1" applyAlignment="1" applyProtection="1">
      <alignment horizontal="right" vertical="center" indent="1"/>
      <protection locked="0" hidden="1"/>
    </xf>
    <xf numFmtId="164" fontId="41" fillId="4" borderId="113" xfId="0" applyNumberFormat="1" applyFont="1" applyFill="1" applyBorder="1" applyAlignment="1">
      <alignment horizontal="center" vertical="center"/>
    </xf>
    <xf numFmtId="164" fontId="41" fillId="4" borderId="268" xfId="0" applyNumberFormat="1" applyFont="1" applyFill="1" applyBorder="1" applyAlignment="1">
      <alignment horizontal="center" vertical="center"/>
    </xf>
    <xf numFmtId="0" fontId="141" fillId="23" borderId="68" xfId="0" applyFont="1" applyFill="1" applyBorder="1" applyAlignment="1" applyProtection="1">
      <alignment horizontal="left" vertical="center" wrapText="1" indent="1"/>
      <protection locked="0"/>
    </xf>
    <xf numFmtId="0" fontId="141" fillId="23" borderId="119" xfId="0" applyFont="1" applyFill="1" applyBorder="1" applyAlignment="1" applyProtection="1">
      <alignment horizontal="left" vertical="center" wrapText="1" indent="1"/>
      <protection locked="0"/>
    </xf>
    <xf numFmtId="0" fontId="141" fillId="23" borderId="118" xfId="0" applyFont="1" applyFill="1" applyBorder="1" applyAlignment="1" applyProtection="1">
      <alignment horizontal="left" vertical="center" wrapText="1" indent="1"/>
      <protection locked="0"/>
    </xf>
    <xf numFmtId="0" fontId="5" fillId="4" borderId="0" xfId="0" applyFont="1" applyFill="1" applyAlignment="1" applyProtection="1">
      <alignment horizontal="right" vertical="center" wrapText="1" indent="1"/>
      <protection hidden="1"/>
    </xf>
    <xf numFmtId="0" fontId="6" fillId="4" borderId="7" xfId="0" applyFont="1" applyFill="1" applyBorder="1" applyAlignment="1" applyProtection="1">
      <alignment horizontal="right" wrapText="1" indent="1"/>
      <protection hidden="1"/>
    </xf>
    <xf numFmtId="0" fontId="6" fillId="4" borderId="0" xfId="0" applyFont="1" applyFill="1" applyAlignment="1" applyProtection="1">
      <alignment horizontal="right" wrapText="1" indent="1"/>
      <protection hidden="1"/>
    </xf>
    <xf numFmtId="0" fontId="9" fillId="5" borderId="0" xfId="0" applyFont="1" applyFill="1" applyAlignment="1" applyProtection="1">
      <alignment horizontal="left" vertical="center" indent="1"/>
      <protection hidden="1"/>
    </xf>
    <xf numFmtId="3" fontId="141" fillId="23" borderId="124" xfId="0" applyNumberFormat="1" applyFont="1" applyFill="1" applyBorder="1" applyAlignment="1" applyProtection="1">
      <alignment horizontal="left" vertical="center" wrapText="1" indent="1"/>
      <protection locked="0"/>
    </xf>
    <xf numFmtId="3" fontId="141" fillId="23" borderId="126" xfId="0" applyNumberFormat="1" applyFont="1" applyFill="1" applyBorder="1" applyAlignment="1" applyProtection="1">
      <alignment horizontal="left" vertical="center" wrapText="1" indent="1"/>
      <protection locked="0"/>
    </xf>
    <xf numFmtId="3" fontId="141" fillId="23" borderId="104" xfId="0" applyNumberFormat="1" applyFont="1" applyFill="1" applyBorder="1" applyAlignment="1" applyProtection="1">
      <alignment horizontal="left" vertical="center" wrapText="1" indent="1"/>
      <protection locked="0"/>
    </xf>
    <xf numFmtId="3" fontId="141" fillId="23" borderId="105" xfId="0" applyNumberFormat="1" applyFont="1" applyFill="1" applyBorder="1" applyAlignment="1" applyProtection="1">
      <alignment horizontal="left" vertical="center" wrapText="1" indent="1"/>
      <protection locked="0"/>
    </xf>
    <xf numFmtId="0" fontId="141" fillId="4" borderId="58" xfId="1" applyFont="1" applyFill="1" applyBorder="1" applyAlignment="1" applyProtection="1">
      <alignment horizontal="left" vertical="center" wrapText="1" indent="1"/>
      <protection hidden="1"/>
    </xf>
    <xf numFmtId="0" fontId="141" fillId="4" borderId="59" xfId="1" applyFont="1" applyFill="1" applyBorder="1" applyAlignment="1" applyProtection="1">
      <alignment horizontal="left" vertical="center" wrapText="1" indent="1"/>
      <protection hidden="1"/>
    </xf>
    <xf numFmtId="0" fontId="141" fillId="4" borderId="58" xfId="0" applyFont="1" applyFill="1" applyBorder="1" applyAlignment="1" applyProtection="1">
      <alignment horizontal="left" vertical="center" wrapText="1" indent="1"/>
      <protection hidden="1"/>
    </xf>
    <xf numFmtId="0" fontId="141" fillId="4" borderId="59" xfId="0" applyFont="1" applyFill="1" applyBorder="1" applyAlignment="1" applyProtection="1">
      <alignment horizontal="left" vertical="center" wrapText="1" indent="1"/>
      <protection hidden="1"/>
    </xf>
    <xf numFmtId="0" fontId="6" fillId="4" borderId="306" xfId="0" applyFont="1" applyFill="1" applyBorder="1" applyAlignment="1" applyProtection="1">
      <alignment horizontal="left" vertical="center" indent="1"/>
      <protection hidden="1"/>
    </xf>
    <xf numFmtId="0" fontId="6" fillId="4" borderId="59" xfId="0" applyFont="1" applyFill="1" applyBorder="1" applyAlignment="1" applyProtection="1">
      <alignment horizontal="left" vertical="center" indent="1"/>
      <protection hidden="1"/>
    </xf>
    <xf numFmtId="0" fontId="141" fillId="25" borderId="102" xfId="0" applyFont="1" applyFill="1" applyBorder="1" applyAlignment="1" applyProtection="1">
      <alignment horizontal="left" vertical="center" wrapText="1" indent="1"/>
      <protection locked="0"/>
    </xf>
    <xf numFmtId="0" fontId="141" fillId="25" borderId="103" xfId="0" applyFont="1" applyFill="1" applyBorder="1" applyAlignment="1" applyProtection="1">
      <alignment horizontal="left" vertical="center" wrapText="1" indent="1"/>
      <protection locked="0"/>
    </xf>
    <xf numFmtId="0" fontId="141" fillId="23" borderId="104" xfId="0" applyFont="1" applyFill="1" applyBorder="1" applyAlignment="1" applyProtection="1">
      <alignment horizontal="left" vertical="center" wrapText="1" indent="1"/>
      <protection locked="0"/>
    </xf>
    <xf numFmtId="0" fontId="141" fillId="23" borderId="105" xfId="0" applyFont="1" applyFill="1" applyBorder="1" applyAlignment="1" applyProtection="1">
      <alignment horizontal="left" vertical="center" wrapText="1" indent="1"/>
      <protection locked="0"/>
    </xf>
    <xf numFmtId="0" fontId="5" fillId="4" borderId="269" xfId="0" applyFont="1" applyFill="1" applyBorder="1" applyAlignment="1" applyProtection="1">
      <alignment horizontal="left" vertical="center" indent="1"/>
      <protection hidden="1"/>
    </xf>
    <xf numFmtId="0" fontId="5" fillId="4" borderId="118" xfId="0" applyFont="1" applyFill="1" applyBorder="1" applyAlignment="1" applyProtection="1">
      <alignment horizontal="left" vertical="center" indent="1"/>
      <protection hidden="1"/>
    </xf>
    <xf numFmtId="0" fontId="23" fillId="4" borderId="276" xfId="0" applyFont="1" applyFill="1" applyBorder="1" applyAlignment="1" applyProtection="1">
      <alignment horizontal="left" vertical="center" indent="2"/>
      <protection hidden="1"/>
    </xf>
    <xf numFmtId="0" fontId="23" fillId="4" borderId="209" xfId="0" applyFont="1" applyFill="1" applyBorder="1" applyAlignment="1" applyProtection="1">
      <alignment horizontal="left" vertical="center" indent="2"/>
      <protection hidden="1"/>
    </xf>
    <xf numFmtId="0" fontId="3" fillId="4" borderId="272" xfId="0" applyFont="1" applyFill="1" applyBorder="1" applyAlignment="1" applyProtection="1">
      <alignment horizontal="left" vertical="center" indent="2"/>
      <protection hidden="1"/>
    </xf>
    <xf numFmtId="0" fontId="3" fillId="4" borderId="203" xfId="0" applyFont="1" applyFill="1" applyBorder="1" applyAlignment="1" applyProtection="1">
      <alignment horizontal="left" vertical="center" indent="2"/>
      <protection hidden="1"/>
    </xf>
    <xf numFmtId="0" fontId="3" fillId="4" borderId="282" xfId="0" applyFont="1" applyFill="1" applyBorder="1" applyAlignment="1" applyProtection="1">
      <alignment horizontal="left" vertical="center" indent="2"/>
      <protection hidden="1"/>
    </xf>
    <xf numFmtId="0" fontId="3" fillId="4" borderId="224" xfId="0" applyFont="1" applyFill="1" applyBorder="1" applyAlignment="1" applyProtection="1">
      <alignment horizontal="left" vertical="center" indent="2"/>
      <protection hidden="1"/>
    </xf>
    <xf numFmtId="0" fontId="3" fillId="4" borderId="276" xfId="0" applyFont="1" applyFill="1" applyBorder="1" applyAlignment="1" applyProtection="1">
      <alignment horizontal="left" vertical="center" indent="2"/>
      <protection hidden="1"/>
    </xf>
    <xf numFmtId="0" fontId="3" fillId="4" borderId="209" xfId="0" applyFont="1" applyFill="1" applyBorder="1" applyAlignment="1" applyProtection="1">
      <alignment horizontal="left" vertical="center" indent="2"/>
      <protection hidden="1"/>
    </xf>
    <xf numFmtId="0" fontId="5" fillId="4" borderId="104" xfId="0" applyFont="1" applyFill="1" applyBorder="1" applyAlignment="1" applyProtection="1">
      <alignment horizontal="right" vertical="center" wrapText="1" indent="2"/>
      <protection hidden="1"/>
    </xf>
    <xf numFmtId="0" fontId="5" fillId="4" borderId="105" xfId="0" applyFont="1" applyFill="1" applyBorder="1" applyAlignment="1" applyProtection="1">
      <alignment horizontal="right" vertical="center" wrapText="1" indent="2"/>
      <protection hidden="1"/>
    </xf>
    <xf numFmtId="0" fontId="5" fillId="4" borderId="265" xfId="0" applyFont="1" applyFill="1" applyBorder="1" applyAlignment="1" applyProtection="1">
      <alignment horizontal="right" vertical="center" wrapText="1" indent="1"/>
      <protection hidden="1"/>
    </xf>
    <xf numFmtId="0" fontId="5" fillId="4" borderId="220" xfId="0" applyFont="1" applyFill="1" applyBorder="1" applyAlignment="1" applyProtection="1">
      <alignment horizontal="right" vertical="center" wrapText="1" indent="1"/>
      <protection hidden="1"/>
    </xf>
    <xf numFmtId="0" fontId="5" fillId="4" borderId="267" xfId="0" applyFont="1" applyFill="1" applyBorder="1" applyAlignment="1" applyProtection="1">
      <alignment horizontal="left" vertical="center" indent="1"/>
      <protection hidden="1"/>
    </xf>
    <xf numFmtId="0" fontId="5" fillId="4" borderId="127" xfId="0" applyFont="1" applyFill="1" applyBorder="1" applyAlignment="1" applyProtection="1">
      <alignment horizontal="left" vertical="center" indent="1"/>
      <protection hidden="1"/>
    </xf>
    <xf numFmtId="0" fontId="35" fillId="4" borderId="7" xfId="0" applyFont="1" applyFill="1" applyBorder="1" applyAlignment="1" applyProtection="1">
      <alignment horizontal="left" vertical="center" wrapText="1" indent="1"/>
      <protection hidden="1"/>
    </xf>
    <xf numFmtId="0" fontId="1" fillId="33" borderId="49" xfId="0" applyFont="1" applyFill="1" applyBorder="1" applyAlignment="1" applyProtection="1">
      <alignment horizontal="left" vertical="center" wrapText="1" indent="1"/>
      <protection hidden="1"/>
    </xf>
    <xf numFmtId="0" fontId="1" fillId="33" borderId="50" xfId="0" applyFont="1" applyFill="1" applyBorder="1" applyAlignment="1" applyProtection="1">
      <alignment horizontal="left" vertical="center" wrapText="1" indent="1"/>
      <protection hidden="1"/>
    </xf>
    <xf numFmtId="0" fontId="1" fillId="33" borderId="51" xfId="0" applyFont="1" applyFill="1" applyBorder="1" applyAlignment="1" applyProtection="1">
      <alignment horizontal="left" vertical="center" wrapText="1" indent="1"/>
      <protection hidden="1"/>
    </xf>
    <xf numFmtId="0" fontId="140" fillId="23" borderId="219" xfId="0" applyFont="1" applyFill="1" applyBorder="1" applyAlignment="1" applyProtection="1">
      <alignment horizontal="left" vertical="center" wrapText="1" indent="1"/>
      <protection locked="0"/>
    </xf>
    <xf numFmtId="0" fontId="140" fillId="23" borderId="180" xfId="0" applyFont="1" applyFill="1" applyBorder="1" applyAlignment="1" applyProtection="1">
      <alignment horizontal="left" vertical="center" wrapText="1" indent="1"/>
      <protection locked="0"/>
    </xf>
    <xf numFmtId="0" fontId="140" fillId="23" borderId="280" xfId="0" applyFont="1" applyFill="1" applyBorder="1" applyAlignment="1" applyProtection="1">
      <alignment horizontal="left" vertical="center" wrapText="1" indent="1"/>
      <protection locked="0"/>
    </xf>
    <xf numFmtId="0" fontId="28" fillId="33" borderId="55" xfId="0" applyFont="1" applyFill="1" applyBorder="1" applyAlignment="1" applyProtection="1">
      <alignment horizontal="left" vertical="center" indent="1"/>
      <protection hidden="1"/>
    </xf>
    <xf numFmtId="0" fontId="28" fillId="33" borderId="246" xfId="0" applyFont="1" applyFill="1" applyBorder="1" applyAlignment="1" applyProtection="1">
      <alignment horizontal="left" vertical="center" indent="1"/>
      <protection hidden="1"/>
    </xf>
    <xf numFmtId="0" fontId="64" fillId="4" borderId="0" xfId="0" applyFont="1" applyFill="1" applyAlignment="1" applyProtection="1">
      <alignment horizontal="left" vertical="top" wrapText="1" indent="1"/>
      <protection hidden="1"/>
    </xf>
    <xf numFmtId="0" fontId="64" fillId="4" borderId="8" xfId="0" applyFont="1" applyFill="1" applyBorder="1" applyAlignment="1" applyProtection="1">
      <alignment horizontal="left" vertical="top" wrapText="1" indent="1"/>
      <protection hidden="1"/>
    </xf>
    <xf numFmtId="164" fontId="40" fillId="4" borderId="213" xfId="0" applyNumberFormat="1" applyFont="1" applyFill="1" applyBorder="1" applyAlignment="1">
      <alignment horizontal="center" vertical="center"/>
    </xf>
    <xf numFmtId="164" fontId="40" fillId="4" borderId="277" xfId="0" applyNumberFormat="1" applyFont="1" applyFill="1" applyBorder="1" applyAlignment="1">
      <alignment horizontal="center" vertical="center"/>
    </xf>
    <xf numFmtId="164" fontId="40" fillId="4" borderId="67" xfId="0" applyNumberFormat="1" applyFont="1" applyFill="1" applyBorder="1" applyAlignment="1">
      <alignment horizontal="center" vertical="center"/>
    </xf>
    <xf numFmtId="164" fontId="40" fillId="4" borderId="270" xfId="0" applyNumberFormat="1" applyFont="1" applyFill="1" applyBorder="1" applyAlignment="1">
      <alignment horizontal="center" vertical="center"/>
    </xf>
    <xf numFmtId="164" fontId="40" fillId="4" borderId="207" xfId="0" applyNumberFormat="1" applyFont="1" applyFill="1" applyBorder="1" applyAlignment="1">
      <alignment horizontal="center" vertical="center"/>
    </xf>
    <xf numFmtId="164" fontId="40" fillId="4" borderId="273" xfId="0" applyNumberFormat="1" applyFont="1" applyFill="1" applyBorder="1" applyAlignment="1">
      <alignment horizontal="center" vertical="center"/>
    </xf>
    <xf numFmtId="164" fontId="148" fillId="33" borderId="217" xfId="0" applyNumberFormat="1" applyFont="1" applyFill="1" applyBorder="1" applyAlignment="1">
      <alignment horizontal="center" vertical="center"/>
    </xf>
    <xf numFmtId="164" fontId="148" fillId="33" borderId="266" xfId="0" applyNumberFormat="1" applyFont="1" applyFill="1" applyBorder="1" applyAlignment="1">
      <alignment horizontal="center" vertical="center"/>
    </xf>
    <xf numFmtId="0" fontId="37" fillId="4" borderId="262" xfId="0" applyFont="1" applyFill="1" applyBorder="1" applyAlignment="1" applyProtection="1">
      <alignment horizontal="left" vertical="center" wrapText="1" indent="1"/>
      <protection hidden="1"/>
    </xf>
    <xf numFmtId="0" fontId="37" fillId="4" borderId="263" xfId="0" applyFont="1" applyFill="1" applyBorder="1" applyAlignment="1" applyProtection="1">
      <alignment horizontal="left" vertical="center" wrapText="1" indent="1"/>
      <protection hidden="1"/>
    </xf>
    <xf numFmtId="0" fontId="37" fillId="4" borderId="6" xfId="0" applyFont="1" applyFill="1" applyBorder="1" applyAlignment="1" applyProtection="1">
      <alignment horizontal="left" vertical="center" wrapText="1" indent="1"/>
      <protection hidden="1"/>
    </xf>
    <xf numFmtId="0" fontId="37" fillId="4" borderId="264" xfId="0" applyFont="1" applyFill="1" applyBorder="1" applyAlignment="1" applyProtection="1">
      <alignment horizontal="left" vertical="center" wrapText="1" indent="1"/>
      <protection hidden="1"/>
    </xf>
    <xf numFmtId="0" fontId="37" fillId="4" borderId="259" xfId="0" applyFont="1" applyFill="1" applyBorder="1" applyAlignment="1" applyProtection="1">
      <alignment horizontal="left" vertical="center" indent="1"/>
      <protection hidden="1"/>
    </xf>
    <xf numFmtId="0" fontId="37" fillId="4" borderId="260" xfId="0" applyFont="1" applyFill="1" applyBorder="1" applyAlignment="1" applyProtection="1">
      <alignment horizontal="left" vertical="center" indent="1"/>
      <protection hidden="1"/>
    </xf>
    <xf numFmtId="0" fontId="37" fillId="4" borderId="261" xfId="0" applyFont="1" applyFill="1" applyBorder="1" applyAlignment="1" applyProtection="1">
      <alignment horizontal="left" vertical="center" indent="1"/>
      <protection hidden="1"/>
    </xf>
    <xf numFmtId="0" fontId="37" fillId="4" borderId="49" xfId="0" applyFont="1" applyFill="1" applyBorder="1" applyAlignment="1" applyProtection="1">
      <alignment horizontal="left" vertical="center" wrapText="1" indent="1"/>
      <protection hidden="1"/>
    </xf>
    <xf numFmtId="0" fontId="37" fillId="4" borderId="247" xfId="0" applyFont="1" applyFill="1" applyBorder="1" applyAlignment="1" applyProtection="1">
      <alignment horizontal="left" vertical="center" wrapText="1" indent="1"/>
      <protection hidden="1"/>
    </xf>
    <xf numFmtId="0" fontId="37" fillId="4" borderId="52" xfId="0" applyFont="1" applyFill="1" applyBorder="1" applyAlignment="1" applyProtection="1">
      <alignment horizontal="left" vertical="center" wrapText="1" indent="1"/>
      <protection hidden="1"/>
    </xf>
    <xf numFmtId="0" fontId="37" fillId="4" borderId="46" xfId="0" applyFont="1" applyFill="1" applyBorder="1" applyAlignment="1" applyProtection="1">
      <alignment horizontal="left" vertical="center" wrapText="1" indent="1"/>
      <protection hidden="1"/>
    </xf>
    <xf numFmtId="164" fontId="204" fillId="33" borderId="287" xfId="0" applyNumberFormat="1" applyFont="1" applyFill="1" applyBorder="1" applyAlignment="1">
      <alignment horizontal="center" vertical="center"/>
    </xf>
    <xf numFmtId="164" fontId="204" fillId="33" borderId="288" xfId="0" applyNumberFormat="1" applyFont="1" applyFill="1" applyBorder="1" applyAlignment="1">
      <alignment horizontal="center" vertical="center"/>
    </xf>
    <xf numFmtId="0" fontId="124" fillId="5" borderId="0" xfId="3" applyFont="1" applyFill="1" applyAlignment="1" applyProtection="1">
      <alignment horizontal="center"/>
      <protection locked="0" hidden="1"/>
    </xf>
    <xf numFmtId="164" fontId="40" fillId="4" borderId="199" xfId="0" applyNumberFormat="1" applyFont="1" applyFill="1" applyBorder="1" applyAlignment="1">
      <alignment horizontal="center" vertical="center"/>
    </xf>
    <xf numFmtId="164" fontId="40" fillId="4" borderId="305" xfId="0" applyNumberFormat="1" applyFont="1" applyFill="1" applyBorder="1" applyAlignment="1">
      <alignment horizontal="center" vertical="center"/>
    </xf>
    <xf numFmtId="0" fontId="4" fillId="4" borderId="4" xfId="0" applyFont="1" applyFill="1" applyBorder="1" applyAlignment="1" applyProtection="1">
      <alignment horizontal="right" vertical="center" wrapText="1" indent="1"/>
      <protection hidden="1"/>
    </xf>
    <xf numFmtId="0" fontId="4" fillId="4" borderId="8" xfId="0" applyFont="1" applyFill="1" applyBorder="1" applyAlignment="1" applyProtection="1">
      <alignment horizontal="right" vertical="center" wrapText="1" indent="1"/>
      <protection hidden="1"/>
    </xf>
    <xf numFmtId="0" fontId="4" fillId="4" borderId="5" xfId="0" applyFont="1" applyFill="1" applyBorder="1" applyAlignment="1" applyProtection="1">
      <alignment horizontal="right" vertical="center" wrapText="1" indent="1"/>
      <protection hidden="1"/>
    </xf>
    <xf numFmtId="0" fontId="51" fillId="23" borderId="4" xfId="0" applyFont="1" applyFill="1" applyBorder="1" applyAlignment="1" applyProtection="1">
      <alignment horizontal="left" vertical="top" wrapText="1" indent="1"/>
      <protection locked="0"/>
    </xf>
    <xf numFmtId="0" fontId="51" fillId="23" borderId="8" xfId="0" applyFont="1" applyFill="1" applyBorder="1" applyAlignment="1" applyProtection="1">
      <alignment horizontal="left" vertical="top" wrapText="1" indent="1"/>
      <protection locked="0"/>
    </xf>
    <xf numFmtId="0" fontId="51" fillId="23" borderId="5" xfId="0" applyFont="1" applyFill="1" applyBorder="1" applyAlignment="1" applyProtection="1">
      <alignment horizontal="left" vertical="top" wrapText="1" indent="1"/>
      <protection locked="0"/>
    </xf>
    <xf numFmtId="0" fontId="100" fillId="23" borderId="88" xfId="0" applyFont="1" applyFill="1" applyBorder="1" applyAlignment="1" applyProtection="1">
      <alignment horizontal="left" vertical="center" wrapText="1"/>
      <protection locked="0"/>
    </xf>
    <xf numFmtId="0" fontId="100" fillId="23" borderId="119" xfId="0" applyFont="1" applyFill="1" applyBorder="1" applyAlignment="1" applyProtection="1">
      <alignment horizontal="left" vertical="center" wrapText="1"/>
      <protection locked="0"/>
    </xf>
    <xf numFmtId="0" fontId="100" fillId="23" borderId="118" xfId="0" applyFont="1" applyFill="1" applyBorder="1" applyAlignment="1" applyProtection="1">
      <alignment horizontal="left" vertical="center" wrapText="1"/>
      <protection locked="0"/>
    </xf>
    <xf numFmtId="164" fontId="49" fillId="24" borderId="91" xfId="0" applyNumberFormat="1" applyFont="1" applyFill="1" applyBorder="1" applyAlignment="1" applyProtection="1">
      <alignment horizontal="center" vertical="center"/>
      <protection hidden="1"/>
    </xf>
    <xf numFmtId="164" fontId="49" fillId="24" borderId="92" xfId="0" applyNumberFormat="1" applyFont="1" applyFill="1" applyBorder="1" applyAlignment="1" applyProtection="1">
      <alignment horizontal="center" vertical="center"/>
      <protection hidden="1"/>
    </xf>
    <xf numFmtId="0" fontId="3" fillId="4" borderId="69" xfId="0" applyFont="1" applyFill="1" applyBorder="1" applyAlignment="1" applyProtection="1">
      <alignment horizontal="left" vertical="center" indent="3"/>
      <protection hidden="1"/>
    </xf>
    <xf numFmtId="0" fontId="3" fillId="4" borderId="119" xfId="0" applyFont="1" applyFill="1" applyBorder="1" applyAlignment="1" applyProtection="1">
      <alignment horizontal="left" vertical="center" indent="3"/>
      <protection hidden="1"/>
    </xf>
    <xf numFmtId="0" fontId="3" fillId="4" borderId="88" xfId="0" applyFont="1" applyFill="1" applyBorder="1" applyAlignment="1" applyProtection="1">
      <alignment horizontal="left" vertical="center" indent="3"/>
      <protection hidden="1"/>
    </xf>
    <xf numFmtId="0" fontId="3" fillId="4" borderId="69" xfId="0" applyFont="1" applyFill="1" applyBorder="1" applyAlignment="1" applyProtection="1">
      <alignment horizontal="left" vertical="center" indent="2"/>
      <protection hidden="1"/>
    </xf>
    <xf numFmtId="0" fontId="3" fillId="4" borderId="119" xfId="0" applyFont="1" applyFill="1" applyBorder="1" applyAlignment="1" applyProtection="1">
      <alignment horizontal="left" vertical="center" indent="2"/>
      <protection hidden="1"/>
    </xf>
    <xf numFmtId="0" fontId="3" fillId="4" borderId="88" xfId="0" applyFont="1" applyFill="1" applyBorder="1" applyAlignment="1" applyProtection="1">
      <alignment horizontal="left" vertical="center" indent="2"/>
      <protection hidden="1"/>
    </xf>
    <xf numFmtId="0" fontId="124" fillId="5" borderId="0" xfId="3" applyFont="1" applyFill="1" applyAlignment="1" applyProtection="1">
      <alignment horizontal="left" indent="1"/>
      <protection locked="0" hidden="1"/>
    </xf>
    <xf numFmtId="0" fontId="3" fillId="4" borderId="274" xfId="0" applyFont="1" applyFill="1" applyBorder="1" applyAlignment="1" applyProtection="1">
      <alignment horizontal="left" vertical="center" indent="2"/>
      <protection hidden="1"/>
    </xf>
    <xf numFmtId="0" fontId="3" fillId="4" borderId="191" xfId="0" applyFont="1" applyFill="1" applyBorder="1" applyAlignment="1" applyProtection="1">
      <alignment horizontal="left" vertical="center" indent="2"/>
      <protection hidden="1"/>
    </xf>
    <xf numFmtId="164" fontId="40" fillId="4" borderId="195" xfId="0" applyNumberFormat="1" applyFont="1" applyFill="1" applyBorder="1" applyAlignment="1">
      <alignment horizontal="center" vertical="center"/>
    </xf>
    <xf numFmtId="164" fontId="40" fillId="4" borderId="275" xfId="0" applyNumberFormat="1" applyFont="1" applyFill="1" applyBorder="1" applyAlignment="1">
      <alignment horizontal="center" vertical="center"/>
    </xf>
    <xf numFmtId="0" fontId="5" fillId="5" borderId="0" xfId="0" applyFont="1" applyFill="1" applyAlignment="1" applyProtection="1">
      <alignment horizontal="right" wrapText="1" indent="1"/>
      <protection hidden="1"/>
    </xf>
    <xf numFmtId="0" fontId="5" fillId="5" borderId="46" xfId="0" applyFont="1" applyFill="1" applyBorder="1" applyAlignment="1" applyProtection="1">
      <alignment horizontal="right" wrapText="1" indent="1"/>
      <protection hidden="1"/>
    </xf>
    <xf numFmtId="164" fontId="40" fillId="4" borderId="113" xfId="0" applyNumberFormat="1" applyFont="1" applyFill="1" applyBorder="1" applyAlignment="1">
      <alignment horizontal="center" vertical="center"/>
    </xf>
    <xf numFmtId="164" fontId="40" fillId="4" borderId="268" xfId="0" applyNumberFormat="1" applyFont="1" applyFill="1" applyBorder="1" applyAlignment="1">
      <alignment horizontal="center" vertical="center"/>
    </xf>
    <xf numFmtId="164" fontId="41" fillId="4" borderId="208" xfId="0" applyNumberFormat="1" applyFont="1" applyFill="1" applyBorder="1" applyAlignment="1">
      <alignment horizontal="center" vertical="center"/>
    </xf>
    <xf numFmtId="164" fontId="41" fillId="4" borderId="279" xfId="0" applyNumberFormat="1" applyFont="1" applyFill="1" applyBorder="1" applyAlignment="1">
      <alignment horizontal="center" vertical="center"/>
    </xf>
    <xf numFmtId="164" fontId="40" fillId="4" borderId="63" xfId="0" applyNumberFormat="1" applyFont="1" applyFill="1" applyBorder="1" applyAlignment="1">
      <alignment horizontal="center" vertical="center"/>
    </xf>
    <xf numFmtId="164" fontId="40" fillId="4" borderId="281" xfId="0" applyNumberFormat="1" applyFont="1" applyFill="1" applyBorder="1" applyAlignment="1">
      <alignment horizontal="center" vertical="center"/>
    </xf>
    <xf numFmtId="164" fontId="148" fillId="33" borderId="287" xfId="0" applyNumberFormat="1" applyFont="1" applyFill="1" applyBorder="1" applyAlignment="1">
      <alignment horizontal="center" vertical="center"/>
    </xf>
    <xf numFmtId="164" fontId="148" fillId="33" borderId="288" xfId="0" applyNumberFormat="1" applyFont="1" applyFill="1" applyBorder="1" applyAlignment="1">
      <alignment horizontal="center" vertical="center"/>
    </xf>
    <xf numFmtId="0" fontId="5" fillId="4" borderId="46" xfId="0" applyFont="1" applyFill="1" applyBorder="1" applyAlignment="1" applyProtection="1">
      <alignment horizontal="right" vertical="center" wrapText="1" indent="1"/>
      <protection hidden="1"/>
    </xf>
    <xf numFmtId="0" fontId="3" fillId="5" borderId="2" xfId="0" applyFont="1" applyFill="1" applyBorder="1" applyAlignment="1" applyProtection="1">
      <alignment horizontal="right" vertical="center" wrapText="1" indent="1"/>
      <protection hidden="1"/>
    </xf>
    <xf numFmtId="0" fontId="23" fillId="4" borderId="272" xfId="0" applyFont="1" applyFill="1" applyBorder="1" applyAlignment="1" applyProtection="1">
      <alignment horizontal="left" vertical="center" indent="2"/>
      <protection hidden="1"/>
    </xf>
    <xf numFmtId="0" fontId="23" fillId="4" borderId="203" xfId="0" applyFont="1" applyFill="1" applyBorder="1" applyAlignment="1" applyProtection="1">
      <alignment horizontal="left" vertical="center" indent="2"/>
      <protection hidden="1"/>
    </xf>
    <xf numFmtId="0" fontId="23" fillId="4" borderId="274" xfId="0" applyFont="1" applyFill="1" applyBorder="1" applyAlignment="1" applyProtection="1">
      <alignment horizontal="left" vertical="center" indent="2"/>
      <protection hidden="1"/>
    </xf>
    <xf numFmtId="0" fontId="23" fillId="4" borderId="191" xfId="0" applyFont="1" applyFill="1" applyBorder="1" applyAlignment="1" applyProtection="1">
      <alignment horizontal="left" vertical="center" indent="2"/>
      <protection hidden="1"/>
    </xf>
    <xf numFmtId="0" fontId="37" fillId="4" borderId="80" xfId="0" applyFont="1" applyFill="1" applyBorder="1" applyAlignment="1" applyProtection="1">
      <alignment horizontal="center" vertical="center" wrapText="1"/>
      <protection hidden="1"/>
    </xf>
    <xf numFmtId="0" fontId="37" fillId="4" borderId="132" xfId="0" applyFont="1" applyFill="1" applyBorder="1" applyAlignment="1" applyProtection="1">
      <alignment horizontal="center" vertical="center" wrapText="1"/>
      <protection hidden="1"/>
    </xf>
    <xf numFmtId="0" fontId="37" fillId="4" borderId="125" xfId="0" applyFont="1" applyFill="1" applyBorder="1" applyAlignment="1" applyProtection="1">
      <alignment horizontal="center" vertical="center" wrapText="1"/>
      <protection hidden="1"/>
    </xf>
    <xf numFmtId="164" fontId="40" fillId="4" borderId="72" xfId="0" applyNumberFormat="1" applyFont="1" applyFill="1" applyBorder="1" applyAlignment="1">
      <alignment horizontal="center" vertical="center"/>
    </xf>
    <xf numFmtId="164" fontId="40" fillId="4" borderId="302" xfId="0" applyNumberFormat="1" applyFont="1" applyFill="1" applyBorder="1" applyAlignment="1">
      <alignment horizontal="center" vertical="center"/>
    </xf>
    <xf numFmtId="0" fontId="5" fillId="4" borderId="7" xfId="0" applyFont="1" applyFill="1" applyBorder="1" applyAlignment="1" applyProtection="1">
      <alignment horizontal="right" vertical="center" wrapText="1" indent="1"/>
      <protection hidden="1"/>
    </xf>
    <xf numFmtId="164" fontId="40" fillId="4" borderId="176" xfId="0" applyNumberFormat="1" applyFont="1" applyFill="1" applyBorder="1" applyAlignment="1">
      <alignment horizontal="center" vertical="center"/>
    </xf>
    <xf numFmtId="164" fontId="40" fillId="4" borderId="301" xfId="0" applyNumberFormat="1" applyFont="1" applyFill="1" applyBorder="1" applyAlignment="1">
      <alignment horizontal="center" vertical="center"/>
    </xf>
    <xf numFmtId="0" fontId="51" fillId="23" borderId="106" xfId="0" applyFont="1" applyFill="1" applyBorder="1" applyAlignment="1" applyProtection="1">
      <alignment horizontal="left" vertical="center" wrapText="1" indent="1"/>
      <protection locked="0"/>
    </xf>
    <xf numFmtId="0" fontId="51" fillId="23" borderId="135" xfId="0" applyFont="1" applyFill="1" applyBorder="1" applyAlignment="1" applyProtection="1">
      <alignment horizontal="left" vertical="center" wrapText="1" indent="1"/>
      <protection locked="0"/>
    </xf>
    <xf numFmtId="0" fontId="51" fillId="23" borderId="107" xfId="0" applyFont="1" applyFill="1" applyBorder="1" applyAlignment="1" applyProtection="1">
      <alignment horizontal="left" vertical="center" wrapText="1" indent="1"/>
      <protection locked="0"/>
    </xf>
    <xf numFmtId="0" fontId="141" fillId="23" borderId="3" xfId="0" applyFont="1" applyFill="1" applyBorder="1" applyAlignment="1" applyProtection="1">
      <alignment horizontal="left" vertical="center" wrapText="1" indent="1"/>
      <protection locked="0"/>
    </xf>
    <xf numFmtId="0" fontId="141" fillId="23" borderId="2" xfId="0" applyFont="1" applyFill="1" applyBorder="1" applyAlignment="1" applyProtection="1">
      <alignment horizontal="left" vertical="center" wrapText="1" indent="1"/>
      <protection locked="0"/>
    </xf>
    <xf numFmtId="0" fontId="141" fillId="23" borderId="54" xfId="0" applyFont="1" applyFill="1" applyBorder="1" applyAlignment="1" applyProtection="1">
      <alignment horizontal="left" vertical="center" wrapText="1" indent="1"/>
      <protection locked="0"/>
    </xf>
    <xf numFmtId="0" fontId="141" fillId="23" borderId="4" xfId="0" applyFont="1" applyFill="1" applyBorder="1" applyAlignment="1" applyProtection="1">
      <alignment horizontal="left" vertical="center" wrapText="1" indent="1"/>
      <protection locked="0"/>
    </xf>
    <xf numFmtId="0" fontId="141" fillId="23" borderId="8" xfId="0" applyFont="1" applyFill="1" applyBorder="1" applyAlignment="1" applyProtection="1">
      <alignment horizontal="left" vertical="center" wrapText="1" indent="1"/>
      <protection locked="0"/>
    </xf>
    <xf numFmtId="0" fontId="141" fillId="23" borderId="5" xfId="0" applyFont="1" applyFill="1" applyBorder="1" applyAlignment="1" applyProtection="1">
      <alignment horizontal="left" vertical="center" wrapText="1" indent="1"/>
      <protection locked="0"/>
    </xf>
    <xf numFmtId="0" fontId="141" fillId="23" borderId="85" xfId="0" applyFont="1" applyFill="1" applyBorder="1" applyAlignment="1" applyProtection="1">
      <alignment horizontal="left" vertical="center" wrapText="1" indent="1"/>
      <protection locked="0"/>
    </xf>
    <xf numFmtId="0" fontId="141" fillId="23" borderId="182" xfId="0" applyFont="1" applyFill="1" applyBorder="1" applyAlignment="1" applyProtection="1">
      <alignment horizontal="left" vertical="center" wrapText="1" indent="1"/>
      <protection locked="0"/>
    </xf>
    <xf numFmtId="0" fontId="141" fillId="23" borderId="86" xfId="0" applyFont="1" applyFill="1" applyBorder="1" applyAlignment="1" applyProtection="1">
      <alignment horizontal="left" vertical="center" wrapText="1" indent="1"/>
      <protection locked="0"/>
    </xf>
    <xf numFmtId="0" fontId="5" fillId="31" borderId="3" xfId="0" applyFont="1" applyFill="1" applyBorder="1" applyAlignment="1" applyProtection="1">
      <alignment horizontal="left" vertical="center" wrapText="1" indent="1"/>
      <protection locked="0"/>
    </xf>
    <xf numFmtId="0" fontId="5" fillId="31" borderId="2" xfId="0" applyFont="1" applyFill="1" applyBorder="1" applyAlignment="1" applyProtection="1">
      <alignment horizontal="left" vertical="center" wrapText="1" indent="1"/>
      <protection locked="0"/>
    </xf>
    <xf numFmtId="0" fontId="5" fillId="31" borderId="54" xfId="0" applyFont="1" applyFill="1" applyBorder="1" applyAlignment="1" applyProtection="1">
      <alignment horizontal="left" vertical="center" wrapText="1" indent="1"/>
      <protection locked="0"/>
    </xf>
    <xf numFmtId="0" fontId="5" fillId="31" borderId="4" xfId="0" applyFont="1" applyFill="1" applyBorder="1" applyAlignment="1" applyProtection="1">
      <alignment horizontal="left" vertical="center" wrapText="1" indent="1"/>
      <protection locked="0"/>
    </xf>
    <xf numFmtId="0" fontId="5" fillId="31" borderId="8" xfId="0" applyFont="1" applyFill="1" applyBorder="1" applyAlignment="1" applyProtection="1">
      <alignment horizontal="left" vertical="center" wrapText="1" indent="1"/>
      <protection locked="0"/>
    </xf>
    <xf numFmtId="0" fontId="5" fillId="31" borderId="5" xfId="0" applyFont="1" applyFill="1" applyBorder="1" applyAlignment="1" applyProtection="1">
      <alignment horizontal="left" vertical="center" wrapText="1" indent="1"/>
      <protection locked="0"/>
    </xf>
    <xf numFmtId="0" fontId="38" fillId="4" borderId="7" xfId="0" applyFont="1" applyFill="1" applyBorder="1" applyAlignment="1" applyProtection="1">
      <alignment horizontal="right" vertical="center" wrapText="1" indent="1"/>
      <protection hidden="1"/>
    </xf>
    <xf numFmtId="0" fontId="38" fillId="4" borderId="0" xfId="0" applyFont="1" applyFill="1" applyAlignment="1" applyProtection="1">
      <alignment horizontal="right" vertical="center" wrapText="1" indent="1"/>
      <protection hidden="1"/>
    </xf>
    <xf numFmtId="0" fontId="38" fillId="4" borderId="46" xfId="0" applyFont="1" applyFill="1" applyBorder="1" applyAlignment="1" applyProtection="1">
      <alignment horizontal="right" vertical="center" wrapText="1" indent="1"/>
      <protection hidden="1"/>
    </xf>
    <xf numFmtId="0" fontId="51" fillId="25" borderId="104" xfId="0" applyFont="1" applyFill="1" applyBorder="1" applyAlignment="1" applyProtection="1">
      <alignment horizontal="left" vertical="center" wrapText="1" indent="1"/>
      <protection locked="0"/>
    </xf>
    <xf numFmtId="0" fontId="51" fillId="25" borderId="45" xfId="0" applyFont="1" applyFill="1" applyBorder="1" applyAlignment="1" applyProtection="1">
      <alignment horizontal="left" vertical="center" wrapText="1" indent="1"/>
      <protection locked="0"/>
    </xf>
    <xf numFmtId="0" fontId="51" fillId="25" borderId="105" xfId="0" applyFont="1" applyFill="1" applyBorder="1" applyAlignment="1" applyProtection="1">
      <alignment horizontal="left" vertical="center" wrapText="1" indent="1"/>
      <protection locked="0"/>
    </xf>
    <xf numFmtId="0" fontId="160" fillId="4" borderId="0" xfId="0" applyFont="1" applyFill="1" applyAlignment="1" applyProtection="1">
      <alignment horizontal="right" vertical="top" wrapText="1" indent="1"/>
      <protection hidden="1"/>
    </xf>
    <xf numFmtId="0" fontId="51" fillId="23" borderId="3" xfId="0" applyFont="1" applyFill="1" applyBorder="1" applyAlignment="1" applyProtection="1">
      <alignment horizontal="left" vertical="top" wrapText="1" indent="1"/>
      <protection locked="0"/>
    </xf>
    <xf numFmtId="0" fontId="51" fillId="23" borderId="2" xfId="0" applyFont="1" applyFill="1" applyBorder="1" applyAlignment="1" applyProtection="1">
      <alignment horizontal="left" vertical="top" wrapText="1" indent="1"/>
      <protection locked="0"/>
    </xf>
    <xf numFmtId="0" fontId="51" fillId="23" borderId="54" xfId="0" applyFont="1" applyFill="1" applyBorder="1" applyAlignment="1" applyProtection="1">
      <alignment horizontal="left" vertical="top" wrapText="1" indent="1"/>
      <protection locked="0"/>
    </xf>
    <xf numFmtId="0" fontId="51" fillId="23" borderId="7" xfId="0" applyFont="1" applyFill="1" applyBorder="1" applyAlignment="1" applyProtection="1">
      <alignment horizontal="left" vertical="top" wrapText="1" indent="1"/>
      <protection locked="0"/>
    </xf>
    <xf numFmtId="0" fontId="51" fillId="23" borderId="0" xfId="0" applyFont="1" applyFill="1" applyAlignment="1" applyProtection="1">
      <alignment horizontal="left" vertical="top" wrapText="1" indent="1"/>
      <protection locked="0"/>
    </xf>
    <xf numFmtId="0" fontId="51" fillId="23" borderId="46" xfId="0" applyFont="1" applyFill="1" applyBorder="1" applyAlignment="1" applyProtection="1">
      <alignment horizontal="left" vertical="top" wrapText="1" indent="1"/>
      <protection locked="0"/>
    </xf>
    <xf numFmtId="14" fontId="6" fillId="4" borderId="58" xfId="1" applyNumberFormat="1" applyFont="1" applyFill="1" applyBorder="1" applyAlignment="1" applyProtection="1">
      <alignment horizontal="left" vertical="center" wrapText="1" indent="1"/>
      <protection hidden="1"/>
    </xf>
    <xf numFmtId="14" fontId="6" fillId="4" borderId="59" xfId="1" applyNumberFormat="1" applyFont="1" applyFill="1" applyBorder="1" applyAlignment="1" applyProtection="1">
      <alignment horizontal="left" vertical="center" wrapText="1" indent="1"/>
      <protection hidden="1"/>
    </xf>
    <xf numFmtId="0" fontId="5" fillId="4" borderId="102" xfId="0" applyFont="1" applyFill="1" applyBorder="1" applyAlignment="1" applyProtection="1">
      <alignment horizontal="right" vertical="center" wrapText="1" indent="2"/>
      <protection hidden="1"/>
    </xf>
    <xf numFmtId="0" fontId="5" fillId="4" borderId="103" xfId="0" applyFont="1" applyFill="1" applyBorder="1" applyAlignment="1" applyProtection="1">
      <alignment horizontal="right" vertical="center" wrapText="1" indent="2"/>
      <protection hidden="1"/>
    </xf>
    <xf numFmtId="0" fontId="37" fillId="4" borderId="62" xfId="0" applyFont="1" applyFill="1" applyBorder="1" applyAlignment="1" applyProtection="1">
      <alignment horizontal="right" vertical="center" wrapText="1" indent="2"/>
      <protection hidden="1"/>
    </xf>
    <xf numFmtId="0" fontId="140" fillId="23" borderId="102" xfId="0" applyFont="1" applyFill="1" applyBorder="1" applyAlignment="1" applyProtection="1">
      <alignment horizontal="left" vertical="center" wrapText="1" indent="1"/>
      <protection locked="0"/>
    </xf>
    <xf numFmtId="0" fontId="140" fillId="23" borderId="103" xfId="0" applyFont="1" applyFill="1" applyBorder="1" applyAlignment="1" applyProtection="1">
      <alignment horizontal="left" vertical="center" wrapText="1" indent="1"/>
      <protection locked="0"/>
    </xf>
    <xf numFmtId="0" fontId="140" fillId="37" borderId="102" xfId="0" applyFont="1" applyFill="1" applyBorder="1" applyAlignment="1" applyProtection="1">
      <alignment horizontal="left" vertical="center" wrapText="1" indent="1"/>
      <protection locked="0"/>
    </xf>
    <xf numFmtId="0" fontId="140" fillId="37" borderId="103" xfId="0" applyFont="1" applyFill="1" applyBorder="1" applyAlignment="1" applyProtection="1">
      <alignment horizontal="left" vertical="center" wrapText="1" indent="1"/>
      <protection locked="0"/>
    </xf>
    <xf numFmtId="0" fontId="140" fillId="23" borderId="104" xfId="0" applyFont="1" applyFill="1" applyBorder="1" applyAlignment="1" applyProtection="1">
      <alignment horizontal="left" vertical="center" wrapText="1" indent="1"/>
      <protection locked="0"/>
    </xf>
    <xf numFmtId="0" fontId="140" fillId="23" borderId="45" xfId="0" applyFont="1" applyFill="1" applyBorder="1" applyAlignment="1" applyProtection="1">
      <alignment horizontal="left" vertical="center" wrapText="1" indent="1"/>
      <protection locked="0"/>
    </xf>
    <xf numFmtId="0" fontId="140" fillId="23" borderId="105" xfId="0" applyFont="1" applyFill="1" applyBorder="1" applyAlignment="1" applyProtection="1">
      <alignment horizontal="left" vertical="center" wrapText="1" indent="1"/>
      <protection locked="0"/>
    </xf>
    <xf numFmtId="0" fontId="38" fillId="4" borderId="7" xfId="0" applyFont="1" applyFill="1" applyBorder="1" applyAlignment="1" applyProtection="1">
      <alignment horizontal="left" vertical="center" wrapText="1" indent="5"/>
      <protection hidden="1"/>
    </xf>
    <xf numFmtId="0" fontId="38" fillId="4" borderId="0" xfId="0" applyFont="1" applyFill="1" applyAlignment="1" applyProtection="1">
      <alignment horizontal="left" vertical="center" wrapText="1" indent="5"/>
      <protection hidden="1"/>
    </xf>
    <xf numFmtId="0" fontId="38" fillId="4" borderId="46" xfId="0" applyFont="1" applyFill="1" applyBorder="1" applyAlignment="1" applyProtection="1">
      <alignment horizontal="left" vertical="center" wrapText="1" indent="5"/>
      <protection hidden="1"/>
    </xf>
    <xf numFmtId="0" fontId="141" fillId="23" borderId="106" xfId="0" applyFont="1" applyFill="1" applyBorder="1" applyAlignment="1" applyProtection="1">
      <alignment horizontal="left" vertical="center" wrapText="1" indent="1"/>
      <protection locked="0"/>
    </xf>
    <xf numFmtId="0" fontId="141" fillId="23" borderId="107" xfId="0" applyFont="1" applyFill="1" applyBorder="1" applyAlignment="1" applyProtection="1">
      <alignment horizontal="left" vertical="center" wrapText="1" indent="1"/>
      <protection locked="0"/>
    </xf>
    <xf numFmtId="0" fontId="37" fillId="4" borderId="62" xfId="0" applyFont="1" applyFill="1" applyBorder="1" applyAlignment="1" applyProtection="1">
      <alignment horizontal="left" vertical="center" wrapText="1" indent="1"/>
      <protection hidden="1"/>
    </xf>
    <xf numFmtId="0" fontId="140" fillId="23" borderId="106" xfId="0" applyFont="1" applyFill="1" applyBorder="1" applyAlignment="1" applyProtection="1">
      <alignment horizontal="left" vertical="center" wrapText="1" indent="1"/>
      <protection locked="0"/>
    </xf>
    <xf numFmtId="0" fontId="140" fillId="23" borderId="135" xfId="0" applyFont="1" applyFill="1" applyBorder="1" applyAlignment="1" applyProtection="1">
      <alignment horizontal="left" vertical="center" wrapText="1" indent="1"/>
      <protection locked="0"/>
    </xf>
    <xf numFmtId="0" fontId="140" fillId="23" borderId="107" xfId="0" applyFont="1" applyFill="1" applyBorder="1" applyAlignment="1" applyProtection="1">
      <alignment horizontal="left" vertical="center" wrapText="1" indent="1"/>
      <protection locked="0"/>
    </xf>
    <xf numFmtId="0" fontId="38" fillId="4" borderId="7" xfId="0" applyFont="1" applyFill="1" applyBorder="1" applyAlignment="1" applyProtection="1">
      <alignment horizontal="left" vertical="top" wrapText="1" indent="6"/>
      <protection hidden="1"/>
    </xf>
    <xf numFmtId="0" fontId="38" fillId="4" borderId="0" xfId="0" applyFont="1" applyFill="1" applyAlignment="1" applyProtection="1">
      <alignment horizontal="left" vertical="top" wrapText="1" indent="6"/>
      <protection hidden="1"/>
    </xf>
    <xf numFmtId="0" fontId="38" fillId="4" borderId="46" xfId="0" applyFont="1" applyFill="1" applyBorder="1" applyAlignment="1" applyProtection="1">
      <alignment horizontal="left" vertical="top" wrapText="1" indent="6"/>
      <protection hidden="1"/>
    </xf>
    <xf numFmtId="0" fontId="141" fillId="25" borderId="104" xfId="0" applyFont="1" applyFill="1" applyBorder="1" applyAlignment="1" applyProtection="1">
      <alignment horizontal="left" vertical="center" wrapText="1" indent="1"/>
      <protection locked="0"/>
    </xf>
    <xf numFmtId="0" fontId="141" fillId="25" borderId="105" xfId="0" applyFont="1" applyFill="1" applyBorder="1" applyAlignment="1" applyProtection="1">
      <alignment horizontal="left" vertical="center" wrapText="1" indent="1"/>
      <protection locked="0"/>
    </xf>
    <xf numFmtId="0" fontId="9" fillId="4" borderId="7" xfId="0" applyFont="1" applyFill="1" applyBorder="1" applyAlignment="1" applyProtection="1">
      <alignment horizontal="right" vertical="center" wrapText="1" indent="1"/>
      <protection hidden="1"/>
    </xf>
    <xf numFmtId="0" fontId="9" fillId="4" borderId="0" xfId="0" applyFont="1" applyFill="1" applyAlignment="1" applyProtection="1">
      <alignment horizontal="right" vertical="center" wrapText="1" indent="1"/>
      <protection hidden="1"/>
    </xf>
    <xf numFmtId="0" fontId="35" fillId="4" borderId="58" xfId="0" applyFont="1" applyFill="1" applyBorder="1" applyAlignment="1" applyProtection="1">
      <alignment horizontal="left" vertical="center" wrapText="1" indent="1"/>
      <protection hidden="1"/>
    </xf>
    <xf numFmtId="0" fontId="35" fillId="4" borderId="48" xfId="0" applyFont="1" applyFill="1" applyBorder="1" applyAlignment="1" applyProtection="1">
      <alignment horizontal="left" vertical="center" wrapText="1" indent="1"/>
      <protection hidden="1"/>
    </xf>
    <xf numFmtId="0" fontId="51" fillId="25" borderId="133" xfId="0" applyFont="1" applyFill="1" applyBorder="1" applyAlignment="1" applyProtection="1">
      <alignment horizontal="left" vertical="center" wrapText="1" indent="1"/>
      <protection locked="0"/>
    </xf>
    <xf numFmtId="0" fontId="51" fillId="25" borderId="134" xfId="0" applyFont="1" applyFill="1" applyBorder="1" applyAlignment="1" applyProtection="1">
      <alignment horizontal="left" vertical="center" wrapText="1" indent="1"/>
      <protection locked="0"/>
    </xf>
    <xf numFmtId="0" fontId="51" fillId="25" borderId="136" xfId="0" applyFont="1" applyFill="1" applyBorder="1" applyAlignment="1" applyProtection="1">
      <alignment horizontal="left" vertical="center" wrapText="1" indent="1"/>
      <protection locked="0"/>
    </xf>
    <xf numFmtId="0" fontId="37" fillId="4" borderId="0" xfId="0" applyFont="1" applyFill="1" applyAlignment="1" applyProtection="1">
      <alignment horizontal="left" vertical="center" wrapText="1" indent="1"/>
      <protection hidden="1"/>
    </xf>
    <xf numFmtId="0" fontId="37" fillId="4" borderId="0" xfId="0" applyFont="1" applyFill="1" applyAlignment="1" applyProtection="1">
      <alignment horizontal="left" vertical="center" indent="1"/>
      <protection hidden="1"/>
    </xf>
    <xf numFmtId="0" fontId="37" fillId="4" borderId="299" xfId="0" applyFont="1" applyFill="1" applyBorder="1" applyAlignment="1" applyProtection="1">
      <alignment horizontal="left" vertical="center" wrapText="1" indent="1"/>
      <protection hidden="1"/>
    </xf>
    <xf numFmtId="0" fontId="38" fillId="5" borderId="2" xfId="0" applyFont="1" applyFill="1" applyBorder="1" applyAlignment="1" applyProtection="1">
      <alignment horizontal="left" vertical="top" wrapText="1" indent="4"/>
      <protection hidden="1"/>
    </xf>
    <xf numFmtId="0" fontId="37" fillId="4" borderId="298" xfId="0" applyFont="1" applyFill="1" applyBorder="1" applyAlignment="1" applyProtection="1">
      <alignment horizontal="left" vertical="center" wrapText="1" indent="1"/>
      <protection hidden="1"/>
    </xf>
    <xf numFmtId="0" fontId="37" fillId="4" borderId="84" xfId="0" applyFont="1" applyFill="1" applyBorder="1" applyAlignment="1" applyProtection="1">
      <alignment horizontal="left" vertical="center" wrapText="1" indent="1"/>
      <protection hidden="1"/>
    </xf>
    <xf numFmtId="164" fontId="40" fillId="4" borderId="228" xfId="0" applyNumberFormat="1" applyFont="1" applyFill="1" applyBorder="1" applyAlignment="1">
      <alignment horizontal="center" vertical="center"/>
    </xf>
    <xf numFmtId="164" fontId="40" fillId="4" borderId="283" xfId="0" applyNumberFormat="1" applyFont="1" applyFill="1" applyBorder="1" applyAlignment="1">
      <alignment horizontal="center" vertical="center"/>
    </xf>
    <xf numFmtId="164" fontId="40" fillId="4" borderId="200" xfId="0" applyNumberFormat="1" applyFont="1" applyFill="1" applyBorder="1" applyAlignment="1">
      <alignment horizontal="center" vertical="center"/>
    </xf>
    <xf numFmtId="164" fontId="40" fillId="4" borderId="304" xfId="0" applyNumberFormat="1" applyFont="1" applyFill="1" applyBorder="1" applyAlignment="1">
      <alignment horizontal="center" vertical="center"/>
    </xf>
    <xf numFmtId="0" fontId="6" fillId="4" borderId="300" xfId="0" applyFont="1" applyFill="1" applyBorder="1" applyAlignment="1" applyProtection="1">
      <alignment horizontal="left" vertical="center" indent="1"/>
      <protection hidden="1"/>
    </xf>
    <xf numFmtId="0" fontId="6" fillId="4" borderId="92" xfId="0" applyFont="1" applyFill="1" applyBorder="1" applyAlignment="1" applyProtection="1">
      <alignment horizontal="left" vertical="center" indent="1"/>
      <protection hidden="1"/>
    </xf>
    <xf numFmtId="0" fontId="6" fillId="4" borderId="269" xfId="0" applyFont="1" applyFill="1" applyBorder="1" applyAlignment="1" applyProtection="1">
      <alignment horizontal="left" vertical="center" indent="1"/>
      <protection hidden="1"/>
    </xf>
    <xf numFmtId="0" fontId="6" fillId="4" borderId="118" xfId="0" applyFont="1" applyFill="1" applyBorder="1" applyAlignment="1" applyProtection="1">
      <alignment horizontal="left" vertical="center" indent="1"/>
      <protection hidden="1"/>
    </xf>
    <xf numFmtId="164" fontId="50" fillId="24" borderId="48" xfId="0" applyNumberFormat="1" applyFont="1" applyFill="1" applyBorder="1" applyAlignment="1" applyProtection="1">
      <alignment horizontal="center" vertical="center"/>
      <protection hidden="1"/>
    </xf>
    <xf numFmtId="164" fontId="50" fillId="24" borderId="59" xfId="0" applyNumberFormat="1" applyFont="1" applyFill="1" applyBorder="1" applyAlignment="1" applyProtection="1">
      <alignment horizontal="center" vertical="center"/>
      <protection hidden="1"/>
    </xf>
    <xf numFmtId="0" fontId="5" fillId="4" borderId="101" xfId="0" applyFont="1" applyFill="1" applyBorder="1" applyAlignment="1" applyProtection="1">
      <alignment horizontal="left" vertical="center" wrapText="1"/>
      <protection hidden="1"/>
    </xf>
    <xf numFmtId="0" fontId="5" fillId="4" borderId="107" xfId="0" applyFont="1" applyFill="1" applyBorder="1" applyAlignment="1" applyProtection="1">
      <alignment horizontal="left" vertical="center" wrapText="1"/>
      <protection hidden="1"/>
    </xf>
    <xf numFmtId="0" fontId="37" fillId="4" borderId="3" xfId="0" applyFont="1" applyFill="1" applyBorder="1" applyAlignment="1" applyProtection="1">
      <alignment horizontal="left" vertical="center" wrapText="1" indent="1"/>
      <protection hidden="1"/>
    </xf>
    <xf numFmtId="0" fontId="37" fillId="4" borderId="2" xfId="0" applyFont="1" applyFill="1" applyBorder="1" applyAlignment="1" applyProtection="1">
      <alignment horizontal="left" vertical="center" wrapText="1" indent="1"/>
      <protection hidden="1"/>
    </xf>
    <xf numFmtId="0" fontId="37" fillId="4" borderId="54" xfId="0" applyFont="1" applyFill="1" applyBorder="1" applyAlignment="1" applyProtection="1">
      <alignment horizontal="left" vertical="center" wrapText="1" indent="1"/>
      <protection hidden="1"/>
    </xf>
    <xf numFmtId="0" fontId="37" fillId="4" borderId="4" xfId="0" applyFont="1" applyFill="1" applyBorder="1" applyAlignment="1" applyProtection="1">
      <alignment horizontal="left" vertical="center" wrapText="1" indent="1"/>
      <protection hidden="1"/>
    </xf>
    <xf numFmtId="0" fontId="37" fillId="4" borderId="8" xfId="0" applyFont="1" applyFill="1" applyBorder="1" applyAlignment="1" applyProtection="1">
      <alignment horizontal="left" vertical="center" wrapText="1" indent="1"/>
      <protection hidden="1"/>
    </xf>
    <xf numFmtId="0" fontId="37" fillId="4" borderId="5" xfId="0" applyFont="1" applyFill="1" applyBorder="1" applyAlignment="1" applyProtection="1">
      <alignment horizontal="left" vertical="center" wrapText="1" indent="1"/>
      <protection hidden="1"/>
    </xf>
    <xf numFmtId="0" fontId="5" fillId="4" borderId="135" xfId="0" applyFont="1" applyFill="1" applyBorder="1" applyAlignment="1" applyProtection="1">
      <alignment horizontal="left" vertical="center" wrapText="1"/>
      <protection hidden="1"/>
    </xf>
    <xf numFmtId="0" fontId="37" fillId="4" borderId="7" xfId="0" applyFont="1" applyFill="1" applyBorder="1" applyAlignment="1" applyProtection="1">
      <alignment horizontal="right" indent="3"/>
      <protection hidden="1"/>
    </xf>
    <xf numFmtId="0" fontId="37" fillId="4" borderId="0" xfId="0" applyFont="1" applyFill="1" applyAlignment="1" applyProtection="1">
      <alignment horizontal="right" indent="3"/>
      <protection hidden="1"/>
    </xf>
    <xf numFmtId="0" fontId="35" fillId="4" borderId="7" xfId="0" applyFont="1" applyFill="1" applyBorder="1" applyAlignment="1" applyProtection="1">
      <alignment horizontal="right" vertical="center" indent="3"/>
      <protection hidden="1"/>
    </xf>
    <xf numFmtId="0" fontId="35" fillId="4" borderId="0" xfId="0" applyFont="1" applyFill="1" applyAlignment="1" applyProtection="1">
      <alignment horizontal="right" vertical="center" indent="3"/>
      <protection hidden="1"/>
    </xf>
    <xf numFmtId="0" fontId="141" fillId="23" borderId="219" xfId="0" applyFont="1" applyFill="1" applyBorder="1" applyAlignment="1" applyProtection="1">
      <alignment horizontal="left" vertical="center" wrapText="1" indent="1"/>
      <protection locked="0"/>
    </xf>
    <xf numFmtId="0" fontId="141" fillId="23" borderId="180" xfId="0" applyFont="1" applyFill="1" applyBorder="1" applyAlignment="1" applyProtection="1">
      <alignment horizontal="left" vertical="center" wrapText="1" indent="1"/>
      <protection locked="0"/>
    </xf>
    <xf numFmtId="0" fontId="141" fillId="23" borderId="280" xfId="0" applyFont="1" applyFill="1" applyBorder="1" applyAlignment="1" applyProtection="1">
      <alignment horizontal="left" vertical="center" wrapText="1" indent="1"/>
      <protection locked="0"/>
    </xf>
    <xf numFmtId="164" fontId="40" fillId="4" borderId="6" xfId="0" applyNumberFormat="1" applyFont="1" applyFill="1" applyBorder="1" applyAlignment="1">
      <alignment horizontal="center" vertical="center"/>
    </xf>
    <xf numFmtId="164" fontId="40" fillId="4" borderId="264" xfId="0" applyNumberFormat="1" applyFont="1" applyFill="1" applyBorder="1" applyAlignment="1">
      <alignment horizontal="center" vertical="center"/>
    </xf>
    <xf numFmtId="0" fontId="6" fillId="4" borderId="267" xfId="0" applyFont="1" applyFill="1" applyBorder="1" applyAlignment="1" applyProtection="1">
      <alignment horizontal="left" vertical="center" indent="1"/>
      <protection hidden="1"/>
    </xf>
    <xf numFmtId="0" fontId="6" fillId="4" borderId="127" xfId="0" applyFont="1" applyFill="1" applyBorder="1" applyAlignment="1" applyProtection="1">
      <alignment horizontal="left" vertical="center" indent="1"/>
      <protection hidden="1"/>
    </xf>
    <xf numFmtId="164" fontId="40" fillId="4" borderId="114" xfId="0" applyNumberFormat="1" applyFont="1" applyFill="1" applyBorder="1" applyAlignment="1">
      <alignment horizontal="center" vertical="center"/>
    </xf>
    <xf numFmtId="164" fontId="40" fillId="4" borderId="308" xfId="0" applyNumberFormat="1" applyFont="1" applyFill="1" applyBorder="1" applyAlignment="1">
      <alignment horizontal="center" vertical="center"/>
    </xf>
    <xf numFmtId="0" fontId="5" fillId="4" borderId="306" xfId="0" applyFont="1" applyFill="1" applyBorder="1" applyAlignment="1" applyProtection="1">
      <alignment horizontal="left" vertical="center" indent="1"/>
      <protection hidden="1"/>
    </xf>
    <xf numFmtId="0" fontId="5" fillId="4" borderId="59" xfId="0" applyFont="1" applyFill="1" applyBorder="1" applyAlignment="1" applyProtection="1">
      <alignment horizontal="left" vertical="center" indent="1"/>
      <protection hidden="1"/>
    </xf>
    <xf numFmtId="0" fontId="37" fillId="4" borderId="317" xfId="0" applyFont="1" applyFill="1" applyBorder="1" applyAlignment="1" applyProtection="1">
      <alignment horizontal="left" vertical="center" wrapText="1" indent="1"/>
      <protection hidden="1"/>
    </xf>
    <xf numFmtId="0" fontId="37" fillId="4" borderId="318" xfId="0" applyFont="1" applyFill="1" applyBorder="1" applyAlignment="1" applyProtection="1">
      <alignment horizontal="left" vertical="center" wrapText="1" indent="1"/>
      <protection hidden="1"/>
    </xf>
    <xf numFmtId="164" fontId="110" fillId="4" borderId="58" xfId="0" applyNumberFormat="1" applyFont="1" applyFill="1" applyBorder="1" applyAlignment="1">
      <alignment horizontal="center" vertical="center"/>
    </xf>
    <xf numFmtId="164" fontId="110" fillId="4" borderId="307" xfId="0" applyNumberFormat="1" applyFont="1" applyFill="1" applyBorder="1" applyAlignment="1">
      <alignment horizontal="center" vertical="center"/>
    </xf>
    <xf numFmtId="0" fontId="37" fillId="4" borderId="55" xfId="0" applyFont="1" applyFill="1" applyBorder="1" applyAlignment="1" applyProtection="1">
      <alignment horizontal="left" vertical="center" wrapText="1" indent="1"/>
      <protection hidden="1"/>
    </xf>
    <xf numFmtId="0" fontId="37" fillId="4" borderId="246" xfId="0" applyFont="1" applyFill="1" applyBorder="1" applyAlignment="1" applyProtection="1">
      <alignment horizontal="left" vertical="center" wrapText="1" indent="1"/>
      <protection hidden="1"/>
    </xf>
    <xf numFmtId="164" fontId="40" fillId="4" borderId="68" xfId="0" applyNumberFormat="1" applyFont="1" applyFill="1" applyBorder="1" applyAlignment="1">
      <alignment horizontal="center" vertical="center"/>
    </xf>
    <xf numFmtId="164" fontId="40" fillId="4" borderId="313" xfId="0" applyNumberFormat="1" applyFont="1" applyFill="1" applyBorder="1" applyAlignment="1">
      <alignment horizontal="center" vertical="center"/>
    </xf>
    <xf numFmtId="164" fontId="40" fillId="4" borderId="1" xfId="0" applyNumberFormat="1" applyFont="1" applyFill="1" applyBorder="1" applyAlignment="1">
      <alignment horizontal="center" vertical="center"/>
    </xf>
    <xf numFmtId="164" fontId="40" fillId="4" borderId="310" xfId="0" applyNumberFormat="1" applyFont="1" applyFill="1" applyBorder="1" applyAlignment="1">
      <alignment horizontal="center" vertical="center"/>
    </xf>
    <xf numFmtId="164" fontId="110" fillId="4" borderId="124" xfId="0" applyNumberFormat="1" applyFont="1" applyFill="1" applyBorder="1" applyAlignment="1">
      <alignment horizontal="center" vertical="center"/>
    </xf>
    <xf numFmtId="164" fontId="110" fillId="4" borderId="321" xfId="0" applyNumberFormat="1" applyFont="1" applyFill="1" applyBorder="1" applyAlignment="1">
      <alignment horizontal="center" vertical="center"/>
    </xf>
    <xf numFmtId="0" fontId="43" fillId="4" borderId="64" xfId="0" applyFont="1" applyFill="1" applyBorder="1" applyAlignment="1" applyProtection="1">
      <alignment horizontal="left" vertical="center" indent="3"/>
      <protection hidden="1"/>
    </xf>
    <xf numFmtId="0" fontId="43" fillId="4" borderId="120" xfId="0" applyFont="1" applyFill="1" applyBorder="1" applyAlignment="1" applyProtection="1">
      <alignment horizontal="left" vertical="center" indent="3"/>
      <protection hidden="1"/>
    </xf>
    <xf numFmtId="0" fontId="43" fillId="4" borderId="89" xfId="0" applyFont="1" applyFill="1" applyBorder="1" applyAlignment="1" applyProtection="1">
      <alignment horizontal="left" vertical="center" indent="3"/>
      <protection hidden="1"/>
    </xf>
    <xf numFmtId="0" fontId="5" fillId="4" borderId="300" xfId="0" applyFont="1" applyFill="1" applyBorder="1" applyAlignment="1" applyProtection="1">
      <alignment horizontal="left" vertical="center" indent="1"/>
      <protection hidden="1"/>
    </xf>
    <xf numFmtId="0" fontId="5" fillId="4" borderId="92" xfId="0" applyFont="1" applyFill="1" applyBorder="1" applyAlignment="1" applyProtection="1">
      <alignment horizontal="left" vertical="center" indent="1"/>
      <protection hidden="1"/>
    </xf>
    <xf numFmtId="0" fontId="37" fillId="0" borderId="3" xfId="0" applyFont="1" applyBorder="1" applyAlignment="1" applyProtection="1">
      <alignment horizontal="center" vertical="center"/>
      <protection hidden="1"/>
    </xf>
    <xf numFmtId="0" fontId="37" fillId="0" borderId="54" xfId="0" applyFont="1" applyBorder="1" applyAlignment="1" applyProtection="1">
      <alignment horizontal="center" vertical="center"/>
      <protection hidden="1"/>
    </xf>
    <xf numFmtId="0" fontId="37" fillId="0" borderId="2" xfId="0" applyFont="1" applyBorder="1" applyAlignment="1" applyProtection="1">
      <alignment horizontal="center" vertical="center"/>
      <protection hidden="1"/>
    </xf>
    <xf numFmtId="0" fontId="43" fillId="4" borderId="69" xfId="0" applyFont="1" applyFill="1" applyBorder="1" applyAlignment="1" applyProtection="1">
      <alignment horizontal="left" vertical="center" indent="3"/>
      <protection hidden="1"/>
    </xf>
    <xf numFmtId="0" fontId="43" fillId="4" borderId="119" xfId="0" applyFont="1" applyFill="1" applyBorder="1" applyAlignment="1" applyProtection="1">
      <alignment horizontal="left" vertical="center" indent="3"/>
      <protection hidden="1"/>
    </xf>
    <xf numFmtId="0" fontId="43" fillId="4" borderId="88" xfId="0" applyFont="1" applyFill="1" applyBorder="1" applyAlignment="1" applyProtection="1">
      <alignment horizontal="left" vertical="center" indent="3"/>
      <protection hidden="1"/>
    </xf>
    <xf numFmtId="164" fontId="110" fillId="4" borderId="4" xfId="0" applyNumberFormat="1" applyFont="1" applyFill="1" applyBorder="1" applyAlignment="1">
      <alignment horizontal="center" vertical="center"/>
    </xf>
    <xf numFmtId="164" fontId="110" fillId="4" borderId="244" xfId="0" applyNumberFormat="1" applyFont="1" applyFill="1" applyBorder="1" applyAlignment="1">
      <alignment horizontal="center" vertical="center"/>
    </xf>
    <xf numFmtId="0" fontId="100" fillId="23" borderId="161" xfId="0" applyFont="1" applyFill="1" applyBorder="1" applyAlignment="1" applyProtection="1">
      <alignment horizontal="left" vertical="center" wrapText="1"/>
      <protection locked="0"/>
    </xf>
    <xf numFmtId="0" fontId="100" fillId="23" borderId="154" xfId="0" applyFont="1" applyFill="1" applyBorder="1" applyAlignment="1" applyProtection="1">
      <alignment horizontal="left" vertical="center" wrapText="1"/>
      <protection locked="0"/>
    </xf>
    <xf numFmtId="0" fontId="100" fillId="23" borderId="127" xfId="0" applyFont="1" applyFill="1" applyBorder="1" applyAlignment="1" applyProtection="1">
      <alignment horizontal="left" vertical="center" wrapText="1"/>
      <protection locked="0"/>
    </xf>
    <xf numFmtId="0" fontId="6" fillId="4" borderId="241" xfId="0" applyFont="1" applyFill="1" applyBorder="1" applyAlignment="1" applyProtection="1">
      <alignment horizontal="left" vertical="center" indent="1"/>
      <protection hidden="1"/>
    </xf>
    <xf numFmtId="0" fontId="6" fillId="4" borderId="54" xfId="0" applyFont="1" applyFill="1" applyBorder="1" applyAlignment="1" applyProtection="1">
      <alignment horizontal="left" vertical="center" indent="1"/>
      <protection hidden="1"/>
    </xf>
    <xf numFmtId="0" fontId="6" fillId="4" borderId="309" xfId="0" applyFont="1" applyFill="1" applyBorder="1" applyAlignment="1" applyProtection="1">
      <alignment horizontal="left" vertical="center" indent="1"/>
      <protection hidden="1"/>
    </xf>
    <xf numFmtId="0" fontId="6" fillId="4" borderId="183" xfId="0" applyFont="1" applyFill="1" applyBorder="1" applyAlignment="1" applyProtection="1">
      <alignment horizontal="left" vertical="center" indent="1"/>
      <protection hidden="1"/>
    </xf>
    <xf numFmtId="164" fontId="110" fillId="4" borderId="85" xfId="0" applyNumberFormat="1" applyFont="1" applyFill="1" applyBorder="1" applyAlignment="1">
      <alignment horizontal="center" vertical="center"/>
    </xf>
    <xf numFmtId="164" fontId="110" fillId="4" borderId="320" xfId="0" applyNumberFormat="1" applyFont="1" applyFill="1" applyBorder="1" applyAlignment="1">
      <alignment horizontal="center" vertical="center"/>
    </xf>
    <xf numFmtId="0" fontId="5" fillId="4" borderId="271" xfId="0" applyFont="1" applyFill="1" applyBorder="1" applyAlignment="1" applyProtection="1">
      <alignment horizontal="left" vertical="center" indent="1"/>
      <protection hidden="1"/>
    </xf>
    <xf numFmtId="0" fontId="5" fillId="4" borderId="190" xfId="0" applyFont="1" applyFill="1" applyBorder="1" applyAlignment="1" applyProtection="1">
      <alignment horizontal="left" vertical="center" indent="1"/>
      <protection hidden="1"/>
    </xf>
    <xf numFmtId="164" fontId="148" fillId="33" borderId="63" xfId="0" applyNumberFormat="1" applyFont="1" applyFill="1" applyBorder="1" applyAlignment="1">
      <alignment horizontal="center" vertical="center"/>
    </xf>
    <xf numFmtId="164" fontId="148" fillId="33" borderId="281" xfId="0" applyNumberFormat="1" applyFont="1" applyFill="1" applyBorder="1" applyAlignment="1">
      <alignment horizontal="center" vertical="center"/>
    </xf>
    <xf numFmtId="0" fontId="5" fillId="4" borderId="245" xfId="0" applyFont="1" applyFill="1" applyBorder="1" applyAlignment="1" applyProtection="1">
      <alignment horizontal="left" vertical="center" indent="1"/>
      <protection hidden="1"/>
    </xf>
    <xf numFmtId="0" fontId="5" fillId="4" borderId="5" xfId="0" applyFont="1" applyFill="1" applyBorder="1" applyAlignment="1" applyProtection="1">
      <alignment horizontal="left" vertical="center" indent="1"/>
      <protection hidden="1"/>
    </xf>
    <xf numFmtId="164" fontId="40" fillId="4" borderId="130" xfId="0" applyNumberFormat="1" applyFont="1" applyFill="1" applyBorder="1" applyAlignment="1">
      <alignment horizontal="center" vertical="center"/>
    </xf>
    <xf numFmtId="164" fontId="40" fillId="4" borderId="322" xfId="0" applyNumberFormat="1" applyFont="1" applyFill="1" applyBorder="1" applyAlignment="1">
      <alignment horizontal="center" vertical="center"/>
    </xf>
    <xf numFmtId="164" fontId="40" fillId="4" borderId="73" xfId="0" applyNumberFormat="1" applyFont="1" applyFill="1" applyBorder="1" applyAlignment="1">
      <alignment horizontal="center" vertical="center"/>
    </xf>
    <xf numFmtId="164" fontId="40" fillId="4" borderId="312" xfId="0" applyNumberFormat="1" applyFont="1" applyFill="1" applyBorder="1" applyAlignment="1">
      <alignment horizontal="center" vertical="center"/>
    </xf>
    <xf numFmtId="164" fontId="110" fillId="4" borderId="90" xfId="0" applyNumberFormat="1" applyFont="1" applyFill="1" applyBorder="1" applyAlignment="1">
      <alignment horizontal="center" vertical="center"/>
    </xf>
    <xf numFmtId="164" fontId="110" fillId="4" borderId="311" xfId="0" applyNumberFormat="1" applyFont="1" applyFill="1" applyBorder="1" applyAlignment="1">
      <alignment horizontal="center" vertical="center"/>
    </xf>
    <xf numFmtId="164" fontId="49" fillId="24" borderId="154" xfId="0" applyNumberFormat="1" applyFont="1" applyFill="1" applyBorder="1" applyAlignment="1" applyProtection="1">
      <alignment horizontal="center" vertical="center"/>
      <protection hidden="1"/>
    </xf>
    <xf numFmtId="164" fontId="49" fillId="24" borderId="127" xfId="0" applyNumberFormat="1" applyFont="1" applyFill="1" applyBorder="1" applyAlignment="1" applyProtection="1">
      <alignment horizontal="center" vertical="center"/>
      <protection hidden="1"/>
    </xf>
    <xf numFmtId="0" fontId="100" fillId="23" borderId="157" xfId="0" applyFont="1" applyFill="1" applyBorder="1" applyAlignment="1" applyProtection="1">
      <alignment horizontal="left" vertical="center" wrapText="1"/>
      <protection locked="0"/>
    </xf>
    <xf numFmtId="0" fontId="100" fillId="23" borderId="160" xfId="0" applyFont="1" applyFill="1" applyBorder="1" applyAlignment="1" applyProtection="1">
      <alignment horizontal="left" vertical="center" wrapText="1"/>
      <protection locked="0"/>
    </xf>
    <xf numFmtId="0" fontId="100" fillId="23" borderId="156" xfId="0" applyFont="1" applyFill="1" applyBorder="1" applyAlignment="1" applyProtection="1">
      <alignment horizontal="left" vertical="center" wrapText="1"/>
      <protection locked="0"/>
    </xf>
    <xf numFmtId="0" fontId="35" fillId="4" borderId="58" xfId="0" applyFont="1" applyFill="1" applyBorder="1" applyAlignment="1" applyProtection="1">
      <alignment horizontal="center" vertical="center" wrapText="1"/>
      <protection hidden="1"/>
    </xf>
    <xf numFmtId="0" fontId="35" fillId="4" borderId="48" xfId="0" applyFont="1" applyFill="1" applyBorder="1" applyAlignment="1" applyProtection="1">
      <alignment horizontal="center" vertical="center" wrapText="1"/>
      <protection hidden="1"/>
    </xf>
    <xf numFmtId="0" fontId="3" fillId="4" borderId="110" xfId="0" applyFont="1" applyFill="1" applyBorder="1" applyAlignment="1" applyProtection="1">
      <alignment horizontal="left" vertical="center" indent="3"/>
      <protection hidden="1"/>
    </xf>
    <xf numFmtId="0" fontId="3" fillId="4" borderId="154" xfId="0" applyFont="1" applyFill="1" applyBorder="1" applyAlignment="1" applyProtection="1">
      <alignment horizontal="left" vertical="center" indent="3"/>
      <protection hidden="1"/>
    </xf>
    <xf numFmtId="0" fontId="3" fillId="4" borderId="161" xfId="0" applyFont="1" applyFill="1" applyBorder="1" applyAlignment="1" applyProtection="1">
      <alignment horizontal="left" vertical="center" indent="3"/>
      <protection hidden="1"/>
    </xf>
    <xf numFmtId="0" fontId="3" fillId="4" borderId="155" xfId="0" applyFont="1" applyFill="1" applyBorder="1" applyAlignment="1" applyProtection="1">
      <alignment horizontal="left" vertical="center" indent="3"/>
      <protection hidden="1"/>
    </xf>
    <xf numFmtId="0" fontId="3" fillId="4" borderId="156" xfId="0" applyFont="1" applyFill="1" applyBorder="1" applyAlignment="1" applyProtection="1">
      <alignment horizontal="left" vertical="center" indent="3"/>
      <protection hidden="1"/>
    </xf>
    <xf numFmtId="0" fontId="3" fillId="4" borderId="157" xfId="0" applyFont="1" applyFill="1" applyBorder="1" applyAlignment="1" applyProtection="1">
      <alignment horizontal="left" vertical="center" indent="3"/>
      <protection hidden="1"/>
    </xf>
    <xf numFmtId="0" fontId="124" fillId="5" borderId="0" xfId="3" applyFont="1" applyFill="1" applyBorder="1" applyAlignment="1" applyProtection="1">
      <alignment horizontal="left"/>
      <protection locked="0" hidden="1"/>
    </xf>
    <xf numFmtId="0" fontId="141" fillId="25" borderId="58" xfId="0" applyFont="1" applyFill="1" applyBorder="1" applyAlignment="1" applyProtection="1">
      <alignment horizontal="left" vertical="center" wrapText="1" indent="1"/>
      <protection locked="0"/>
    </xf>
    <xf numFmtId="0" fontId="141" fillId="25" borderId="48" xfId="0" applyFont="1" applyFill="1" applyBorder="1" applyAlignment="1" applyProtection="1">
      <alignment horizontal="left" vertical="center" wrapText="1" indent="1"/>
      <protection locked="0"/>
    </xf>
    <xf numFmtId="0" fontId="141" fillId="25" borderId="59" xfId="0" applyFont="1" applyFill="1" applyBorder="1" applyAlignment="1" applyProtection="1">
      <alignment horizontal="left" vertical="center" wrapText="1" indent="1"/>
      <protection locked="0"/>
    </xf>
    <xf numFmtId="0" fontId="141" fillId="23" borderId="58" xfId="0" applyFont="1" applyFill="1" applyBorder="1" applyAlignment="1" applyProtection="1">
      <alignment horizontal="left" vertical="center" indent="1"/>
      <protection locked="0"/>
    </xf>
    <xf numFmtId="0" fontId="141" fillId="23" borderId="48" xfId="0" applyFont="1" applyFill="1" applyBorder="1" applyAlignment="1" applyProtection="1">
      <alignment horizontal="left" vertical="center" indent="1"/>
      <protection locked="0"/>
    </xf>
    <xf numFmtId="0" fontId="141" fillId="23" borderId="59" xfId="0" applyFont="1" applyFill="1" applyBorder="1" applyAlignment="1" applyProtection="1">
      <alignment horizontal="left" vertical="center" indent="1"/>
      <protection locked="0"/>
    </xf>
    <xf numFmtId="0" fontId="38" fillId="4" borderId="7" xfId="0" applyFont="1" applyFill="1" applyBorder="1" applyAlignment="1" applyProtection="1">
      <alignment horizontal="left" vertical="center" wrapText="1" indent="4"/>
      <protection hidden="1"/>
    </xf>
    <xf numFmtId="0" fontId="38" fillId="4" borderId="0" xfId="0" applyFont="1" applyFill="1" applyAlignment="1" applyProtection="1">
      <alignment horizontal="left" vertical="center" wrapText="1" indent="4"/>
      <protection hidden="1"/>
    </xf>
    <xf numFmtId="0" fontId="38" fillId="4" borderId="46" xfId="0" applyFont="1" applyFill="1" applyBorder="1" applyAlignment="1" applyProtection="1">
      <alignment horizontal="left" vertical="center" wrapText="1" indent="4"/>
      <protection hidden="1"/>
    </xf>
    <xf numFmtId="0" fontId="5" fillId="5" borderId="0" xfId="0" applyFont="1" applyFill="1" applyAlignment="1" applyProtection="1">
      <alignment horizontal="center" vertical="top"/>
      <protection hidden="1"/>
    </xf>
    <xf numFmtId="3" fontId="141" fillId="23" borderId="106" xfId="0" applyNumberFormat="1" applyFont="1" applyFill="1" applyBorder="1" applyAlignment="1" applyProtection="1">
      <alignment horizontal="left" vertical="center" wrapText="1" indent="1"/>
      <protection locked="0"/>
    </xf>
    <xf numFmtId="3" fontId="141" fillId="23" borderId="135" xfId="0" applyNumberFormat="1" applyFont="1" applyFill="1" applyBorder="1" applyAlignment="1" applyProtection="1">
      <alignment horizontal="left" vertical="center" wrapText="1" indent="1"/>
      <protection locked="0"/>
    </xf>
    <xf numFmtId="3" fontId="141" fillId="23" borderId="107" xfId="0" applyNumberFormat="1" applyFont="1" applyFill="1" applyBorder="1" applyAlignment="1" applyProtection="1">
      <alignment horizontal="left" vertical="center" wrapText="1" indent="1"/>
      <protection locked="0"/>
    </xf>
    <xf numFmtId="3" fontId="141" fillId="23" borderId="45" xfId="0" applyNumberFormat="1" applyFont="1" applyFill="1" applyBorder="1" applyAlignment="1" applyProtection="1">
      <alignment horizontal="left" vertical="center" wrapText="1" indent="1"/>
      <protection locked="0"/>
    </xf>
    <xf numFmtId="0" fontId="9" fillId="5" borderId="0" xfId="0" applyFont="1" applyFill="1" applyAlignment="1" applyProtection="1">
      <alignment horizontal="left" vertical="center" wrapText="1" indent="9"/>
      <protection hidden="1"/>
    </xf>
    <xf numFmtId="0" fontId="9" fillId="5" borderId="0" xfId="0" applyFont="1" applyFill="1" applyAlignment="1" applyProtection="1">
      <alignment horizontal="left" vertical="top" wrapText="1" indent="12"/>
      <protection hidden="1"/>
    </xf>
    <xf numFmtId="0" fontId="95" fillId="4" borderId="0" xfId="0" applyFont="1" applyFill="1" applyAlignment="1" applyProtection="1">
      <alignment horizontal="left" vertical="top" wrapText="1"/>
      <protection hidden="1"/>
    </xf>
    <xf numFmtId="0" fontId="38" fillId="5" borderId="0" xfId="0" applyFont="1" applyFill="1" applyAlignment="1" applyProtection="1">
      <alignment horizontal="left" vertical="center" indent="12"/>
      <protection hidden="1"/>
    </xf>
    <xf numFmtId="3" fontId="51" fillId="4" borderId="3" xfId="0" applyNumberFormat="1" applyFont="1" applyFill="1" applyBorder="1" applyAlignment="1" applyProtection="1">
      <alignment horizontal="left" vertical="center" indent="1"/>
      <protection hidden="1"/>
    </xf>
    <xf numFmtId="3" fontId="51" fillId="4" borderId="54" xfId="0" applyNumberFormat="1" applyFont="1" applyFill="1" applyBorder="1" applyAlignment="1" applyProtection="1">
      <alignment horizontal="left" vertical="center" indent="1"/>
      <protection hidden="1"/>
    </xf>
    <xf numFmtId="3" fontId="51" fillId="4" borderId="7" xfId="0" applyNumberFormat="1" applyFont="1" applyFill="1" applyBorder="1" applyAlignment="1" applyProtection="1">
      <alignment horizontal="left" vertical="center" indent="1"/>
      <protection hidden="1"/>
    </xf>
    <xf numFmtId="3" fontId="51" fillId="4" borderId="46" xfId="0" applyNumberFormat="1" applyFont="1" applyFill="1" applyBorder="1" applyAlignment="1" applyProtection="1">
      <alignment horizontal="left" vertical="center" indent="1"/>
      <protection hidden="1"/>
    </xf>
    <xf numFmtId="3" fontId="51" fillId="4" borderId="4" xfId="0" applyNumberFormat="1" applyFont="1" applyFill="1" applyBorder="1" applyAlignment="1" applyProtection="1">
      <alignment horizontal="left" vertical="center" indent="1"/>
      <protection hidden="1"/>
    </xf>
    <xf numFmtId="3" fontId="51" fillId="4" borderId="5" xfId="0" applyNumberFormat="1" applyFont="1" applyFill="1" applyBorder="1" applyAlignment="1" applyProtection="1">
      <alignment horizontal="left" vertical="center" indent="1"/>
      <protection hidden="1"/>
    </xf>
    <xf numFmtId="3" fontId="141" fillId="23" borderId="106" xfId="0" applyNumberFormat="1" applyFont="1" applyFill="1" applyBorder="1" applyAlignment="1" applyProtection="1">
      <alignment horizontal="left" vertical="center" indent="1"/>
      <protection locked="0"/>
    </xf>
    <xf numFmtId="3" fontId="141" fillId="23" borderId="107" xfId="0" applyNumberFormat="1" applyFont="1" applyFill="1" applyBorder="1" applyAlignment="1" applyProtection="1">
      <alignment horizontal="left" vertical="center" indent="1"/>
      <protection locked="0"/>
    </xf>
    <xf numFmtId="0" fontId="142" fillId="32" borderId="177" xfId="0" applyFont="1" applyFill="1" applyBorder="1" applyAlignment="1" applyProtection="1">
      <alignment horizontal="left" vertical="center" wrapText="1" indent="1"/>
      <protection hidden="1"/>
    </xf>
    <xf numFmtId="0" fontId="142" fillId="32" borderId="178" xfId="0" applyFont="1" applyFill="1" applyBorder="1" applyAlignment="1" applyProtection="1">
      <alignment horizontal="left" vertical="center" wrapText="1" indent="1"/>
      <protection hidden="1"/>
    </xf>
    <xf numFmtId="0" fontId="141" fillId="23" borderId="177" xfId="0" applyFont="1" applyFill="1" applyBorder="1" applyAlignment="1" applyProtection="1">
      <alignment horizontal="left" vertical="top" wrapText="1" indent="1"/>
      <protection locked="0"/>
    </xf>
    <xf numFmtId="0" fontId="141" fillId="23" borderId="179" xfId="0" applyFont="1" applyFill="1" applyBorder="1" applyAlignment="1" applyProtection="1">
      <alignment horizontal="left" vertical="top" wrapText="1" indent="1"/>
      <protection locked="0"/>
    </xf>
    <xf numFmtId="0" fontId="141" fillId="23" borderId="178" xfId="0" applyFont="1" applyFill="1" applyBorder="1" applyAlignment="1" applyProtection="1">
      <alignment horizontal="left" vertical="top" wrapText="1" indent="1"/>
      <protection locked="0"/>
    </xf>
    <xf numFmtId="0" fontId="5" fillId="0" borderId="0" xfId="0" applyFont="1" applyAlignment="1" applyProtection="1">
      <alignment horizontal="right" wrapText="1" indent="1"/>
      <protection hidden="1"/>
    </xf>
    <xf numFmtId="0" fontId="5" fillId="31" borderId="58" xfId="0" applyFont="1" applyFill="1" applyBorder="1" applyAlignment="1" applyProtection="1">
      <alignment horizontal="left" vertical="center" indent="1"/>
      <protection locked="0"/>
    </xf>
    <xf numFmtId="0" fontId="5" fillId="31" borderId="48" xfId="0" applyFont="1" applyFill="1" applyBorder="1" applyAlignment="1" applyProtection="1">
      <alignment horizontal="left" vertical="center" indent="1"/>
      <protection locked="0"/>
    </xf>
    <xf numFmtId="0" fontId="5" fillId="31" borderId="59" xfId="0" applyFont="1" applyFill="1" applyBorder="1" applyAlignment="1" applyProtection="1">
      <alignment horizontal="left" vertical="center" indent="1"/>
      <protection locked="0"/>
    </xf>
    <xf numFmtId="0" fontId="64" fillId="4" borderId="2" xfId="0" applyFont="1" applyFill="1" applyBorder="1" applyAlignment="1" applyProtection="1">
      <alignment horizontal="left" vertical="center" wrapText="1" indent="2"/>
      <protection hidden="1"/>
    </xf>
    <xf numFmtId="0" fontId="159" fillId="4" borderId="7" xfId="0" applyFont="1" applyFill="1" applyBorder="1" applyAlignment="1" applyProtection="1">
      <alignment horizontal="right" vertical="top" wrapText="1" indent="1"/>
      <protection hidden="1"/>
    </xf>
    <xf numFmtId="9" fontId="141" fillId="23" borderId="104" xfId="0" applyNumberFormat="1" applyFont="1" applyFill="1" applyBorder="1" applyAlignment="1" applyProtection="1">
      <alignment horizontal="left" vertical="center" wrapText="1" indent="1"/>
      <protection locked="0"/>
    </xf>
    <xf numFmtId="9" fontId="141" fillId="23" borderId="105" xfId="0" applyNumberFormat="1" applyFont="1" applyFill="1" applyBorder="1" applyAlignment="1" applyProtection="1">
      <alignment horizontal="left" vertical="center" wrapText="1" indent="1"/>
      <protection locked="0"/>
    </xf>
    <xf numFmtId="3" fontId="141" fillId="23" borderId="106" xfId="0" applyNumberFormat="1" applyFont="1" applyFill="1" applyBorder="1" applyAlignment="1" applyProtection="1">
      <alignment horizontal="left" vertical="center" indent="2"/>
      <protection locked="0"/>
    </xf>
    <xf numFmtId="3" fontId="141" fillId="23" borderId="107" xfId="0" applyNumberFormat="1" applyFont="1" applyFill="1" applyBorder="1" applyAlignment="1" applyProtection="1">
      <alignment horizontal="left" vertical="center" indent="2"/>
      <protection locked="0"/>
    </xf>
    <xf numFmtId="9" fontId="141" fillId="23" borderId="124" xfId="0" applyNumberFormat="1" applyFont="1" applyFill="1" applyBorder="1" applyAlignment="1" applyProtection="1">
      <alignment horizontal="left" vertical="center" wrapText="1" indent="1"/>
      <protection locked="0"/>
    </xf>
    <xf numFmtId="9" fontId="141" fillId="23" borderId="126" xfId="0" applyNumberFormat="1" applyFont="1" applyFill="1" applyBorder="1" applyAlignment="1" applyProtection="1">
      <alignment horizontal="left" vertical="center" wrapText="1" indent="1"/>
      <protection locked="0"/>
    </xf>
    <xf numFmtId="9" fontId="141" fillId="23" borderId="106" xfId="0" applyNumberFormat="1" applyFont="1" applyFill="1" applyBorder="1" applyAlignment="1" applyProtection="1">
      <alignment horizontal="left" vertical="center" wrapText="1" indent="1"/>
      <protection locked="0"/>
    </xf>
    <xf numFmtId="9" fontId="141" fillId="23" borderId="107" xfId="0" applyNumberFormat="1" applyFont="1" applyFill="1" applyBorder="1" applyAlignment="1" applyProtection="1">
      <alignment horizontal="left" vertical="center" wrapText="1" indent="1"/>
      <protection locked="0"/>
    </xf>
    <xf numFmtId="3" fontId="141" fillId="23" borderId="104" xfId="0" applyNumberFormat="1" applyFont="1" applyFill="1" applyBorder="1" applyAlignment="1" applyProtection="1">
      <alignment horizontal="left" vertical="center" indent="2"/>
      <protection locked="0"/>
    </xf>
    <xf numFmtId="3" fontId="141" fillId="23" borderId="105" xfId="0" applyNumberFormat="1" applyFont="1" applyFill="1" applyBorder="1" applyAlignment="1" applyProtection="1">
      <alignment horizontal="left" vertical="center" indent="2"/>
      <protection locked="0"/>
    </xf>
    <xf numFmtId="3" fontId="141" fillId="23" borderId="102" xfId="0" applyNumberFormat="1" applyFont="1" applyFill="1" applyBorder="1" applyAlignment="1" applyProtection="1">
      <alignment horizontal="left" vertical="center" indent="2"/>
      <protection locked="0"/>
    </xf>
    <xf numFmtId="3" fontId="141" fillId="23" borderId="103" xfId="0" applyNumberFormat="1" applyFont="1" applyFill="1" applyBorder="1" applyAlignment="1" applyProtection="1">
      <alignment horizontal="left" vertical="center" indent="2"/>
      <protection locked="0"/>
    </xf>
    <xf numFmtId="3" fontId="141" fillId="23" borderId="124" xfId="0" applyNumberFormat="1" applyFont="1" applyFill="1" applyBorder="1" applyAlignment="1" applyProtection="1">
      <alignment horizontal="left" vertical="center" indent="2"/>
      <protection locked="0"/>
    </xf>
    <xf numFmtId="3" fontId="141" fillId="23" borderId="126" xfId="0" applyNumberFormat="1" applyFont="1" applyFill="1" applyBorder="1" applyAlignment="1" applyProtection="1">
      <alignment horizontal="left" vertical="center" indent="2"/>
      <protection locked="0"/>
    </xf>
    <xf numFmtId="0" fontId="5" fillId="4" borderId="8" xfId="0" applyFont="1" applyFill="1" applyBorder="1" applyAlignment="1" applyProtection="1">
      <alignment horizontal="left" vertical="top" wrapText="1"/>
      <protection hidden="1"/>
    </xf>
    <xf numFmtId="3" fontId="141" fillId="23" borderId="137" xfId="0" applyNumberFormat="1" applyFont="1" applyFill="1" applyBorder="1" applyAlignment="1" applyProtection="1">
      <alignment horizontal="left" vertical="center" wrapText="1" indent="1"/>
      <protection locked="0"/>
    </xf>
    <xf numFmtId="0" fontId="35" fillId="4" borderId="7" xfId="0" applyFont="1" applyFill="1" applyBorder="1" applyAlignment="1" applyProtection="1">
      <alignment horizontal="right" vertical="top" wrapText="1"/>
      <protection hidden="1"/>
    </xf>
    <xf numFmtId="0" fontId="38" fillId="4" borderId="7" xfId="0" applyFont="1" applyFill="1" applyBorder="1" applyAlignment="1" applyProtection="1">
      <alignment horizontal="left" vertical="top" wrapText="1" indent="4"/>
      <protection hidden="1"/>
    </xf>
    <xf numFmtId="0" fontId="38" fillId="4" borderId="0" xfId="0" applyFont="1" applyFill="1" applyAlignment="1" applyProtection="1">
      <alignment horizontal="left" vertical="top" wrapText="1" indent="4"/>
      <protection hidden="1"/>
    </xf>
    <xf numFmtId="0" fontId="38" fillId="4" borderId="46" xfId="0" applyFont="1" applyFill="1" applyBorder="1" applyAlignment="1" applyProtection="1">
      <alignment horizontal="left" vertical="top" wrapText="1" indent="4"/>
      <protection hidden="1"/>
    </xf>
    <xf numFmtId="0" fontId="37" fillId="4" borderId="80" xfId="0" applyFont="1" applyFill="1" applyBorder="1" applyAlignment="1" applyProtection="1">
      <alignment horizontal="left" vertical="center" wrapText="1" indent="1"/>
      <protection hidden="1"/>
    </xf>
    <xf numFmtId="0" fontId="37" fillId="4" borderId="132" xfId="0" applyFont="1" applyFill="1" applyBorder="1" applyAlignment="1" applyProtection="1">
      <alignment horizontal="left" vertical="center" wrapText="1" indent="1"/>
      <protection hidden="1"/>
    </xf>
    <xf numFmtId="0" fontId="37" fillId="4" borderId="125" xfId="0" applyFont="1" applyFill="1" applyBorder="1" applyAlignment="1" applyProtection="1">
      <alignment horizontal="left" vertical="center" wrapText="1" indent="1"/>
      <protection hidden="1"/>
    </xf>
    <xf numFmtId="0" fontId="141" fillId="25" borderId="133" xfId="0" applyFont="1" applyFill="1" applyBorder="1" applyAlignment="1" applyProtection="1">
      <alignment horizontal="left" vertical="center" wrapText="1" indent="1"/>
      <protection locked="0"/>
    </xf>
    <xf numFmtId="0" fontId="141" fillId="25" borderId="136" xfId="0" applyFont="1" applyFill="1" applyBorder="1" applyAlignment="1" applyProtection="1">
      <alignment horizontal="left" vertical="center" wrapText="1" indent="1"/>
      <protection locked="0"/>
    </xf>
    <xf numFmtId="0" fontId="141" fillId="23" borderId="102" xfId="0" applyFont="1" applyFill="1" applyBorder="1" applyAlignment="1" applyProtection="1">
      <alignment horizontal="left" vertical="center" wrapText="1" indent="1"/>
      <protection locked="0"/>
    </xf>
    <xf numFmtId="0" fontId="141" fillId="23" borderId="103" xfId="0" applyFont="1" applyFill="1" applyBorder="1" applyAlignment="1" applyProtection="1">
      <alignment horizontal="left" vertical="center" wrapText="1" indent="1"/>
      <protection locked="0"/>
    </xf>
    <xf numFmtId="0" fontId="38" fillId="4" borderId="0" xfId="0" applyFont="1" applyFill="1" applyAlignment="1" applyProtection="1">
      <alignment horizontal="left" vertical="top" indent="4"/>
      <protection hidden="1"/>
    </xf>
    <xf numFmtId="0" fontId="38" fillId="4" borderId="46" xfId="0" applyFont="1" applyFill="1" applyBorder="1" applyAlignment="1" applyProtection="1">
      <alignment horizontal="left" vertical="top" indent="4"/>
      <protection hidden="1"/>
    </xf>
    <xf numFmtId="0" fontId="140" fillId="23" borderId="133" xfId="0" applyFont="1" applyFill="1" applyBorder="1" applyAlignment="1" applyProtection="1">
      <alignment horizontal="left" vertical="center" wrapText="1" indent="1"/>
      <protection locked="0"/>
    </xf>
    <xf numFmtId="0" fontId="140" fillId="23" borderId="134" xfId="0" applyFont="1" applyFill="1" applyBorder="1" applyAlignment="1" applyProtection="1">
      <alignment horizontal="left" vertical="center" wrapText="1" indent="1"/>
      <protection locked="0"/>
    </xf>
    <xf numFmtId="0" fontId="140" fillId="23" borderId="136" xfId="0" applyFont="1" applyFill="1" applyBorder="1" applyAlignment="1" applyProtection="1">
      <alignment horizontal="left" vertical="center" wrapText="1" indent="1"/>
      <protection locked="0"/>
    </xf>
    <xf numFmtId="0" fontId="141" fillId="23" borderId="188" xfId="0" applyFont="1" applyFill="1" applyBorder="1" applyAlignment="1" applyProtection="1">
      <alignment horizontal="left" vertical="center" wrapText="1" indent="1"/>
      <protection locked="0"/>
    </xf>
    <xf numFmtId="0" fontId="141" fillId="23" borderId="187" xfId="0" applyFont="1" applyFill="1" applyBorder="1" applyAlignment="1" applyProtection="1">
      <alignment horizontal="left" vertical="center" wrapText="1" indent="1"/>
      <protection locked="0"/>
    </xf>
    <xf numFmtId="0" fontId="141" fillId="23" borderId="189" xfId="0" applyFont="1" applyFill="1" applyBorder="1" applyAlignment="1" applyProtection="1">
      <alignment horizontal="left" vertical="center" wrapText="1" indent="1"/>
      <protection locked="0"/>
    </xf>
    <xf numFmtId="0" fontId="141" fillId="23" borderId="45" xfId="0" applyFont="1" applyFill="1" applyBorder="1" applyAlignment="1" applyProtection="1">
      <alignment horizontal="left" vertical="center" wrapText="1" indent="1"/>
      <protection locked="0"/>
    </xf>
    <xf numFmtId="0" fontId="64" fillId="4" borderId="7" xfId="0" applyFont="1" applyFill="1" applyBorder="1" applyAlignment="1" applyProtection="1">
      <alignment horizontal="left" vertical="center" wrapText="1" indent="1"/>
      <protection hidden="1"/>
    </xf>
    <xf numFmtId="0" fontId="64" fillId="4" borderId="0" xfId="0" applyFont="1" applyFill="1" applyAlignment="1" applyProtection="1">
      <alignment horizontal="left" vertical="center" wrapText="1" indent="1"/>
      <protection hidden="1"/>
    </xf>
    <xf numFmtId="0" fontId="51" fillId="23" borderId="58" xfId="0" applyFont="1" applyFill="1" applyBorder="1" applyAlignment="1" applyProtection="1">
      <alignment horizontal="left" vertical="center" wrapText="1" indent="1"/>
      <protection locked="0"/>
    </xf>
    <xf numFmtId="0" fontId="51" fillId="23" borderId="48" xfId="0" applyFont="1" applyFill="1" applyBorder="1" applyAlignment="1" applyProtection="1">
      <alignment horizontal="left" vertical="center" wrapText="1" indent="1"/>
      <protection locked="0"/>
    </xf>
    <xf numFmtId="0" fontId="51" fillId="23" borderId="59" xfId="0" applyFont="1" applyFill="1" applyBorder="1" applyAlignment="1" applyProtection="1">
      <alignment horizontal="left" vertical="center" wrapText="1" indent="1"/>
      <protection locked="0"/>
    </xf>
    <xf numFmtId="0" fontId="141" fillId="23" borderId="133" xfId="0" applyFont="1" applyFill="1" applyBorder="1" applyAlignment="1" applyProtection="1">
      <alignment horizontal="left" vertical="center" wrapText="1" indent="1"/>
      <protection locked="0"/>
    </xf>
    <xf numFmtId="0" fontId="141" fillId="23" borderId="134" xfId="0" applyFont="1" applyFill="1" applyBorder="1" applyAlignment="1" applyProtection="1">
      <alignment horizontal="left" vertical="center" wrapText="1" indent="1"/>
      <protection locked="0"/>
    </xf>
    <xf numFmtId="0" fontId="141" fillId="23" borderId="136" xfId="0" applyFont="1" applyFill="1" applyBorder="1" applyAlignment="1" applyProtection="1">
      <alignment horizontal="left" vertical="center" wrapText="1" indent="1"/>
      <protection locked="0"/>
    </xf>
    <xf numFmtId="0" fontId="141" fillId="23" borderId="135" xfId="0" applyFont="1" applyFill="1" applyBorder="1" applyAlignment="1" applyProtection="1">
      <alignment horizontal="left" vertical="center" wrapText="1" indent="1"/>
      <protection locked="0"/>
    </xf>
    <xf numFmtId="0" fontId="141" fillId="23" borderId="179" xfId="0" applyFont="1" applyFill="1" applyBorder="1" applyAlignment="1" applyProtection="1">
      <alignment horizontal="left" vertical="top" indent="1"/>
      <protection locked="0"/>
    </xf>
    <xf numFmtId="0" fontId="141" fillId="23" borderId="178" xfId="0" applyFont="1" applyFill="1" applyBorder="1" applyAlignment="1" applyProtection="1">
      <alignment horizontal="left" vertical="top" indent="1"/>
      <protection locked="0"/>
    </xf>
    <xf numFmtId="0" fontId="141" fillId="23" borderId="177" xfId="0" applyFont="1" applyFill="1" applyBorder="1" applyAlignment="1" applyProtection="1">
      <alignment horizontal="left" vertical="top" indent="1"/>
      <protection locked="0"/>
    </xf>
    <xf numFmtId="0" fontId="64" fillId="4" borderId="7" xfId="0" applyFont="1" applyFill="1" applyBorder="1" applyAlignment="1" applyProtection="1">
      <alignment horizontal="left" vertical="top" wrapText="1" indent="1"/>
      <protection hidden="1"/>
    </xf>
    <xf numFmtId="0" fontId="141" fillId="4" borderId="48" xfId="1" applyFont="1" applyFill="1" applyBorder="1" applyAlignment="1" applyProtection="1">
      <alignment horizontal="left" vertical="center" wrapText="1" indent="1"/>
      <protection locked="0"/>
    </xf>
    <xf numFmtId="0" fontId="141" fillId="4" borderId="48" xfId="0" applyFont="1" applyFill="1" applyBorder="1" applyAlignment="1" applyProtection="1">
      <alignment horizontal="left" vertical="center" wrapText="1" indent="1"/>
      <protection locked="0"/>
    </xf>
    <xf numFmtId="0" fontId="0" fillId="0" borderId="0" xfId="0" applyAlignment="1" applyProtection="1">
      <alignment horizontal="left" vertical="top" wrapText="1"/>
      <protection hidden="1"/>
    </xf>
    <xf numFmtId="0" fontId="0" fillId="0" borderId="63" xfId="0" applyBorder="1" applyAlignment="1" applyProtection="1">
      <alignment horizontal="left" vertical="top" wrapText="1" indent="1"/>
      <protection hidden="1"/>
    </xf>
    <xf numFmtId="0" fontId="0" fillId="0" borderId="79" xfId="0" applyBorder="1" applyAlignment="1" applyProtection="1">
      <alignment horizontal="left" vertical="top" wrapText="1" indent="1"/>
      <protection hidden="1"/>
    </xf>
    <xf numFmtId="0" fontId="0" fillId="0" borderId="7" xfId="0" applyBorder="1" applyAlignment="1" applyProtection="1">
      <alignment horizontal="right" wrapText="1" indent="1"/>
      <protection hidden="1"/>
    </xf>
    <xf numFmtId="0" fontId="0" fillId="0" borderId="0" xfId="0" applyAlignment="1" applyProtection="1">
      <alignment horizontal="right" wrapText="1" indent="1"/>
      <protection hidden="1"/>
    </xf>
    <xf numFmtId="0" fontId="0" fillId="0" borderId="4" xfId="0" applyBorder="1" applyAlignment="1" applyProtection="1">
      <alignment horizontal="right" wrapText="1" indent="1"/>
      <protection hidden="1"/>
    </xf>
    <xf numFmtId="0" fontId="0" fillId="0" borderId="8" xfId="0" applyBorder="1" applyAlignment="1" applyProtection="1">
      <alignment horizontal="right" wrapText="1" indent="1"/>
      <protection hidden="1"/>
    </xf>
    <xf numFmtId="0" fontId="96" fillId="0" borderId="58" xfId="0" applyFont="1" applyBorder="1" applyAlignment="1" applyProtection="1">
      <alignment horizontal="center" vertical="center"/>
      <protection hidden="1"/>
    </xf>
    <xf numFmtId="0" fontId="96" fillId="0" borderId="59" xfId="0" applyFont="1" applyBorder="1" applyAlignment="1" applyProtection="1">
      <alignment horizontal="center" vertical="center"/>
      <protection hidden="1"/>
    </xf>
    <xf numFmtId="0" fontId="0" fillId="0" borderId="2" xfId="0" applyBorder="1" applyAlignment="1" applyProtection="1">
      <alignment horizontal="right" vertical="center"/>
      <protection hidden="1"/>
    </xf>
    <xf numFmtId="0" fontId="0" fillId="0" borderId="0" xfId="0" applyAlignment="1" applyProtection="1">
      <alignment horizontal="right" vertical="center"/>
      <protection hidden="1"/>
    </xf>
    <xf numFmtId="0" fontId="0" fillId="0" borderId="8" xfId="0" applyBorder="1" applyAlignment="1" applyProtection="1">
      <alignment horizontal="right" vertical="center"/>
      <protection hidden="1"/>
    </xf>
    <xf numFmtId="0" fontId="4" fillId="0" borderId="0" xfId="0" applyFont="1" applyAlignment="1" applyProtection="1">
      <alignment horizontal="right" vertical="center"/>
      <protection hidden="1"/>
    </xf>
    <xf numFmtId="164" fontId="313" fillId="4" borderId="0" xfId="0" applyNumberFormat="1" applyFont="1" applyFill="1" applyAlignment="1" applyProtection="1">
      <alignment horizontal="center" vertical="center"/>
      <protection hidden="1"/>
    </xf>
    <xf numFmtId="0" fontId="0" fillId="0" borderId="58" xfId="0" applyBorder="1" applyAlignment="1" applyProtection="1">
      <alignment horizontal="right" vertical="center" indent="1"/>
      <protection hidden="1"/>
    </xf>
    <xf numFmtId="0" fontId="0" fillId="0" borderId="59" xfId="0" applyBorder="1" applyAlignment="1" applyProtection="1">
      <alignment horizontal="right" vertical="center" indent="1"/>
      <protection hidden="1"/>
    </xf>
    <xf numFmtId="0" fontId="5" fillId="0" borderId="1" xfId="0" applyFont="1" applyBorder="1" applyAlignment="1" applyProtection="1">
      <alignment horizontal="left"/>
      <protection hidden="1"/>
    </xf>
    <xf numFmtId="0" fontId="0" fillId="0" borderId="8" xfId="0" applyBorder="1" applyAlignment="1" applyProtection="1">
      <alignment horizontal="right" wrapText="1"/>
      <protection hidden="1"/>
    </xf>
    <xf numFmtId="0" fontId="86" fillId="56" borderId="0" xfId="0" applyFont="1" applyFill="1" applyAlignment="1" applyProtection="1">
      <alignment horizontal="left" vertical="center" wrapText="1" indent="1"/>
      <protection hidden="1"/>
    </xf>
    <xf numFmtId="5" fontId="199" fillId="4" borderId="28" xfId="0" applyNumberFormat="1" applyFont="1" applyFill="1" applyBorder="1" applyAlignment="1" applyProtection="1">
      <alignment horizontal="right" vertical="center"/>
      <protection hidden="1"/>
    </xf>
    <xf numFmtId="164" fontId="74" fillId="4" borderId="30" xfId="0" applyNumberFormat="1" applyFont="1" applyFill="1" applyBorder="1" applyAlignment="1" applyProtection="1">
      <alignment horizontal="right" vertical="center" indent="1"/>
      <protection hidden="1"/>
    </xf>
    <xf numFmtId="164" fontId="74" fillId="4" borderId="28" xfId="0" applyNumberFormat="1" applyFont="1" applyFill="1" applyBorder="1" applyAlignment="1" applyProtection="1">
      <alignment horizontal="right" vertical="center" indent="1"/>
      <protection hidden="1"/>
    </xf>
    <xf numFmtId="164" fontId="74" fillId="4" borderId="29" xfId="0" applyNumberFormat="1" applyFont="1" applyFill="1" applyBorder="1" applyAlignment="1" applyProtection="1">
      <alignment horizontal="right" vertical="center" indent="1"/>
      <protection hidden="1"/>
    </xf>
    <xf numFmtId="164" fontId="74" fillId="4" borderId="33" xfId="0" applyNumberFormat="1" applyFont="1" applyFill="1" applyBorder="1" applyAlignment="1" applyProtection="1">
      <alignment horizontal="right" vertical="center" indent="1"/>
      <protection hidden="1"/>
    </xf>
    <xf numFmtId="165" fontId="175" fillId="4" borderId="0" xfId="0" applyNumberFormat="1" applyFont="1" applyFill="1" applyAlignment="1" applyProtection="1">
      <alignment horizontal="center"/>
      <protection hidden="1"/>
    </xf>
    <xf numFmtId="5" fontId="199" fillId="4" borderId="32" xfId="0" applyNumberFormat="1" applyFont="1" applyFill="1" applyBorder="1" applyAlignment="1" applyProtection="1">
      <alignment horizontal="right" vertical="center"/>
      <protection hidden="1"/>
    </xf>
    <xf numFmtId="5" fontId="199" fillId="4" borderId="29" xfId="0" applyNumberFormat="1" applyFont="1" applyFill="1" applyBorder="1" applyAlignment="1" applyProtection="1">
      <alignment horizontal="right" vertical="center"/>
      <protection hidden="1"/>
    </xf>
    <xf numFmtId="164" fontId="74" fillId="4" borderId="33" xfId="0" applyNumberFormat="1" applyFont="1" applyFill="1" applyBorder="1" applyAlignment="1" applyProtection="1">
      <alignment horizontal="right" vertical="center"/>
      <protection hidden="1"/>
    </xf>
    <xf numFmtId="0" fontId="31" fillId="10" borderId="0" xfId="0" applyFont="1" applyFill="1" applyAlignment="1" applyProtection="1">
      <alignment horizontal="left" vertical="center"/>
      <protection hidden="1"/>
    </xf>
    <xf numFmtId="0" fontId="13" fillId="4" borderId="0" xfId="0" applyFont="1" applyFill="1" applyAlignment="1" applyProtection="1">
      <alignment horizontal="center" vertical="top"/>
      <protection hidden="1"/>
    </xf>
    <xf numFmtId="0" fontId="74" fillId="4" borderId="0" xfId="0" applyFont="1" applyFill="1" applyAlignment="1" applyProtection="1">
      <alignment horizontal="right" wrapText="1"/>
      <protection hidden="1"/>
    </xf>
    <xf numFmtId="0" fontId="70" fillId="4" borderId="0" xfId="0" applyFont="1" applyFill="1" applyAlignment="1" applyProtection="1">
      <alignment horizontal="center" vertical="top" wrapText="1"/>
      <protection hidden="1"/>
    </xf>
    <xf numFmtId="164" fontId="74" fillId="4" borderId="32" xfId="0" applyNumberFormat="1" applyFont="1" applyFill="1" applyBorder="1" applyAlignment="1" applyProtection="1">
      <alignment horizontal="right" vertical="center"/>
      <protection hidden="1"/>
    </xf>
    <xf numFmtId="0" fontId="70" fillId="4" borderId="0" xfId="0" applyFont="1" applyFill="1" applyAlignment="1" applyProtection="1">
      <alignment horizontal="right" vertical="top" wrapText="1" indent="1"/>
      <protection hidden="1"/>
    </xf>
    <xf numFmtId="0" fontId="305" fillId="4" borderId="0" xfId="0" applyFont="1" applyFill="1" applyAlignment="1" applyProtection="1">
      <alignment horizontal="right" vertical="top" wrapText="1"/>
      <protection hidden="1"/>
    </xf>
    <xf numFmtId="164" fontId="74" fillId="4" borderId="32" xfId="0" applyNumberFormat="1" applyFont="1" applyFill="1" applyBorder="1" applyAlignment="1" applyProtection="1">
      <alignment horizontal="right" vertical="center" indent="1"/>
      <protection hidden="1"/>
    </xf>
    <xf numFmtId="0" fontId="31" fillId="10" borderId="0" xfId="0" applyFont="1" applyFill="1" applyAlignment="1" applyProtection="1">
      <alignment horizontal="left" vertical="center" indent="1"/>
      <protection hidden="1"/>
    </xf>
    <xf numFmtId="0" fontId="312" fillId="4" borderId="0" xfId="0" applyFont="1" applyFill="1" applyAlignment="1" applyProtection="1">
      <alignment horizontal="center" vertical="center" wrapText="1"/>
      <protection hidden="1"/>
    </xf>
    <xf numFmtId="0" fontId="312" fillId="4" borderId="357" xfId="0" applyFont="1" applyFill="1" applyBorder="1" applyAlignment="1" applyProtection="1">
      <alignment horizontal="center" vertical="center" wrapText="1"/>
      <protection hidden="1"/>
    </xf>
    <xf numFmtId="165" fontId="309" fillId="4" borderId="0" xfId="0" applyNumberFormat="1" applyFont="1" applyFill="1" applyAlignment="1" applyProtection="1">
      <alignment horizontal="left" vertical="top"/>
      <protection hidden="1"/>
    </xf>
    <xf numFmtId="165" fontId="309" fillId="4" borderId="23" xfId="0" applyNumberFormat="1" applyFont="1" applyFill="1" applyBorder="1" applyAlignment="1" applyProtection="1">
      <alignment horizontal="left" vertical="top"/>
      <protection hidden="1"/>
    </xf>
    <xf numFmtId="164" fontId="79" fillId="4" borderId="356" xfId="0" applyNumberFormat="1" applyFont="1" applyFill="1" applyBorder="1" applyAlignment="1" applyProtection="1">
      <alignment horizontal="right" vertical="center" wrapText="1"/>
      <protection hidden="1"/>
    </xf>
    <xf numFmtId="164" fontId="79" fillId="4" borderId="355" xfId="0" applyNumberFormat="1" applyFont="1" applyFill="1" applyBorder="1" applyAlignment="1" applyProtection="1">
      <alignment horizontal="right" vertical="center" wrapText="1"/>
      <protection hidden="1"/>
    </xf>
    <xf numFmtId="164" fontId="79" fillId="4" borderId="356" xfId="0" applyNumberFormat="1" applyFont="1" applyFill="1" applyBorder="1" applyAlignment="1" applyProtection="1">
      <alignment horizontal="right" vertical="center" wrapText="1" indent="1"/>
      <protection hidden="1"/>
    </xf>
    <xf numFmtId="164" fontId="79" fillId="4" borderId="355" xfId="0" applyNumberFormat="1" applyFont="1" applyFill="1" applyBorder="1" applyAlignment="1" applyProtection="1">
      <alignment horizontal="right" vertical="center" indent="1"/>
      <protection hidden="1"/>
    </xf>
    <xf numFmtId="164" fontId="74" fillId="4" borderId="31" xfId="0" applyNumberFormat="1" applyFont="1" applyFill="1" applyBorder="1" applyAlignment="1" applyProtection="1">
      <alignment horizontal="right" vertical="center"/>
      <protection hidden="1"/>
    </xf>
    <xf numFmtId="5" fontId="199" fillId="4" borderId="31" xfId="0" applyNumberFormat="1" applyFont="1" applyFill="1" applyBorder="1" applyAlignment="1" applyProtection="1">
      <alignment horizontal="right" vertical="center"/>
      <protection hidden="1"/>
    </xf>
    <xf numFmtId="0" fontId="197" fillId="4" borderId="0" xfId="0" applyFont="1" applyFill="1" applyAlignment="1" applyProtection="1">
      <alignment horizontal="center"/>
      <protection hidden="1"/>
    </xf>
    <xf numFmtId="0" fontId="197" fillId="4" borderId="23" xfId="0" applyFont="1" applyFill="1" applyBorder="1" applyAlignment="1" applyProtection="1">
      <alignment horizontal="center"/>
      <protection hidden="1"/>
    </xf>
    <xf numFmtId="0" fontId="295" fillId="4" borderId="0" xfId="0" applyFont="1" applyFill="1" applyAlignment="1" applyProtection="1">
      <alignment horizontal="left" vertical="top" wrapText="1"/>
      <protection hidden="1"/>
    </xf>
    <xf numFmtId="0" fontId="295" fillId="4" borderId="355" xfId="0" applyFont="1" applyFill="1" applyBorder="1" applyAlignment="1" applyProtection="1">
      <alignment horizontal="left" vertical="top" wrapText="1"/>
      <protection hidden="1"/>
    </xf>
    <xf numFmtId="0" fontId="295" fillId="4" borderId="356" xfId="0" applyFont="1" applyFill="1" applyBorder="1" applyAlignment="1" applyProtection="1">
      <alignment horizontal="left" vertical="top" wrapText="1"/>
      <protection hidden="1"/>
    </xf>
    <xf numFmtId="0" fontId="30" fillId="4" borderId="0" xfId="0" applyFont="1" applyFill="1" applyAlignment="1" applyProtection="1">
      <alignment horizontal="center"/>
      <protection hidden="1"/>
    </xf>
    <xf numFmtId="0" fontId="30" fillId="4" borderId="23" xfId="0" applyFont="1" applyFill="1" applyBorder="1" applyAlignment="1" applyProtection="1">
      <alignment horizontal="center"/>
      <protection hidden="1"/>
    </xf>
    <xf numFmtId="0" fontId="70" fillId="4" borderId="0" xfId="0" applyFont="1" applyFill="1" applyAlignment="1" applyProtection="1">
      <alignment horizontal="left" wrapText="1"/>
      <protection hidden="1"/>
    </xf>
    <xf numFmtId="0" fontId="70" fillId="4" borderId="23" xfId="0" applyFont="1" applyFill="1" applyBorder="1" applyAlignment="1" applyProtection="1">
      <alignment horizontal="left" wrapText="1"/>
      <protection hidden="1"/>
    </xf>
    <xf numFmtId="167" fontId="293" fillId="4" borderId="0" xfId="0" applyNumberFormat="1" applyFont="1" applyFill="1" applyAlignment="1" applyProtection="1">
      <alignment horizontal="right"/>
      <protection hidden="1"/>
    </xf>
    <xf numFmtId="0" fontId="70" fillId="4" borderId="0" xfId="0" applyFont="1" applyFill="1" applyAlignment="1" applyProtection="1">
      <alignment horizontal="left" vertical="center" wrapText="1"/>
      <protection hidden="1"/>
    </xf>
    <xf numFmtId="0" fontId="70" fillId="4" borderId="23" xfId="0" applyFont="1" applyFill="1" applyBorder="1" applyAlignment="1" applyProtection="1">
      <alignment horizontal="left" vertical="center" wrapText="1"/>
      <protection hidden="1"/>
    </xf>
    <xf numFmtId="0" fontId="295" fillId="4" borderId="23" xfId="0" applyFont="1" applyFill="1" applyBorder="1" applyAlignment="1" applyProtection="1">
      <alignment horizontal="left" vertical="top" wrapText="1"/>
      <protection hidden="1"/>
    </xf>
    <xf numFmtId="164" fontId="74" fillId="4" borderId="29" xfId="0" applyNumberFormat="1" applyFont="1" applyFill="1" applyBorder="1" applyAlignment="1" applyProtection="1">
      <alignment horizontal="right" vertical="center"/>
      <protection hidden="1"/>
    </xf>
    <xf numFmtId="0" fontId="70" fillId="4" borderId="0" xfId="0" applyFont="1" applyFill="1" applyAlignment="1" applyProtection="1">
      <alignment horizontal="left"/>
      <protection hidden="1"/>
    </xf>
    <xf numFmtId="5" fontId="199" fillId="4" borderId="33" xfId="0" applyNumberFormat="1" applyFont="1" applyFill="1" applyBorder="1" applyAlignment="1" applyProtection="1">
      <alignment horizontal="right" vertical="center"/>
      <protection hidden="1"/>
    </xf>
    <xf numFmtId="167" fontId="292" fillId="4" borderId="0" xfId="0" applyNumberFormat="1" applyFont="1" applyFill="1" applyAlignment="1" applyProtection="1">
      <alignment horizontal="right"/>
      <protection hidden="1"/>
    </xf>
    <xf numFmtId="164" fontId="74" fillId="4" borderId="30" xfId="0" applyNumberFormat="1" applyFont="1" applyFill="1" applyBorder="1" applyAlignment="1" applyProtection="1">
      <alignment horizontal="right" vertical="center"/>
      <protection hidden="1"/>
    </xf>
    <xf numFmtId="5" fontId="199" fillId="4" borderId="30" xfId="0" applyNumberFormat="1" applyFont="1" applyFill="1" applyBorder="1" applyAlignment="1" applyProtection="1">
      <alignment horizontal="right" vertical="center"/>
      <protection hidden="1"/>
    </xf>
    <xf numFmtId="3" fontId="14" fillId="4" borderId="0" xfId="0" applyNumberFormat="1" applyFont="1" applyFill="1" applyAlignment="1" applyProtection="1">
      <alignment horizontal="right" vertical="center"/>
      <protection hidden="1"/>
    </xf>
    <xf numFmtId="0" fontId="7" fillId="9" borderId="0" xfId="0" applyFont="1" applyFill="1" applyAlignment="1" applyProtection="1">
      <alignment horizontal="center" vertical="center"/>
      <protection hidden="1"/>
    </xf>
    <xf numFmtId="14" fontId="184" fillId="9" borderId="0" xfId="0" applyNumberFormat="1" applyFont="1" applyFill="1" applyAlignment="1" applyProtection="1">
      <alignment horizontal="right" vertical="center"/>
      <protection hidden="1"/>
    </xf>
    <xf numFmtId="0" fontId="170" fillId="0" borderId="0" xfId="0" applyFont="1" applyAlignment="1" applyProtection="1">
      <alignment horizontal="center" vertical="center" wrapText="1"/>
      <protection hidden="1"/>
    </xf>
    <xf numFmtId="0" fontId="55" fillId="10" borderId="0" xfId="0" applyFont="1" applyFill="1" applyAlignment="1" applyProtection="1">
      <alignment horizontal="right" vertical="top"/>
      <protection hidden="1"/>
    </xf>
    <xf numFmtId="0" fontId="188" fillId="0" borderId="139" xfId="0" applyFont="1" applyBorder="1" applyAlignment="1" applyProtection="1">
      <alignment horizontal="right" vertical="top"/>
      <protection hidden="1"/>
    </xf>
    <xf numFmtId="0" fontId="188" fillId="0" borderId="0" xfId="0" applyFont="1" applyAlignment="1" applyProtection="1">
      <alignment horizontal="right" vertical="top"/>
      <protection hidden="1"/>
    </xf>
    <xf numFmtId="0" fontId="131" fillId="4" borderId="0" xfId="0" applyFont="1" applyFill="1" applyAlignment="1" applyProtection="1">
      <alignment horizontal="center" vertical="top"/>
      <protection hidden="1"/>
    </xf>
    <xf numFmtId="0" fontId="13" fillId="4" borderId="0" xfId="0" applyFont="1" applyFill="1" applyAlignment="1" applyProtection="1">
      <alignment horizontal="right" vertical="top"/>
      <protection hidden="1"/>
    </xf>
    <xf numFmtId="0" fontId="48" fillId="0" borderId="0" xfId="0" applyFont="1" applyAlignment="1" applyProtection="1">
      <alignment horizontal="left" vertical="center" wrapText="1" indent="1"/>
      <protection hidden="1"/>
    </xf>
    <xf numFmtId="0" fontId="48" fillId="0" borderId="139" xfId="0" applyFont="1" applyBorder="1" applyAlignment="1" applyProtection="1">
      <alignment horizontal="left" vertical="center" wrapText="1" indent="2"/>
      <protection hidden="1"/>
    </xf>
    <xf numFmtId="0" fontId="48" fillId="0" borderId="0" xfId="0" applyFont="1" applyAlignment="1" applyProtection="1">
      <alignment horizontal="left" vertical="center" wrapText="1" indent="2"/>
      <protection hidden="1"/>
    </xf>
    <xf numFmtId="0" fontId="48" fillId="0" borderId="139" xfId="0" applyFont="1" applyBorder="1" applyAlignment="1" applyProtection="1">
      <alignment horizontal="left" vertical="center" wrapText="1"/>
      <protection hidden="1"/>
    </xf>
    <xf numFmtId="0" fontId="48" fillId="0" borderId="0" xfId="0" applyFont="1" applyAlignment="1" applyProtection="1">
      <alignment horizontal="left" vertical="center" wrapText="1"/>
      <protection hidden="1"/>
    </xf>
    <xf numFmtId="0" fontId="48" fillId="4" borderId="0" xfId="0" applyFont="1" applyFill="1" applyAlignment="1" applyProtection="1">
      <alignment horizontal="left" vertical="center" wrapText="1" indent="1"/>
      <protection hidden="1"/>
    </xf>
    <xf numFmtId="0" fontId="128" fillId="0" borderId="295" xfId="0" applyFont="1" applyBorder="1" applyAlignment="1" applyProtection="1">
      <alignment horizontal="right" vertical="center"/>
      <protection hidden="1"/>
    </xf>
    <xf numFmtId="0" fontId="128" fillId="0" borderId="293" xfId="0" applyFont="1" applyBorder="1" applyAlignment="1" applyProtection="1">
      <alignment horizontal="right" vertical="center"/>
      <protection hidden="1"/>
    </xf>
    <xf numFmtId="0" fontId="130" fillId="4" borderId="0" xfId="0" applyFont="1" applyFill="1" applyAlignment="1" applyProtection="1">
      <alignment horizontal="left" vertical="top"/>
      <protection hidden="1"/>
    </xf>
    <xf numFmtId="0" fontId="79" fillId="4" borderId="0" xfId="0" applyFont="1" applyFill="1" applyAlignment="1" applyProtection="1">
      <alignment horizontal="left" vertical="top" wrapText="1"/>
      <protection hidden="1"/>
    </xf>
    <xf numFmtId="0" fontId="79" fillId="4" borderId="251" xfId="0" applyFont="1" applyFill="1" applyBorder="1" applyAlignment="1" applyProtection="1">
      <alignment horizontal="left" vertical="top" wrapText="1"/>
      <protection hidden="1"/>
    </xf>
    <xf numFmtId="0" fontId="128" fillId="0" borderId="257" xfId="0" applyFont="1" applyBorder="1" applyAlignment="1" applyProtection="1">
      <alignment horizontal="left" indent="3"/>
      <protection hidden="1"/>
    </xf>
    <xf numFmtId="165" fontId="187" fillId="0" borderId="0" xfId="0" applyNumberFormat="1" applyFont="1" applyAlignment="1" applyProtection="1">
      <alignment horizontal="right"/>
      <protection hidden="1"/>
    </xf>
    <xf numFmtId="164" fontId="273" fillId="0" borderId="0" xfId="0" applyNumberFormat="1" applyFont="1" applyAlignment="1" applyProtection="1">
      <alignment horizontal="left"/>
      <protection hidden="1"/>
    </xf>
    <xf numFmtId="164" fontId="273" fillId="0" borderId="23" xfId="0" applyNumberFormat="1" applyFont="1" applyBorder="1" applyAlignment="1" applyProtection="1">
      <alignment horizontal="left"/>
      <protection hidden="1"/>
    </xf>
    <xf numFmtId="164" fontId="79" fillId="4" borderId="0" xfId="0" applyNumberFormat="1" applyFont="1" applyFill="1" applyAlignment="1" applyProtection="1">
      <alignment horizontal="right" vertical="center" wrapText="1"/>
      <protection hidden="1"/>
    </xf>
    <xf numFmtId="164" fontId="79" fillId="4" borderId="357" xfId="0" applyNumberFormat="1" applyFont="1" applyFill="1" applyBorder="1" applyAlignment="1" applyProtection="1">
      <alignment horizontal="right" vertical="center" wrapText="1"/>
      <protection hidden="1"/>
    </xf>
    <xf numFmtId="0" fontId="135" fillId="4" borderId="0" xfId="0" applyFont="1" applyFill="1" applyAlignment="1" applyProtection="1">
      <alignment horizontal="center"/>
      <protection hidden="1"/>
    </xf>
    <xf numFmtId="0" fontId="197" fillId="4" borderId="0" xfId="0" applyFont="1" applyFill="1" applyAlignment="1" applyProtection="1">
      <alignment horizontal="center" vertical="top"/>
      <protection hidden="1"/>
    </xf>
    <xf numFmtId="0" fontId="197" fillId="4" borderId="0" xfId="0" applyFont="1" applyFill="1" applyAlignment="1" applyProtection="1">
      <alignment horizontal="center" vertical="center"/>
      <protection hidden="1"/>
    </xf>
    <xf numFmtId="0" fontId="197" fillId="4" borderId="23" xfId="0" applyFont="1" applyFill="1" applyBorder="1" applyAlignment="1" applyProtection="1">
      <alignment horizontal="center" vertical="center"/>
      <protection hidden="1"/>
    </xf>
    <xf numFmtId="164" fontId="79" fillId="4" borderId="0" xfId="0" applyNumberFormat="1" applyFont="1" applyFill="1" applyAlignment="1" applyProtection="1">
      <alignment horizontal="right" vertical="center" wrapText="1" indent="1"/>
      <protection hidden="1"/>
    </xf>
    <xf numFmtId="164" fontId="79" fillId="4" borderId="357" xfId="0" applyNumberFormat="1" applyFont="1" applyFill="1" applyBorder="1" applyAlignment="1" applyProtection="1">
      <alignment horizontal="right" vertical="center" wrapText="1" indent="1"/>
      <protection hidden="1"/>
    </xf>
    <xf numFmtId="0" fontId="295" fillId="4" borderId="357" xfId="0" applyFont="1" applyFill="1" applyBorder="1" applyAlignment="1" applyProtection="1">
      <alignment horizontal="left" vertical="top" wrapText="1"/>
      <protection hidden="1"/>
    </xf>
    <xf numFmtId="167" fontId="228" fillId="4" borderId="0" xfId="0" applyNumberFormat="1" applyFont="1" applyFill="1" applyAlignment="1" applyProtection="1">
      <alignment horizontal="right"/>
      <protection hidden="1"/>
    </xf>
    <xf numFmtId="167" fontId="308" fillId="4" borderId="0" xfId="0" applyNumberFormat="1" applyFont="1" applyFill="1" applyAlignment="1" applyProtection="1">
      <alignment horizontal="right"/>
      <protection hidden="1"/>
    </xf>
    <xf numFmtId="167" fontId="307" fillId="4" borderId="0" xfId="0" applyNumberFormat="1" applyFont="1" applyFill="1" applyAlignment="1" applyProtection="1">
      <alignment horizontal="right"/>
      <protection hidden="1"/>
    </xf>
    <xf numFmtId="164" fontId="175" fillId="4" borderId="22" xfId="0" applyNumberFormat="1" applyFont="1" applyFill="1" applyBorder="1" applyAlignment="1" applyProtection="1">
      <alignment horizontal="left" indent="2"/>
      <protection hidden="1"/>
    </xf>
    <xf numFmtId="164" fontId="175" fillId="4" borderId="0" xfId="0" applyNumberFormat="1" applyFont="1" applyFill="1" applyAlignment="1" applyProtection="1">
      <alignment horizontal="left" indent="2"/>
      <protection hidden="1"/>
    </xf>
    <xf numFmtId="0" fontId="315" fillId="0" borderId="25" xfId="0" applyFont="1" applyBorder="1" applyAlignment="1" applyProtection="1">
      <alignment horizontal="center" vertical="center"/>
      <protection hidden="1"/>
    </xf>
    <xf numFmtId="0" fontId="135" fillId="4" borderId="0" xfId="0" applyFont="1" applyFill="1" applyAlignment="1" applyProtection="1">
      <alignment horizontal="center" vertical="center"/>
      <protection hidden="1"/>
    </xf>
    <xf numFmtId="0" fontId="18" fillId="4" borderId="0" xfId="0" applyFont="1" applyFill="1" applyAlignment="1" applyProtection="1">
      <alignment horizontal="center"/>
      <protection hidden="1"/>
    </xf>
    <xf numFmtId="0" fontId="33" fillId="4" borderId="0" xfId="0" applyFont="1" applyFill="1" applyAlignment="1" applyProtection="1">
      <alignment horizontal="center" vertical="center"/>
      <protection hidden="1"/>
    </xf>
    <xf numFmtId="0" fontId="46" fillId="4" borderId="0" xfId="0" applyFont="1" applyFill="1" applyAlignment="1" applyProtection="1">
      <alignment horizontal="right" vertical="center"/>
      <protection hidden="1"/>
    </xf>
    <xf numFmtId="1" fontId="207" fillId="4" borderId="42" xfId="0" applyNumberFormat="1" applyFont="1" applyFill="1" applyBorder="1" applyAlignment="1" applyProtection="1">
      <alignment horizontal="right" vertical="center"/>
      <protection hidden="1"/>
    </xf>
    <xf numFmtId="1" fontId="207" fillId="4" borderId="44" xfId="0" applyNumberFormat="1" applyFont="1" applyFill="1" applyBorder="1" applyAlignment="1" applyProtection="1">
      <alignment horizontal="right" vertical="center"/>
      <protection hidden="1"/>
    </xf>
    <xf numFmtId="0" fontId="205" fillId="4" borderId="44" xfId="0" applyFont="1" applyFill="1" applyBorder="1" applyAlignment="1" applyProtection="1">
      <alignment horizontal="center" vertical="center" wrapText="1"/>
      <protection hidden="1"/>
    </xf>
    <xf numFmtId="0" fontId="25" fillId="4" borderId="44" xfId="0" applyFont="1" applyFill="1" applyBorder="1" applyAlignment="1" applyProtection="1">
      <alignment horizontal="center" vertical="center" wrapText="1"/>
      <protection hidden="1"/>
    </xf>
    <xf numFmtId="0" fontId="25" fillId="4" borderId="43" xfId="0" applyFont="1" applyFill="1" applyBorder="1" applyAlignment="1" applyProtection="1">
      <alignment horizontal="center" vertical="center" wrapText="1"/>
      <protection hidden="1"/>
    </xf>
    <xf numFmtId="0" fontId="24" fillId="4" borderId="0" xfId="0" applyFont="1" applyFill="1" applyAlignment="1" applyProtection="1">
      <alignment horizontal="center" vertical="center"/>
      <protection hidden="1"/>
    </xf>
    <xf numFmtId="0" fontId="46" fillId="4" borderId="0" xfId="0" applyFont="1" applyFill="1" applyAlignment="1" applyProtection="1">
      <alignment horizontal="right" wrapText="1"/>
      <protection hidden="1"/>
    </xf>
    <xf numFmtId="0" fontId="43" fillId="10" borderId="0" xfId="0" applyFont="1" applyFill="1" applyAlignment="1" applyProtection="1">
      <alignment horizontal="left" vertical="center" wrapText="1" indent="1"/>
      <protection hidden="1"/>
    </xf>
    <xf numFmtId="0" fontId="43" fillId="11" borderId="0" xfId="0" applyFont="1" applyFill="1" applyAlignment="1" applyProtection="1">
      <alignment horizontal="left" vertical="center" wrapText="1" indent="1"/>
      <protection hidden="1"/>
    </xf>
    <xf numFmtId="0" fontId="43" fillId="19" borderId="0" xfId="0" applyFont="1" applyFill="1" applyAlignment="1" applyProtection="1">
      <alignment horizontal="left" vertical="center" wrapText="1" indent="1"/>
      <protection hidden="1"/>
    </xf>
    <xf numFmtId="0" fontId="43" fillId="14" borderId="0" xfId="0" applyFont="1" applyFill="1" applyAlignment="1" applyProtection="1">
      <alignment horizontal="left" vertical="center" wrapText="1" indent="1"/>
      <protection hidden="1"/>
    </xf>
    <xf numFmtId="0" fontId="43" fillId="12" borderId="142" xfId="0" applyFont="1" applyFill="1" applyBorder="1" applyAlignment="1" applyProtection="1">
      <alignment horizontal="left" vertical="center" wrapText="1" indent="1"/>
      <protection hidden="1"/>
    </xf>
    <xf numFmtId="0" fontId="19" fillId="4" borderId="95" xfId="0" applyFont="1" applyFill="1" applyBorder="1" applyAlignment="1" applyProtection="1">
      <alignment horizontal="left" indent="4"/>
      <protection hidden="1"/>
    </xf>
    <xf numFmtId="0" fontId="24" fillId="4" borderId="0" xfId="0" applyFont="1" applyFill="1" applyAlignment="1" applyProtection="1">
      <alignment horizontal="right" vertical="top" indent="1"/>
      <protection hidden="1"/>
    </xf>
    <xf numFmtId="0" fontId="20" fillId="0" borderId="0" xfId="0" applyFont="1" applyAlignment="1" applyProtection="1">
      <alignment horizontal="center" vertical="top" textRotation="90" wrapText="1"/>
      <protection hidden="1"/>
    </xf>
    <xf numFmtId="0" fontId="20" fillId="4" borderId="0" xfId="0" applyFont="1" applyFill="1" applyAlignment="1" applyProtection="1">
      <alignment horizontal="center" textRotation="90"/>
      <protection hidden="1"/>
    </xf>
    <xf numFmtId="0" fontId="53" fillId="4" borderId="0" xfId="0" applyFont="1" applyFill="1" applyAlignment="1" applyProtection="1">
      <alignment horizontal="right" vertical="center" wrapText="1" indent="2"/>
      <protection hidden="1"/>
    </xf>
    <xf numFmtId="0" fontId="259" fillId="4" borderId="0" xfId="0" applyFont="1" applyFill="1" applyAlignment="1" applyProtection="1">
      <alignment horizontal="left" vertical="top" indent="1"/>
      <protection hidden="1"/>
    </xf>
    <xf numFmtId="0" fontId="13" fillId="4" borderId="0" xfId="0" applyFont="1" applyFill="1" applyAlignment="1" applyProtection="1">
      <alignment horizontal="center" vertical="center"/>
      <protection hidden="1"/>
    </xf>
    <xf numFmtId="0" fontId="32" fillId="4" borderId="0" xfId="0" applyFont="1" applyFill="1" applyAlignment="1" applyProtection="1">
      <alignment horizontal="center" vertical="center"/>
      <protection hidden="1"/>
    </xf>
    <xf numFmtId="168" fontId="283" fillId="4" borderId="0" xfId="0" applyNumberFormat="1" applyFont="1" applyFill="1" applyAlignment="1" applyProtection="1">
      <alignment horizontal="left" vertical="top"/>
      <protection hidden="1"/>
    </xf>
    <xf numFmtId="0" fontId="128" fillId="0" borderId="257" xfId="0" applyFont="1" applyBorder="1" applyAlignment="1" applyProtection="1">
      <alignment horizontal="left" vertical="center" indent="3"/>
      <protection hidden="1"/>
    </xf>
    <xf numFmtId="0" fontId="128" fillId="0" borderId="170" xfId="0" applyFont="1" applyBorder="1" applyAlignment="1" applyProtection="1">
      <alignment horizontal="left" vertical="center" indent="3"/>
      <protection hidden="1"/>
    </xf>
    <xf numFmtId="0" fontId="19" fillId="4" borderId="0" xfId="0" applyFont="1" applyFill="1" applyAlignment="1" applyProtection="1">
      <alignment horizontal="left" indent="4"/>
      <protection hidden="1"/>
    </xf>
    <xf numFmtId="0" fontId="20" fillId="0" borderId="0" xfId="0" applyFont="1" applyAlignment="1" applyProtection="1">
      <alignment horizontal="center" vertical="top" textRotation="90"/>
      <protection hidden="1"/>
    </xf>
    <xf numFmtId="0" fontId="15" fillId="4" borderId="257" xfId="0" applyFont="1" applyFill="1" applyBorder="1" applyAlignment="1" applyProtection="1">
      <alignment horizontal="left" vertical="center" indent="1"/>
      <protection hidden="1"/>
    </xf>
    <xf numFmtId="0" fontId="15" fillId="4" borderId="170" xfId="0" applyFont="1" applyFill="1" applyBorder="1" applyAlignment="1" applyProtection="1">
      <alignment horizontal="left" vertical="center" indent="1"/>
      <protection hidden="1"/>
    </xf>
    <xf numFmtId="0" fontId="79" fillId="4" borderId="0" xfId="0" applyFont="1" applyFill="1" applyAlignment="1" applyProtection="1">
      <alignment horizontal="left" vertical="top" wrapText="1" indent="1"/>
      <protection hidden="1"/>
    </xf>
    <xf numFmtId="167" fontId="283" fillId="4" borderId="0" xfId="0" applyNumberFormat="1" applyFont="1" applyFill="1" applyAlignment="1" applyProtection="1">
      <alignment horizontal="left" vertical="top"/>
      <protection hidden="1"/>
    </xf>
    <xf numFmtId="0" fontId="79" fillId="4" borderId="251" xfId="0" applyFont="1" applyFill="1" applyBorder="1" applyAlignment="1" applyProtection="1">
      <alignment horizontal="left" vertical="top" wrapText="1" indent="1"/>
      <protection hidden="1"/>
    </xf>
    <xf numFmtId="167" fontId="298" fillId="4" borderId="0" xfId="0" applyNumberFormat="1" applyFont="1" applyFill="1" applyAlignment="1" applyProtection="1">
      <alignment horizontal="center" vertical="top"/>
      <protection hidden="1"/>
    </xf>
    <xf numFmtId="167" fontId="299" fillId="4" borderId="0" xfId="0" applyNumberFormat="1" applyFont="1" applyFill="1" applyAlignment="1" applyProtection="1">
      <alignment horizontal="center" vertical="top"/>
      <protection hidden="1"/>
    </xf>
    <xf numFmtId="167" fontId="300" fillId="4" borderId="0" xfId="0" applyNumberFormat="1" applyFont="1" applyFill="1" applyAlignment="1" applyProtection="1">
      <alignment horizontal="center" vertical="top"/>
      <protection hidden="1"/>
    </xf>
    <xf numFmtId="167" fontId="301" fillId="4" borderId="0" xfId="0" applyNumberFormat="1" applyFont="1" applyFill="1" applyAlignment="1" applyProtection="1">
      <alignment horizontal="center" vertical="top"/>
      <protection hidden="1"/>
    </xf>
    <xf numFmtId="167" fontId="302" fillId="4" borderId="0" xfId="0" applyNumberFormat="1" applyFont="1" applyFill="1" applyAlignment="1" applyProtection="1">
      <alignment horizontal="center" vertical="top"/>
      <protection hidden="1"/>
    </xf>
    <xf numFmtId="167" fontId="303" fillId="4" borderId="0" xfId="0" applyNumberFormat="1" applyFont="1" applyFill="1" applyAlignment="1" applyProtection="1">
      <alignment horizontal="center" vertical="top"/>
      <protection hidden="1"/>
    </xf>
    <xf numFmtId="0" fontId="291" fillId="4" borderId="42" xfId="0" applyFont="1" applyFill="1" applyBorder="1" applyAlignment="1" applyProtection="1">
      <alignment horizontal="left" vertical="top" wrapText="1"/>
      <protection hidden="1"/>
    </xf>
    <xf numFmtId="0" fontId="291" fillId="4" borderId="44" xfId="0" applyFont="1" applyFill="1" applyBorder="1" applyAlignment="1" applyProtection="1">
      <alignment horizontal="left" vertical="top" wrapText="1"/>
      <protection hidden="1"/>
    </xf>
    <xf numFmtId="0" fontId="291" fillId="4" borderId="43" xfId="0" applyFont="1" applyFill="1" applyBorder="1" applyAlignment="1" applyProtection="1">
      <alignment horizontal="left" vertical="top" wrapText="1"/>
      <protection hidden="1"/>
    </xf>
    <xf numFmtId="0" fontId="1" fillId="9" borderId="0" xfId="0" applyFont="1" applyFill="1" applyAlignment="1" applyProtection="1">
      <alignment horizontal="center"/>
      <protection hidden="1"/>
    </xf>
    <xf numFmtId="0" fontId="128" fillId="0" borderId="143" xfId="0" applyFont="1" applyBorder="1" applyAlignment="1" applyProtection="1">
      <alignment horizontal="left" vertical="center" indent="3"/>
      <protection hidden="1"/>
    </xf>
    <xf numFmtId="164" fontId="175" fillId="4" borderId="0" xfId="0" applyNumberFormat="1" applyFont="1" applyFill="1" applyAlignment="1" applyProtection="1">
      <alignment horizontal="left" indent="1"/>
      <protection hidden="1"/>
    </xf>
    <xf numFmtId="0" fontId="83" fillId="4" borderId="0" xfId="0" applyFont="1" applyFill="1" applyAlignment="1" applyProtection="1">
      <alignment horizontal="center"/>
      <protection hidden="1"/>
    </xf>
    <xf numFmtId="164" fontId="74" fillId="4" borderId="31" xfId="0" applyNumberFormat="1" applyFont="1" applyFill="1" applyBorder="1" applyAlignment="1" applyProtection="1">
      <alignment horizontal="right" vertical="center" indent="1"/>
      <protection hidden="1"/>
    </xf>
    <xf numFmtId="164" fontId="74" fillId="4" borderId="28" xfId="0" applyNumberFormat="1" applyFont="1" applyFill="1" applyBorder="1" applyAlignment="1" applyProtection="1">
      <alignment horizontal="right" vertical="center"/>
      <protection hidden="1"/>
    </xf>
    <xf numFmtId="0" fontId="284" fillId="40" borderId="0" xfId="3" applyFont="1" applyFill="1" applyAlignment="1" applyProtection="1">
      <alignment horizontal="right" vertical="center" indent="1"/>
      <protection locked="0" hidden="1"/>
    </xf>
    <xf numFmtId="0" fontId="9" fillId="43" borderId="0" xfId="0" applyFont="1" applyFill="1" applyAlignment="1" applyProtection="1">
      <alignment horizontal="left" vertical="center" indent="1"/>
      <protection hidden="1"/>
    </xf>
    <xf numFmtId="0" fontId="5" fillId="43" borderId="0" xfId="0" applyFont="1" applyFill="1" applyAlignment="1" applyProtection="1">
      <alignment horizontal="center" vertical="top"/>
      <protection hidden="1"/>
    </xf>
    <xf numFmtId="0" fontId="9" fillId="43" borderId="0" xfId="0" applyFont="1" applyFill="1" applyAlignment="1" applyProtection="1">
      <alignment horizontal="left" vertical="center" wrapText="1" indent="9"/>
      <protection hidden="1"/>
    </xf>
    <xf numFmtId="0" fontId="9" fillId="43" borderId="0" xfId="0" applyFont="1" applyFill="1" applyAlignment="1" applyProtection="1">
      <alignment horizontal="left" vertical="top" wrapText="1" indent="12"/>
      <protection hidden="1"/>
    </xf>
    <xf numFmtId="0" fontId="9" fillId="43" borderId="0" xfId="0" applyFont="1" applyFill="1" applyAlignment="1" applyProtection="1">
      <alignment horizontal="left" vertical="center" indent="12"/>
      <protection hidden="1"/>
    </xf>
    <xf numFmtId="0" fontId="5" fillId="43" borderId="0" xfId="0" applyFont="1" applyFill="1" applyAlignment="1" applyProtection="1">
      <alignment horizontal="right" wrapText="1" indent="1"/>
      <protection hidden="1"/>
    </xf>
    <xf numFmtId="0" fontId="5" fillId="43" borderId="46" xfId="0" applyFont="1" applyFill="1" applyBorder="1" applyAlignment="1" applyProtection="1">
      <alignment horizontal="right" wrapText="1" indent="1"/>
      <protection hidden="1"/>
    </xf>
    <xf numFmtId="0" fontId="124" fillId="43" borderId="0" xfId="3" applyFont="1" applyFill="1" applyAlignment="1" applyProtection="1">
      <alignment horizontal="left" indent="1"/>
      <protection locked="0" hidden="1"/>
    </xf>
    <xf numFmtId="0" fontId="124" fillId="43" borderId="0" xfId="3" applyFont="1" applyFill="1" applyAlignment="1" applyProtection="1">
      <alignment horizontal="left"/>
      <protection locked="0" hidden="1"/>
    </xf>
    <xf numFmtId="0" fontId="38" fillId="43" borderId="2" xfId="0" applyFont="1" applyFill="1" applyBorder="1" applyAlignment="1" applyProtection="1">
      <alignment horizontal="left" vertical="top" wrapText="1" indent="4"/>
      <protection hidden="1"/>
    </xf>
    <xf numFmtId="0" fontId="3" fillId="43" borderId="2" xfId="0" applyFont="1" applyFill="1" applyBorder="1" applyAlignment="1" applyProtection="1">
      <alignment horizontal="right" vertical="center" wrapText="1" indent="1"/>
      <protection hidden="1"/>
    </xf>
    <xf numFmtId="0" fontId="7" fillId="41" borderId="0" xfId="0" applyFont="1" applyFill="1" applyAlignment="1" applyProtection="1">
      <alignment horizontal="center" vertical="center"/>
      <protection hidden="1"/>
    </xf>
    <xf numFmtId="0" fontId="31" fillId="40" borderId="0" xfId="0" applyFont="1" applyFill="1" applyAlignment="1" applyProtection="1">
      <alignment horizontal="left" vertical="center"/>
      <protection hidden="1"/>
    </xf>
    <xf numFmtId="0" fontId="31" fillId="40" borderId="0" xfId="0" applyFont="1" applyFill="1" applyAlignment="1" applyProtection="1">
      <alignment horizontal="left" vertical="center" indent="1"/>
      <protection hidden="1"/>
    </xf>
    <xf numFmtId="167" fontId="350" fillId="4" borderId="0" xfId="0" applyNumberFormat="1" applyFont="1" applyFill="1" applyAlignment="1" applyProtection="1">
      <alignment horizontal="right" vertical="top"/>
      <protection hidden="1"/>
    </xf>
    <xf numFmtId="167" fontId="257" fillId="4" borderId="0" xfId="0" applyNumberFormat="1" applyFont="1" applyFill="1" applyAlignment="1" applyProtection="1">
      <alignment horizontal="right" vertical="top"/>
      <protection hidden="1"/>
    </xf>
    <xf numFmtId="167" fontId="258" fillId="4" borderId="0" xfId="0" applyNumberFormat="1" applyFont="1" applyFill="1" applyAlignment="1" applyProtection="1">
      <alignment horizontal="right" vertical="top"/>
      <protection hidden="1"/>
    </xf>
    <xf numFmtId="168" fontId="283" fillId="4" borderId="0" xfId="0" applyNumberFormat="1" applyFont="1" applyFill="1" applyAlignment="1" applyProtection="1">
      <alignment horizontal="left" vertical="center"/>
      <protection hidden="1"/>
    </xf>
    <xf numFmtId="0" fontId="1" fillId="41" borderId="0" xfId="0" applyFont="1" applyFill="1" applyAlignment="1" applyProtection="1">
      <alignment horizontal="center"/>
      <protection hidden="1"/>
    </xf>
    <xf numFmtId="167" fontId="348" fillId="4" borderId="0" xfId="0" applyNumberFormat="1" applyFont="1" applyFill="1" applyAlignment="1" applyProtection="1">
      <alignment horizontal="right" vertical="top"/>
      <protection hidden="1"/>
    </xf>
    <xf numFmtId="167" fontId="349" fillId="4" borderId="0" xfId="0" applyNumberFormat="1" applyFont="1" applyFill="1" applyAlignment="1" applyProtection="1">
      <alignment horizontal="right" vertical="top"/>
      <protection hidden="1"/>
    </xf>
    <xf numFmtId="167" fontId="243" fillId="4" borderId="0" xfId="0" applyNumberFormat="1" applyFont="1" applyFill="1" applyAlignment="1" applyProtection="1">
      <alignment horizontal="right" vertical="top"/>
      <protection hidden="1"/>
    </xf>
    <xf numFmtId="14" fontId="184" fillId="41" borderId="0" xfId="0" applyNumberFormat="1" applyFont="1" applyFill="1" applyAlignment="1" applyProtection="1">
      <alignment horizontal="right" vertical="center"/>
      <protection hidden="1"/>
    </xf>
    <xf numFmtId="0" fontId="55" fillId="40" borderId="0" xfId="0" applyFont="1" applyFill="1" applyAlignment="1" applyProtection="1">
      <alignment horizontal="right" vertical="top"/>
      <protection hidden="1"/>
    </xf>
    <xf numFmtId="167" fontId="283" fillId="4" borderId="0" xfId="0" applyNumberFormat="1" applyFont="1" applyFill="1" applyAlignment="1" applyProtection="1">
      <alignment horizontal="left" vertical="center"/>
      <protection hidden="1"/>
    </xf>
    <xf numFmtId="0" fontId="284" fillId="46" borderId="0" xfId="3" applyFont="1" applyFill="1" applyAlignment="1" applyProtection="1">
      <alignment horizontal="right" vertical="center" indent="1"/>
      <protection locked="0" hidden="1"/>
    </xf>
    <xf numFmtId="0" fontId="124" fillId="48" borderId="0" xfId="3" applyFont="1" applyFill="1" applyAlignment="1" applyProtection="1">
      <alignment horizontal="left" indent="1"/>
      <protection locked="0" hidden="1"/>
    </xf>
    <xf numFmtId="0" fontId="9" fillId="48" borderId="0" xfId="0" applyFont="1" applyFill="1" applyAlignment="1" applyProtection="1">
      <alignment horizontal="left" vertical="center" indent="1"/>
      <protection hidden="1"/>
    </xf>
    <xf numFmtId="0" fontId="5" fillId="48" borderId="0" xfId="0" applyFont="1" applyFill="1" applyAlignment="1" applyProtection="1">
      <alignment horizontal="center" vertical="top"/>
      <protection hidden="1"/>
    </xf>
    <xf numFmtId="0" fontId="254" fillId="48" borderId="0" xfId="0" applyFont="1" applyFill="1" applyAlignment="1" applyProtection="1">
      <alignment horizontal="left" vertical="center" indent="12"/>
      <protection hidden="1"/>
    </xf>
    <xf numFmtId="0" fontId="254" fillId="48" borderId="0" xfId="0" applyFont="1" applyFill="1" applyAlignment="1" applyProtection="1">
      <alignment horizontal="left" vertical="center" wrapText="1" indent="9"/>
      <protection hidden="1"/>
    </xf>
    <xf numFmtId="0" fontId="253" fillId="4" borderId="3" xfId="0" applyFont="1" applyFill="1" applyBorder="1" applyAlignment="1" applyProtection="1">
      <alignment horizontal="left" vertical="center" wrapText="1" indent="2"/>
      <protection hidden="1"/>
    </xf>
    <xf numFmtId="0" fontId="253" fillId="4" borderId="2" xfId="0" applyFont="1" applyFill="1" applyBorder="1" applyAlignment="1" applyProtection="1">
      <alignment horizontal="left" vertical="center" wrapText="1" indent="2"/>
      <protection hidden="1"/>
    </xf>
    <xf numFmtId="0" fontId="5" fillId="31" borderId="58" xfId="0" applyFont="1" applyFill="1" applyBorder="1" applyAlignment="1" applyProtection="1">
      <alignment horizontal="left" vertical="center" wrapText="1" indent="1"/>
      <protection locked="0"/>
    </xf>
    <xf numFmtId="0" fontId="5" fillId="31" borderId="48" xfId="0" applyFont="1" applyFill="1" applyBorder="1" applyAlignment="1" applyProtection="1">
      <alignment horizontal="left" vertical="center" wrapText="1" indent="1"/>
      <protection locked="0"/>
    </xf>
    <xf numFmtId="0" fontId="5" fillId="31" borderId="59" xfId="0" applyFont="1" applyFill="1" applyBorder="1" applyAlignment="1" applyProtection="1">
      <alignment horizontal="left" vertical="center" wrapText="1" indent="1"/>
      <protection locked="0"/>
    </xf>
    <xf numFmtId="0" fontId="64" fillId="4" borderId="7" xfId="0" applyFont="1" applyFill="1" applyBorder="1" applyAlignment="1" applyProtection="1">
      <alignment horizontal="left" vertical="center" wrapText="1" indent="10"/>
      <protection hidden="1"/>
    </xf>
    <xf numFmtId="0" fontId="64" fillId="4" borderId="0" xfId="0" applyFont="1" applyFill="1" applyAlignment="1" applyProtection="1">
      <alignment horizontal="left" vertical="center" wrapText="1" indent="10"/>
      <protection hidden="1"/>
    </xf>
    <xf numFmtId="0" fontId="64" fillId="4" borderId="46" xfId="0" applyFont="1" applyFill="1" applyBorder="1" applyAlignment="1" applyProtection="1">
      <alignment horizontal="left" vertical="center" wrapText="1" indent="10"/>
      <protection hidden="1"/>
    </xf>
    <xf numFmtId="0" fontId="64" fillId="4" borderId="4" xfId="0" applyFont="1" applyFill="1" applyBorder="1" applyAlignment="1" applyProtection="1">
      <alignment horizontal="left" vertical="center" wrapText="1" indent="10"/>
      <protection hidden="1"/>
    </xf>
    <xf numFmtId="0" fontId="64" fillId="4" borderId="8" xfId="0" applyFont="1" applyFill="1" applyBorder="1" applyAlignment="1" applyProtection="1">
      <alignment horizontal="left" vertical="center" wrapText="1" indent="10"/>
      <protection hidden="1"/>
    </xf>
    <xf numFmtId="0" fontId="64" fillId="4" borderId="5" xfId="0" applyFont="1" applyFill="1" applyBorder="1" applyAlignment="1" applyProtection="1">
      <alignment horizontal="left" vertical="center" wrapText="1" indent="10"/>
      <protection hidden="1"/>
    </xf>
    <xf numFmtId="0" fontId="5" fillId="48" borderId="0" xfId="0" applyFont="1" applyFill="1" applyAlignment="1" applyProtection="1">
      <alignment horizontal="right" wrapText="1" indent="1"/>
      <protection hidden="1"/>
    </xf>
    <xf numFmtId="0" fontId="5" fillId="48" borderId="46" xfId="0" applyFont="1" applyFill="1" applyBorder="1" applyAlignment="1" applyProtection="1">
      <alignment horizontal="right" wrapText="1" indent="1"/>
      <protection hidden="1"/>
    </xf>
    <xf numFmtId="0" fontId="124" fillId="48" borderId="0" xfId="3" applyFont="1" applyFill="1" applyAlignment="1" applyProtection="1">
      <alignment horizontal="left"/>
      <protection locked="0" hidden="1"/>
    </xf>
    <xf numFmtId="0" fontId="38" fillId="48" borderId="2" xfId="0" applyFont="1" applyFill="1" applyBorder="1" applyAlignment="1" applyProtection="1">
      <alignment horizontal="left" vertical="top" wrapText="1" indent="4"/>
      <protection hidden="1"/>
    </xf>
    <xf numFmtId="0" fontId="3" fillId="48" borderId="2" xfId="0" applyFont="1" applyFill="1" applyBorder="1" applyAlignment="1" applyProtection="1">
      <alignment horizontal="right" vertical="center" wrapText="1" indent="1"/>
      <protection hidden="1"/>
    </xf>
    <xf numFmtId="167" fontId="351" fillId="4" borderId="0" xfId="0" applyNumberFormat="1" applyFont="1" applyFill="1" applyAlignment="1" applyProtection="1">
      <alignment horizontal="center" vertical="top"/>
      <protection hidden="1"/>
    </xf>
    <xf numFmtId="167" fontId="352" fillId="4" borderId="0" xfId="0" applyNumberFormat="1" applyFont="1" applyFill="1" applyAlignment="1" applyProtection="1">
      <alignment horizontal="center" vertical="top"/>
      <protection hidden="1"/>
    </xf>
    <xf numFmtId="167" fontId="353" fillId="4" borderId="0" xfId="0" applyNumberFormat="1" applyFont="1" applyFill="1" applyAlignment="1" applyProtection="1">
      <alignment horizontal="center" vertical="top"/>
      <protection hidden="1"/>
    </xf>
    <xf numFmtId="0" fontId="7" fillId="45" borderId="0" xfId="0" applyFont="1" applyFill="1" applyAlignment="1" applyProtection="1">
      <alignment horizontal="center" vertical="center"/>
      <protection hidden="1"/>
    </xf>
    <xf numFmtId="14" fontId="184" fillId="45" borderId="0" xfId="0" applyNumberFormat="1" applyFont="1" applyFill="1" applyAlignment="1" applyProtection="1">
      <alignment horizontal="right" vertical="center"/>
      <protection hidden="1"/>
    </xf>
    <xf numFmtId="0" fontId="55" fillId="46" borderId="0" xfId="0" applyFont="1" applyFill="1" applyAlignment="1" applyProtection="1">
      <alignment horizontal="right" vertical="top"/>
      <protection hidden="1"/>
    </xf>
    <xf numFmtId="167" fontId="356" fillId="4" borderId="0" xfId="0" applyNumberFormat="1" applyFont="1" applyFill="1" applyAlignment="1" applyProtection="1">
      <alignment horizontal="center" vertical="top"/>
      <protection hidden="1"/>
    </xf>
    <xf numFmtId="0" fontId="31" fillId="46" borderId="0" xfId="0" applyFont="1" applyFill="1" applyAlignment="1" applyProtection="1">
      <alignment horizontal="left" vertical="center"/>
      <protection hidden="1"/>
    </xf>
    <xf numFmtId="167" fontId="354" fillId="4" borderId="0" xfId="0" applyNumberFormat="1" applyFont="1" applyFill="1" applyAlignment="1" applyProtection="1">
      <alignment horizontal="center" vertical="top"/>
      <protection hidden="1"/>
    </xf>
    <xf numFmtId="167" fontId="355" fillId="4" borderId="0" xfId="0" applyNumberFormat="1" applyFont="1" applyFill="1" applyAlignment="1" applyProtection="1">
      <alignment horizontal="center" vertical="top"/>
      <protection hidden="1"/>
    </xf>
    <xf numFmtId="0" fontId="31" fillId="46" borderId="0" xfId="0" applyFont="1" applyFill="1" applyAlignment="1" applyProtection="1">
      <alignment horizontal="left" vertical="center" indent="1"/>
      <protection hidden="1"/>
    </xf>
    <xf numFmtId="167" fontId="358" fillId="4" borderId="0" xfId="0" applyNumberFormat="1" applyFont="1" applyFill="1" applyAlignment="1" applyProtection="1">
      <alignment horizontal="right"/>
      <protection hidden="1"/>
    </xf>
    <xf numFmtId="167" fontId="360" fillId="4" borderId="0" xfId="0" applyNumberFormat="1" applyFont="1" applyFill="1" applyAlignment="1" applyProtection="1">
      <alignment horizontal="right"/>
      <protection hidden="1"/>
    </xf>
    <xf numFmtId="0" fontId="1" fillId="45" borderId="0" xfId="0" applyFont="1" applyFill="1" applyAlignment="1" applyProtection="1">
      <alignment horizontal="center"/>
      <protection hidden="1"/>
    </xf>
    <xf numFmtId="167" fontId="44" fillId="0" borderId="54" xfId="0" applyNumberFormat="1" applyFont="1" applyBorder="1" applyAlignment="1" applyProtection="1">
      <alignment horizontal="right" vertical="center" wrapText="1"/>
      <protection hidden="1"/>
    </xf>
    <xf numFmtId="167" fontId="44" fillId="0" borderId="5" xfId="0" applyNumberFormat="1" applyFont="1" applyBorder="1" applyAlignment="1" applyProtection="1">
      <alignment horizontal="right" vertical="center" wrapText="1"/>
      <protection hidden="1"/>
    </xf>
    <xf numFmtId="167" fontId="44" fillId="0" borderId="3" xfId="0" applyNumberFormat="1" applyFont="1" applyBorder="1" applyAlignment="1" applyProtection="1">
      <alignment horizontal="right" vertical="center" wrapText="1"/>
      <protection hidden="1"/>
    </xf>
    <xf numFmtId="167" fontId="44" fillId="0" borderId="4" xfId="0" applyNumberFormat="1" applyFont="1" applyBorder="1" applyAlignment="1" applyProtection="1">
      <alignment horizontal="right" vertical="center" wrapText="1"/>
      <protection hidden="1"/>
    </xf>
    <xf numFmtId="0" fontId="4" fillId="0" borderId="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79" xfId="0" applyFont="1" applyBorder="1" applyAlignment="1">
      <alignment horizontal="center" vertical="center" wrapText="1"/>
    </xf>
    <xf numFmtId="0" fontId="0" fillId="0" borderId="6" xfId="0" applyBorder="1" applyAlignment="1">
      <alignment horizontal="center" vertical="center"/>
    </xf>
    <xf numFmtId="0" fontId="0" fillId="0" borderId="63" xfId="0" applyBorder="1" applyAlignment="1">
      <alignment horizontal="center" vertical="center"/>
    </xf>
    <xf numFmtId="0" fontId="0" fillId="0" borderId="79" xfId="0" applyBorder="1" applyAlignment="1">
      <alignment horizontal="center" vertical="center"/>
    </xf>
    <xf numFmtId="0" fontId="156" fillId="4" borderId="229" xfId="0" applyFont="1" applyFill="1" applyBorder="1" applyAlignment="1">
      <alignment horizontal="left" vertical="center"/>
    </xf>
    <xf numFmtId="0" fontId="156" fillId="4" borderId="230" xfId="0" applyFont="1" applyFill="1" applyBorder="1" applyAlignment="1">
      <alignment horizontal="left" vertical="center"/>
    </xf>
    <xf numFmtId="167" fontId="5" fillId="0" borderId="0" xfId="0" applyNumberFormat="1" applyFont="1" applyAlignment="1">
      <alignment horizontal="left" vertical="center"/>
    </xf>
    <xf numFmtId="0" fontId="5" fillId="0" borderId="0" xfId="0" applyFont="1" applyAlignment="1">
      <alignment horizontal="left" vertical="center"/>
    </xf>
    <xf numFmtId="0" fontId="5" fillId="0" borderId="0" xfId="0" applyFont="1" applyAlignment="1">
      <alignment horizontal="left" vertical="top" wrapText="1" indent="1"/>
    </xf>
    <xf numFmtId="0" fontId="4" fillId="0" borderId="2" xfId="0" applyFont="1" applyBorder="1" applyAlignment="1">
      <alignment horizontal="right" vertical="center" wrapText="1"/>
    </xf>
    <xf numFmtId="0" fontId="4" fillId="0" borderId="0" xfId="0" applyFont="1" applyAlignment="1">
      <alignment horizontal="right" vertical="center" wrapText="1"/>
    </xf>
    <xf numFmtId="1" fontId="0" fillId="0" borderId="54" xfId="0" applyNumberFormat="1" applyBorder="1" applyAlignment="1">
      <alignment horizontal="center" vertical="center"/>
    </xf>
    <xf numFmtId="1" fontId="0" fillId="0" borderId="46" xfId="0" applyNumberFormat="1" applyBorder="1" applyAlignment="1">
      <alignment horizontal="center" vertical="center"/>
    </xf>
    <xf numFmtId="1" fontId="0" fillId="0" borderId="5" xfId="0" applyNumberFormat="1" applyBorder="1" applyAlignment="1">
      <alignment horizontal="center" vertical="center"/>
    </xf>
    <xf numFmtId="0" fontId="0" fillId="0" borderId="0" xfId="0" applyAlignment="1">
      <alignment horizontal="right" vertical="center"/>
    </xf>
    <xf numFmtId="0" fontId="4" fillId="56" borderId="0" xfId="0" applyFont="1" applyFill="1" applyAlignment="1">
      <alignment horizontal="left" vertical="center" wrapText="1"/>
    </xf>
    <xf numFmtId="164" fontId="295" fillId="4" borderId="0" xfId="0" applyNumberFormat="1" applyFont="1" applyFill="1" applyAlignment="1" applyProtection="1">
      <alignment horizontal="right" vertical="center" wrapText="1" indent="1"/>
      <protection hidden="1"/>
    </xf>
    <xf numFmtId="164" fontId="295" fillId="4" borderId="355" xfId="0" applyNumberFormat="1" applyFont="1" applyFill="1" applyBorder="1" applyAlignment="1" applyProtection="1">
      <alignment horizontal="right" vertical="center" wrapText="1" indent="1"/>
      <protection hidden="1"/>
    </xf>
    <xf numFmtId="1" fontId="335" fillId="4" borderId="0" xfId="0" applyNumberFormat="1" applyFont="1" applyFill="1" applyAlignment="1" applyProtection="1">
      <alignment horizontal="center" vertical="center"/>
      <protection hidden="1"/>
    </xf>
    <xf numFmtId="1" fontId="335" fillId="4" borderId="15" xfId="0" applyNumberFormat="1" applyFont="1" applyFill="1" applyBorder="1" applyAlignment="1" applyProtection="1">
      <alignment horizontal="center" vertical="center"/>
      <protection hidden="1"/>
    </xf>
    <xf numFmtId="0" fontId="30" fillId="4" borderId="0" xfId="0" applyFont="1" applyFill="1" applyAlignment="1" applyProtection="1">
      <alignment horizontal="right" vertical="center"/>
      <protection hidden="1"/>
    </xf>
    <xf numFmtId="0" fontId="82" fillId="4" borderId="370" xfId="0" applyFont="1" applyFill="1" applyBorder="1" applyAlignment="1" applyProtection="1">
      <alignment horizontal="left" vertical="top" wrapText="1" indent="1"/>
      <protection hidden="1"/>
    </xf>
    <xf numFmtId="0" fontId="82" fillId="4" borderId="0" xfId="0" applyFont="1" applyFill="1" applyAlignment="1" applyProtection="1">
      <alignment horizontal="left" vertical="top" wrapText="1" indent="1"/>
      <protection hidden="1"/>
    </xf>
    <xf numFmtId="164" fontId="329" fillId="4" borderId="358" xfId="0" applyNumberFormat="1" applyFont="1" applyFill="1" applyBorder="1" applyAlignment="1" applyProtection="1">
      <alignment horizontal="center" vertical="center"/>
      <protection hidden="1"/>
    </xf>
    <xf numFmtId="0" fontId="295" fillId="4" borderId="0" xfId="0" applyFont="1" applyFill="1" applyAlignment="1" applyProtection="1">
      <alignment horizontal="left" vertical="center" wrapText="1"/>
      <protection hidden="1"/>
    </xf>
    <xf numFmtId="0" fontId="295" fillId="4" borderId="356" xfId="0" applyFont="1" applyFill="1" applyBorder="1" applyAlignment="1" applyProtection="1">
      <alignment horizontal="left" vertical="center" wrapText="1"/>
      <protection hidden="1"/>
    </xf>
    <xf numFmtId="0" fontId="137" fillId="51" borderId="14" xfId="0" applyFont="1" applyFill="1" applyBorder="1" applyAlignment="1" applyProtection="1">
      <alignment horizontal="right" vertical="center"/>
      <protection hidden="1"/>
    </xf>
    <xf numFmtId="0" fontId="137" fillId="51" borderId="0" xfId="0" applyFont="1" applyFill="1" applyAlignment="1" applyProtection="1">
      <alignment horizontal="right" vertical="center"/>
      <protection hidden="1"/>
    </xf>
    <xf numFmtId="0" fontId="137" fillId="52" borderId="14" xfId="0" applyFont="1" applyFill="1" applyBorder="1" applyAlignment="1" applyProtection="1">
      <alignment horizontal="right" vertical="center"/>
      <protection hidden="1"/>
    </xf>
    <xf numFmtId="164" fontId="295" fillId="4" borderId="357" xfId="0" applyNumberFormat="1" applyFont="1" applyFill="1" applyBorder="1" applyAlignment="1" applyProtection="1">
      <alignment horizontal="right" vertical="center" wrapText="1" indent="1"/>
      <protection hidden="1"/>
    </xf>
    <xf numFmtId="164" fontId="295" fillId="4" borderId="356" xfId="0" applyNumberFormat="1" applyFont="1" applyFill="1" applyBorder="1" applyAlignment="1" applyProtection="1">
      <alignment horizontal="right" vertical="center" wrapText="1" indent="1"/>
      <protection hidden="1"/>
    </xf>
    <xf numFmtId="164" fontId="329" fillId="4" borderId="16" xfId="0" applyNumberFormat="1" applyFont="1" applyFill="1" applyBorder="1" applyAlignment="1" applyProtection="1">
      <alignment horizontal="left" vertical="center"/>
      <protection hidden="1"/>
    </xf>
    <xf numFmtId="165" fontId="337" fillId="0" borderId="0" xfId="0" applyNumberFormat="1" applyFont="1" applyAlignment="1" applyProtection="1">
      <alignment horizontal="right" vertical="center"/>
      <protection hidden="1"/>
    </xf>
    <xf numFmtId="0" fontId="220" fillId="13" borderId="382" xfId="0" applyFont="1" applyFill="1" applyBorder="1" applyAlignment="1" applyProtection="1">
      <alignment horizontal="right" vertical="center" wrapText="1"/>
      <protection hidden="1"/>
    </xf>
    <xf numFmtId="0" fontId="220" fillId="13" borderId="93" xfId="0" applyFont="1" applyFill="1" applyBorder="1" applyAlignment="1" applyProtection="1">
      <alignment horizontal="right" vertical="center" wrapText="1"/>
      <protection hidden="1"/>
    </xf>
    <xf numFmtId="0" fontId="220" fillId="15" borderId="379" xfId="0" applyFont="1" applyFill="1" applyBorder="1" applyAlignment="1" applyProtection="1">
      <alignment horizontal="right" vertical="center" wrapText="1"/>
      <protection hidden="1"/>
    </xf>
    <xf numFmtId="0" fontId="220" fillId="15" borderId="95" xfId="0" applyFont="1" applyFill="1" applyBorder="1" applyAlignment="1" applyProtection="1">
      <alignment horizontal="right" vertical="center" wrapText="1"/>
      <protection hidden="1"/>
    </xf>
    <xf numFmtId="0" fontId="220" fillId="15" borderId="381" xfId="0" applyFont="1" applyFill="1" applyBorder="1" applyAlignment="1" applyProtection="1">
      <alignment horizontal="right" vertical="center" wrapText="1"/>
      <protection hidden="1"/>
    </xf>
    <xf numFmtId="0" fontId="220" fillId="15" borderId="10" xfId="0" applyFont="1" applyFill="1" applyBorder="1" applyAlignment="1" applyProtection="1">
      <alignment horizontal="right" vertical="center" wrapText="1"/>
      <protection hidden="1"/>
    </xf>
    <xf numFmtId="0" fontId="137" fillId="54" borderId="330" xfId="0" applyFont="1" applyFill="1" applyBorder="1" applyAlignment="1" applyProtection="1">
      <alignment horizontal="right" vertical="center"/>
      <protection hidden="1"/>
    </xf>
    <xf numFmtId="0" fontId="137" fillId="54" borderId="0" xfId="0" applyFont="1" applyFill="1" applyAlignment="1" applyProtection="1">
      <alignment horizontal="right" vertical="center"/>
      <protection hidden="1"/>
    </xf>
    <xf numFmtId="0" fontId="218" fillId="4" borderId="22" xfId="0" applyFont="1" applyFill="1" applyBorder="1" applyAlignment="1" applyProtection="1">
      <alignment horizontal="left" vertical="center"/>
      <protection hidden="1"/>
    </xf>
    <xf numFmtId="0" fontId="219" fillId="16" borderId="93" xfId="0" applyFont="1" applyFill="1" applyBorder="1" applyAlignment="1" applyProtection="1">
      <alignment horizontal="left" vertical="center" wrapText="1" indent="1"/>
      <protection hidden="1"/>
    </xf>
    <xf numFmtId="0" fontId="220" fillId="15" borderId="375" xfId="0" applyFont="1" applyFill="1" applyBorder="1" applyAlignment="1" applyProtection="1">
      <alignment horizontal="right" vertical="center" wrapText="1"/>
      <protection hidden="1"/>
    </xf>
    <xf numFmtId="0" fontId="220" fillId="15" borderId="332" xfId="0" applyFont="1" applyFill="1" applyBorder="1" applyAlignment="1" applyProtection="1">
      <alignment horizontal="right" vertical="center" wrapText="1"/>
      <protection hidden="1"/>
    </xf>
    <xf numFmtId="167" fontId="346" fillId="4" borderId="0" xfId="0" applyNumberFormat="1" applyFont="1" applyFill="1" applyAlignment="1" applyProtection="1">
      <alignment horizontal="center"/>
      <protection hidden="1"/>
    </xf>
    <xf numFmtId="167" fontId="283" fillId="4" borderId="0" xfId="0" applyNumberFormat="1" applyFont="1" applyFill="1" applyAlignment="1" applyProtection="1">
      <alignment horizontal="left"/>
      <protection hidden="1"/>
    </xf>
    <xf numFmtId="167" fontId="283" fillId="4" borderId="23" xfId="0" applyNumberFormat="1" applyFont="1" applyFill="1" applyBorder="1" applyAlignment="1" applyProtection="1">
      <alignment horizontal="left"/>
      <protection hidden="1"/>
    </xf>
    <xf numFmtId="0" fontId="70" fillId="4" borderId="0" xfId="0" applyFont="1" applyFill="1" applyAlignment="1" applyProtection="1">
      <alignment horizontal="left" vertical="center"/>
      <protection hidden="1"/>
    </xf>
    <xf numFmtId="1" fontId="218" fillId="4" borderId="0" xfId="0" applyNumberFormat="1" applyFont="1" applyFill="1" applyAlignment="1" applyProtection="1">
      <alignment horizontal="center" vertical="center"/>
      <protection hidden="1"/>
    </xf>
    <xf numFmtId="0" fontId="218" fillId="4" borderId="0" xfId="0" applyFont="1" applyFill="1" applyAlignment="1" applyProtection="1">
      <alignment horizontal="center" vertical="center"/>
      <protection hidden="1"/>
    </xf>
    <xf numFmtId="164" fontId="87" fillId="4" borderId="0" xfId="0" applyNumberFormat="1" applyFont="1" applyFill="1" applyAlignment="1" applyProtection="1">
      <alignment horizontal="left" vertical="center"/>
      <protection hidden="1"/>
    </xf>
    <xf numFmtId="164" fontId="222" fillId="4" borderId="0" xfId="0" applyNumberFormat="1" applyFont="1" applyFill="1" applyAlignment="1" applyProtection="1">
      <alignment horizontal="right" vertical="center" indent="1"/>
      <protection hidden="1"/>
    </xf>
    <xf numFmtId="0" fontId="183" fillId="54" borderId="11" xfId="0" applyFont="1" applyFill="1" applyBorder="1" applyAlignment="1" applyProtection="1">
      <alignment horizontal="center" vertical="center" wrapText="1"/>
      <protection hidden="1"/>
    </xf>
    <xf numFmtId="0" fontId="183" fillId="54" borderId="364" xfId="0" applyFont="1" applyFill="1" applyBorder="1" applyAlignment="1" applyProtection="1">
      <alignment horizontal="center" vertical="center" wrapText="1"/>
      <protection hidden="1"/>
    </xf>
    <xf numFmtId="0" fontId="183" fillId="51" borderId="12" xfId="0" applyFont="1" applyFill="1" applyBorder="1" applyAlignment="1" applyProtection="1">
      <alignment horizontal="center" vertical="center" wrapText="1"/>
      <protection hidden="1"/>
    </xf>
    <xf numFmtId="0" fontId="183" fillId="51" borderId="12" xfId="0" applyFont="1" applyFill="1" applyBorder="1" applyAlignment="1" applyProtection="1">
      <alignment horizontal="center" vertical="center"/>
      <protection hidden="1"/>
    </xf>
    <xf numFmtId="0" fontId="183" fillId="51" borderId="362" xfId="0" applyFont="1" applyFill="1" applyBorder="1" applyAlignment="1" applyProtection="1">
      <alignment horizontal="center" vertical="center"/>
      <protection hidden="1"/>
    </xf>
    <xf numFmtId="9" fontId="183" fillId="51" borderId="0" xfId="0" applyNumberFormat="1" applyFont="1" applyFill="1" applyAlignment="1" applyProtection="1">
      <alignment horizontal="center" vertical="top"/>
      <protection hidden="1"/>
    </xf>
    <xf numFmtId="0" fontId="183" fillId="51" borderId="0" xfId="0" applyFont="1" applyFill="1" applyAlignment="1" applyProtection="1">
      <alignment horizontal="center" vertical="top"/>
      <protection hidden="1"/>
    </xf>
    <xf numFmtId="9" fontId="183" fillId="51" borderId="0" xfId="0" applyNumberFormat="1" applyFont="1" applyFill="1" applyAlignment="1" applyProtection="1">
      <alignment horizontal="center" vertical="center"/>
      <protection hidden="1"/>
    </xf>
    <xf numFmtId="0" fontId="183" fillId="51" borderId="0" xfId="0" applyFont="1" applyFill="1" applyAlignment="1" applyProtection="1">
      <alignment horizontal="center" vertical="center"/>
      <protection hidden="1"/>
    </xf>
    <xf numFmtId="1" fontId="335" fillId="4" borderId="0" xfId="0" applyNumberFormat="1" applyFont="1" applyFill="1" applyAlignment="1" applyProtection="1">
      <alignment horizontal="left" vertical="top"/>
      <protection hidden="1"/>
    </xf>
    <xf numFmtId="1" fontId="335" fillId="4" borderId="15" xfId="0" applyNumberFormat="1" applyFont="1" applyFill="1" applyBorder="1" applyAlignment="1" applyProtection="1">
      <alignment horizontal="left" vertical="top"/>
      <protection hidden="1"/>
    </xf>
    <xf numFmtId="1" fontId="335" fillId="4" borderId="0" xfId="0" applyNumberFormat="1" applyFont="1" applyFill="1" applyAlignment="1" applyProtection="1">
      <alignment horizontal="left" vertical="center"/>
      <protection hidden="1"/>
    </xf>
    <xf numFmtId="1" fontId="335" fillId="4" borderId="15" xfId="0" applyNumberFormat="1" applyFont="1" applyFill="1" applyBorder="1" applyAlignment="1" applyProtection="1">
      <alignment horizontal="left" vertical="center"/>
      <protection hidden="1"/>
    </xf>
    <xf numFmtId="0" fontId="183" fillId="52" borderId="361" xfId="0" applyFont="1" applyFill="1" applyBorder="1" applyAlignment="1" applyProtection="1">
      <alignment horizontal="center" vertical="center" wrapText="1"/>
      <protection hidden="1"/>
    </xf>
    <xf numFmtId="0" fontId="183" fillId="52" borderId="363" xfId="0" applyFont="1" applyFill="1" applyBorder="1" applyAlignment="1" applyProtection="1">
      <alignment horizontal="center" vertical="center"/>
      <protection hidden="1"/>
    </xf>
    <xf numFmtId="0" fontId="87" fillId="4" borderId="11" xfId="0" applyFont="1" applyFill="1" applyBorder="1" applyAlignment="1" applyProtection="1">
      <alignment horizontal="left" vertical="center" indent="2"/>
      <protection hidden="1"/>
    </xf>
    <xf numFmtId="0" fontId="87" fillId="4" borderId="12" xfId="0" applyFont="1" applyFill="1" applyBorder="1" applyAlignment="1" applyProtection="1">
      <alignment horizontal="left" vertical="center" indent="2"/>
      <protection hidden="1"/>
    </xf>
    <xf numFmtId="0" fontId="87" fillId="4" borderId="17" xfId="0" applyFont="1" applyFill="1" applyBorder="1" applyAlignment="1" applyProtection="1">
      <alignment horizontal="left" vertical="center" indent="2"/>
      <protection hidden="1"/>
    </xf>
    <xf numFmtId="0" fontId="87" fillId="4" borderId="16" xfId="0" applyFont="1" applyFill="1" applyBorder="1" applyAlignment="1" applyProtection="1">
      <alignment horizontal="left" vertical="center" indent="2"/>
      <protection hidden="1"/>
    </xf>
    <xf numFmtId="9" fontId="74" fillId="4" borderId="14" xfId="0" applyNumberFormat="1" applyFont="1" applyFill="1" applyBorder="1" applyAlignment="1" applyProtection="1">
      <alignment horizontal="center" vertical="top"/>
      <protection hidden="1"/>
    </xf>
    <xf numFmtId="0" fontId="74" fillId="4" borderId="0" xfId="0" applyFont="1" applyFill="1" applyAlignment="1" applyProtection="1">
      <alignment horizontal="center" vertical="top"/>
      <protection hidden="1"/>
    </xf>
    <xf numFmtId="9" fontId="74" fillId="4" borderId="14" xfId="0" applyNumberFormat="1" applyFont="1" applyFill="1" applyBorder="1" applyAlignment="1" applyProtection="1">
      <alignment horizontal="center" vertical="center"/>
      <protection hidden="1"/>
    </xf>
    <xf numFmtId="0" fontId="74" fillId="4" borderId="0" xfId="0" applyFont="1" applyFill="1" applyAlignment="1" applyProtection="1">
      <alignment horizontal="center" vertical="center"/>
      <protection hidden="1"/>
    </xf>
    <xf numFmtId="167" fontId="293" fillId="4" borderId="0" xfId="0" applyNumberFormat="1" applyFont="1" applyFill="1" applyAlignment="1" applyProtection="1">
      <alignment horizontal="center" vertical="center"/>
      <protection hidden="1"/>
    </xf>
    <xf numFmtId="0" fontId="33" fillId="4" borderId="0" xfId="0" applyFont="1" applyFill="1" applyAlignment="1" applyProtection="1">
      <alignment horizontal="left" vertical="top" wrapText="1"/>
      <protection hidden="1"/>
    </xf>
    <xf numFmtId="0" fontId="33" fillId="4" borderId="0" xfId="0" applyFont="1" applyFill="1" applyAlignment="1" applyProtection="1">
      <alignment horizontal="left" vertical="top"/>
      <protection hidden="1"/>
    </xf>
    <xf numFmtId="1" fontId="273" fillId="4" borderId="0" xfId="0" applyNumberFormat="1" applyFont="1" applyFill="1" applyAlignment="1" applyProtection="1">
      <alignment horizontal="center" vertical="center" wrapText="1"/>
      <protection hidden="1"/>
    </xf>
    <xf numFmtId="0" fontId="273" fillId="4" borderId="357" xfId="0" applyFont="1" applyFill="1" applyBorder="1" applyAlignment="1" applyProtection="1">
      <alignment horizontal="center" vertical="center" wrapText="1"/>
      <protection hidden="1"/>
    </xf>
    <xf numFmtId="164" fontId="295" fillId="4" borderId="0" xfId="0" applyNumberFormat="1" applyFont="1" applyFill="1" applyAlignment="1" applyProtection="1">
      <alignment horizontal="right" vertical="center" wrapText="1"/>
      <protection hidden="1"/>
    </xf>
    <xf numFmtId="164" fontId="295" fillId="4" borderId="357" xfId="0" applyNumberFormat="1" applyFont="1" applyFill="1" applyBorder="1" applyAlignment="1" applyProtection="1">
      <alignment horizontal="right" vertical="center" wrapText="1"/>
      <protection hidden="1"/>
    </xf>
    <xf numFmtId="164" fontId="295" fillId="4" borderId="355" xfId="0" applyNumberFormat="1" applyFont="1" applyFill="1" applyBorder="1" applyAlignment="1" applyProtection="1">
      <alignment horizontal="right" vertical="center" wrapText="1"/>
      <protection hidden="1"/>
    </xf>
    <xf numFmtId="0" fontId="273" fillId="4" borderId="355" xfId="0" applyFont="1" applyFill="1" applyBorder="1" applyAlignment="1" applyProtection="1">
      <alignment horizontal="center" vertical="center" wrapText="1"/>
      <protection hidden="1"/>
    </xf>
    <xf numFmtId="0" fontId="295" fillId="4" borderId="355" xfId="0" applyFont="1" applyFill="1" applyBorder="1" applyAlignment="1" applyProtection="1">
      <alignment horizontal="left" vertical="center" wrapText="1"/>
      <protection hidden="1"/>
    </xf>
    <xf numFmtId="164" fontId="295" fillId="4" borderId="356" xfId="0" applyNumberFormat="1" applyFont="1" applyFill="1" applyBorder="1" applyAlignment="1" applyProtection="1">
      <alignment horizontal="right" vertical="center" wrapText="1"/>
      <protection hidden="1"/>
    </xf>
    <xf numFmtId="0" fontId="273" fillId="4" borderId="356" xfId="0" applyFont="1" applyFill="1" applyBorder="1" applyAlignment="1" applyProtection="1">
      <alignment horizontal="center" vertical="center" wrapText="1"/>
      <protection hidden="1"/>
    </xf>
    <xf numFmtId="0" fontId="13" fillId="4" borderId="20" xfId="0" applyFont="1" applyFill="1" applyBorder="1" applyAlignment="1" applyProtection="1">
      <alignment horizontal="right" vertical="center"/>
      <protection hidden="1"/>
    </xf>
    <xf numFmtId="0" fontId="13" fillId="4" borderId="0" xfId="0" applyFont="1" applyFill="1" applyAlignment="1" applyProtection="1">
      <alignment horizontal="right" vertical="center"/>
      <protection hidden="1"/>
    </xf>
    <xf numFmtId="0" fontId="219" fillId="10" borderId="142" xfId="0" applyFont="1" applyFill="1" applyBorder="1" applyAlignment="1" applyProtection="1">
      <alignment horizontal="left" vertical="center" wrapText="1" indent="1"/>
      <protection hidden="1"/>
    </xf>
    <xf numFmtId="0" fontId="219" fillId="14" borderId="324" xfId="0" applyFont="1" applyFill="1" applyBorder="1" applyAlignment="1" applyProtection="1">
      <alignment horizontal="left" vertical="center" wrapText="1" indent="1"/>
      <protection hidden="1"/>
    </xf>
    <xf numFmtId="164" fontId="256" fillId="4" borderId="0" xfId="0" applyNumberFormat="1" applyFont="1" applyFill="1" applyAlignment="1" applyProtection="1">
      <alignment horizontal="left" vertical="center"/>
      <protection hidden="1"/>
    </xf>
    <xf numFmtId="0" fontId="184" fillId="52" borderId="22" xfId="0" applyFont="1" applyFill="1" applyBorder="1" applyAlignment="1" applyProtection="1">
      <alignment horizontal="left" vertical="center" wrapText="1"/>
      <protection hidden="1"/>
    </xf>
    <xf numFmtId="0" fontId="184" fillId="52" borderId="0" xfId="0" applyFont="1" applyFill="1" applyAlignment="1" applyProtection="1">
      <alignment horizontal="left" vertical="center" wrapText="1"/>
      <protection hidden="1"/>
    </xf>
    <xf numFmtId="0" fontId="184" fillId="52" borderId="23" xfId="0" applyFont="1" applyFill="1" applyBorder="1" applyAlignment="1" applyProtection="1">
      <alignment horizontal="left" vertical="center" wrapText="1"/>
      <protection hidden="1"/>
    </xf>
    <xf numFmtId="1" fontId="13" fillId="4" borderId="0" xfId="0" applyNumberFormat="1" applyFont="1" applyFill="1" applyAlignment="1" applyProtection="1">
      <alignment horizontal="right" vertical="center"/>
      <protection hidden="1"/>
    </xf>
    <xf numFmtId="0" fontId="29" fillId="4" borderId="0" xfId="0" applyFont="1" applyFill="1" applyAlignment="1" applyProtection="1">
      <alignment horizontal="left" vertical="center"/>
      <protection hidden="1"/>
    </xf>
    <xf numFmtId="0" fontId="74" fillId="0" borderId="0" xfId="0" applyFont="1" applyAlignment="1" applyProtection="1">
      <alignment horizontal="left"/>
      <protection hidden="1"/>
    </xf>
    <xf numFmtId="167" fontId="214" fillId="4" borderId="0" xfId="0" applyNumberFormat="1" applyFont="1" applyFill="1" applyAlignment="1" applyProtection="1">
      <alignment horizontal="center" vertical="center"/>
      <protection hidden="1"/>
    </xf>
    <xf numFmtId="0" fontId="295" fillId="4" borderId="0" xfId="0" applyFont="1" applyFill="1" applyAlignment="1" applyProtection="1">
      <alignment horizontal="left"/>
      <protection hidden="1"/>
    </xf>
    <xf numFmtId="0" fontId="219" fillId="11" borderId="324" xfId="0" applyFont="1" applyFill="1" applyBorder="1" applyAlignment="1" applyProtection="1">
      <alignment horizontal="left" vertical="center" wrapText="1" indent="1"/>
      <protection hidden="1"/>
    </xf>
    <xf numFmtId="0" fontId="219" fillId="19" borderId="324" xfId="0" applyFont="1" applyFill="1" applyBorder="1" applyAlignment="1" applyProtection="1">
      <alignment horizontal="left" vertical="center" wrapText="1" indent="1"/>
      <protection hidden="1"/>
    </xf>
    <xf numFmtId="0" fontId="74" fillId="4" borderId="0" xfId="0" applyFont="1" applyFill="1" applyAlignment="1" applyProtection="1">
      <alignment horizontal="left" vertical="center" wrapText="1"/>
      <protection hidden="1"/>
    </xf>
    <xf numFmtId="0" fontId="220" fillId="10" borderId="377" xfId="0" applyFont="1" applyFill="1" applyBorder="1" applyAlignment="1" applyProtection="1">
      <alignment horizontal="right" vertical="center" wrapText="1"/>
      <protection hidden="1"/>
    </xf>
    <xf numFmtId="0" fontId="220" fillId="10" borderId="142" xfId="0" applyFont="1" applyFill="1" applyBorder="1" applyAlignment="1" applyProtection="1">
      <alignment horizontal="right" vertical="center" wrapText="1"/>
      <protection hidden="1"/>
    </xf>
    <xf numFmtId="0" fontId="220" fillId="11" borderId="378" xfId="0" applyFont="1" applyFill="1" applyBorder="1" applyAlignment="1" applyProtection="1">
      <alignment horizontal="right" vertical="center" wrapText="1"/>
      <protection hidden="1"/>
    </xf>
    <xf numFmtId="0" fontId="220" fillId="11" borderId="324" xfId="0" applyFont="1" applyFill="1" applyBorder="1" applyAlignment="1" applyProtection="1">
      <alignment horizontal="right" vertical="center" wrapText="1"/>
      <protection hidden="1"/>
    </xf>
    <xf numFmtId="0" fontId="220" fillId="19" borderId="378" xfId="0" applyFont="1" applyFill="1" applyBorder="1" applyAlignment="1" applyProtection="1">
      <alignment horizontal="right" vertical="center" wrapText="1"/>
      <protection hidden="1"/>
    </xf>
    <xf numFmtId="0" fontId="220" fillId="19" borderId="324" xfId="0" applyFont="1" applyFill="1" applyBorder="1" applyAlignment="1" applyProtection="1">
      <alignment horizontal="right" vertical="center" wrapText="1"/>
      <protection hidden="1"/>
    </xf>
    <xf numFmtId="0" fontId="220" fillId="14" borderId="378" xfId="0" applyFont="1" applyFill="1" applyBorder="1" applyAlignment="1" applyProtection="1">
      <alignment horizontal="right" vertical="center" wrapText="1"/>
      <protection hidden="1"/>
    </xf>
    <xf numFmtId="0" fontId="220" fillId="14" borderId="324" xfId="0" applyFont="1" applyFill="1" applyBorder="1" applyAlignment="1" applyProtection="1">
      <alignment horizontal="right" vertical="center" wrapText="1"/>
      <protection hidden="1"/>
    </xf>
    <xf numFmtId="0" fontId="220" fillId="12" borderId="378" xfId="0" applyFont="1" applyFill="1" applyBorder="1" applyAlignment="1" applyProtection="1">
      <alignment horizontal="right" vertical="center" wrapText="1"/>
      <protection hidden="1"/>
    </xf>
    <xf numFmtId="0" fontId="220" fillId="12" borderId="324" xfId="0" applyFont="1" applyFill="1" applyBorder="1" applyAlignment="1" applyProtection="1">
      <alignment horizontal="right" vertical="center" wrapText="1"/>
      <protection hidden="1"/>
    </xf>
    <xf numFmtId="0" fontId="137" fillId="54" borderId="22" xfId="0" applyFont="1" applyFill="1" applyBorder="1" applyAlignment="1" applyProtection="1">
      <alignment horizontal="right" vertical="center"/>
      <protection hidden="1"/>
    </xf>
    <xf numFmtId="0" fontId="184" fillId="54" borderId="22" xfId="0" applyFont="1" applyFill="1" applyBorder="1" applyAlignment="1" applyProtection="1">
      <alignment horizontal="left" vertical="center" wrapText="1"/>
      <protection hidden="1"/>
    </xf>
    <xf numFmtId="0" fontId="184" fillId="54" borderId="0" xfId="0" applyFont="1" applyFill="1" applyAlignment="1" applyProtection="1">
      <alignment horizontal="left" vertical="center" wrapText="1"/>
      <protection hidden="1"/>
    </xf>
    <xf numFmtId="0" fontId="184" fillId="54" borderId="23" xfId="0" applyFont="1" applyFill="1" applyBorder="1" applyAlignment="1" applyProtection="1">
      <alignment horizontal="left" vertical="center" wrapText="1"/>
      <protection hidden="1"/>
    </xf>
    <xf numFmtId="0" fontId="219" fillId="12" borderId="324" xfId="0" applyFont="1" applyFill="1" applyBorder="1" applyAlignment="1" applyProtection="1">
      <alignment horizontal="left" vertical="center" wrapText="1" indent="1"/>
      <protection hidden="1"/>
    </xf>
    <xf numFmtId="0" fontId="208" fillId="4" borderId="0" xfId="0" applyFont="1" applyFill="1" applyAlignment="1" applyProtection="1">
      <alignment horizontal="right" vertical="center"/>
      <protection hidden="1"/>
    </xf>
    <xf numFmtId="0" fontId="17" fillId="4" borderId="0" xfId="0" applyFont="1" applyFill="1" applyAlignment="1" applyProtection="1">
      <alignment horizontal="left" vertical="center"/>
      <protection hidden="1"/>
    </xf>
    <xf numFmtId="0" fontId="224" fillId="51" borderId="14" xfId="0" applyFont="1" applyFill="1" applyBorder="1" applyAlignment="1" applyProtection="1">
      <alignment horizontal="left" vertical="center" wrapText="1"/>
      <protection hidden="1"/>
    </xf>
    <xf numFmtId="0" fontId="224" fillId="51" borderId="0" xfId="0" applyFont="1" applyFill="1" applyAlignment="1" applyProtection="1">
      <alignment horizontal="left" vertical="center" wrapText="1"/>
      <protection hidden="1"/>
    </xf>
    <xf numFmtId="0" fontId="224" fillId="51" borderId="15" xfId="0" applyFont="1" applyFill="1" applyBorder="1" applyAlignment="1" applyProtection="1">
      <alignment horizontal="left" vertical="center" wrapText="1"/>
      <protection hidden="1"/>
    </xf>
    <xf numFmtId="0" fontId="224" fillId="52" borderId="14" xfId="0" applyFont="1" applyFill="1" applyBorder="1" applyAlignment="1" applyProtection="1">
      <alignment horizontal="left" vertical="center" wrapText="1"/>
      <protection hidden="1"/>
    </xf>
    <xf numFmtId="0" fontId="224" fillId="52" borderId="0" xfId="0" applyFont="1" applyFill="1" applyAlignment="1" applyProtection="1">
      <alignment horizontal="left" vertical="center" wrapText="1"/>
      <protection hidden="1"/>
    </xf>
    <xf numFmtId="0" fontId="224" fillId="52" borderId="15" xfId="0" applyFont="1" applyFill="1" applyBorder="1" applyAlignment="1" applyProtection="1">
      <alignment horizontal="left" vertical="center" wrapText="1"/>
      <protection hidden="1"/>
    </xf>
    <xf numFmtId="0" fontId="137" fillId="51" borderId="323" xfId="0" applyFont="1" applyFill="1" applyBorder="1" applyAlignment="1" applyProtection="1">
      <alignment horizontal="right" vertical="center"/>
      <protection hidden="1"/>
    </xf>
    <xf numFmtId="0" fontId="220" fillId="15" borderId="95" xfId="0" applyFont="1" applyFill="1" applyBorder="1" applyAlignment="1" applyProtection="1">
      <alignment horizontal="center" vertical="center" wrapText="1"/>
      <protection hidden="1"/>
    </xf>
    <xf numFmtId="0" fontId="220" fillId="15" borderId="336" xfId="0" applyFont="1" applyFill="1" applyBorder="1" applyAlignment="1" applyProtection="1">
      <alignment horizontal="center" vertical="center" wrapText="1"/>
      <protection hidden="1"/>
    </xf>
    <xf numFmtId="0" fontId="220" fillId="15" borderId="10" xfId="0" applyFont="1" applyFill="1" applyBorder="1" applyAlignment="1" applyProtection="1">
      <alignment horizontal="center" vertical="center" wrapText="1"/>
      <protection hidden="1"/>
    </xf>
    <xf numFmtId="0" fontId="220" fillId="15" borderId="333" xfId="0" applyFont="1" applyFill="1" applyBorder="1" applyAlignment="1" applyProtection="1">
      <alignment horizontal="center" vertical="center" wrapText="1"/>
      <protection hidden="1"/>
    </xf>
    <xf numFmtId="0" fontId="219" fillId="15" borderId="95" xfId="0" applyFont="1" applyFill="1" applyBorder="1" applyAlignment="1" applyProtection="1">
      <alignment horizontal="left" vertical="center" wrapText="1" indent="1"/>
      <protection hidden="1"/>
    </xf>
    <xf numFmtId="0" fontId="219" fillId="15" borderId="10" xfId="0" applyFont="1" applyFill="1" applyBorder="1" applyAlignment="1" applyProtection="1">
      <alignment horizontal="left" vertical="center" wrapText="1" indent="1"/>
      <protection hidden="1"/>
    </xf>
    <xf numFmtId="0" fontId="220" fillId="38" borderId="381" xfId="0" applyFont="1" applyFill="1" applyBorder="1" applyAlignment="1" applyProtection="1">
      <alignment horizontal="right" vertical="center" wrapText="1"/>
      <protection hidden="1"/>
    </xf>
    <xf numFmtId="0" fontId="220" fillId="38" borderId="10" xfId="0" applyFont="1" applyFill="1" applyBorder="1" applyAlignment="1" applyProtection="1">
      <alignment horizontal="right" vertical="center" wrapText="1"/>
      <protection hidden="1"/>
    </xf>
    <xf numFmtId="0" fontId="220" fillId="39" borderId="382" xfId="0" applyFont="1" applyFill="1" applyBorder="1" applyAlignment="1" applyProtection="1">
      <alignment horizontal="right" vertical="center" wrapText="1"/>
      <protection hidden="1"/>
    </xf>
    <xf numFmtId="0" fontId="220" fillId="39" borderId="93" xfId="0" applyFont="1" applyFill="1" applyBorder="1" applyAlignment="1" applyProtection="1">
      <alignment horizontal="right" vertical="center" wrapText="1"/>
      <protection hidden="1"/>
    </xf>
    <xf numFmtId="0" fontId="220" fillId="16" borderId="382" xfId="0" applyFont="1" applyFill="1" applyBorder="1" applyAlignment="1" applyProtection="1">
      <alignment horizontal="right" vertical="center" wrapText="1"/>
      <protection hidden="1"/>
    </xf>
    <xf numFmtId="0" fontId="220" fillId="16" borderId="93" xfId="0" applyFont="1" applyFill="1" applyBorder="1" applyAlignment="1" applyProtection="1">
      <alignment horizontal="right" vertical="center" wrapText="1"/>
      <protection hidden="1"/>
    </xf>
    <xf numFmtId="0" fontId="224" fillId="54" borderId="330" xfId="0" applyFont="1" applyFill="1" applyBorder="1" applyAlignment="1" applyProtection="1">
      <alignment horizontal="left" vertical="center" wrapText="1"/>
      <protection hidden="1"/>
    </xf>
    <xf numFmtId="0" fontId="224" fillId="54" borderId="0" xfId="0" applyFont="1" applyFill="1" applyAlignment="1" applyProtection="1">
      <alignment horizontal="left" vertical="center" wrapText="1"/>
      <protection hidden="1"/>
    </xf>
    <xf numFmtId="0" fontId="224" fillId="54" borderId="15" xfId="0" applyFont="1" applyFill="1" applyBorder="1" applyAlignment="1" applyProtection="1">
      <alignment horizontal="left" vertical="center" wrapText="1"/>
      <protection hidden="1"/>
    </xf>
    <xf numFmtId="0" fontId="309" fillId="4" borderId="12" xfId="0" applyFont="1" applyFill="1" applyBorder="1" applyAlignment="1" applyProtection="1">
      <alignment horizontal="center"/>
      <protection hidden="1"/>
    </xf>
    <xf numFmtId="0" fontId="70" fillId="4" borderId="17" xfId="0" applyFont="1" applyFill="1" applyBorder="1" applyAlignment="1" applyProtection="1">
      <alignment horizontal="center" vertical="center"/>
      <protection hidden="1"/>
    </xf>
    <xf numFmtId="0" fontId="70" fillId="4" borderId="16" xfId="0" applyFont="1" applyFill="1" applyBorder="1" applyAlignment="1" applyProtection="1">
      <alignment horizontal="center" vertical="center"/>
      <protection hidden="1"/>
    </xf>
    <xf numFmtId="0" fontId="338" fillId="4" borderId="0" xfId="0" applyFont="1" applyFill="1" applyAlignment="1" applyProtection="1">
      <alignment horizontal="left" vertical="center" wrapText="1"/>
      <protection hidden="1"/>
    </xf>
    <xf numFmtId="14" fontId="11" fillId="50" borderId="0" xfId="0" applyNumberFormat="1" applyFont="1" applyFill="1" applyAlignment="1" applyProtection="1">
      <alignment horizontal="right" vertical="center"/>
      <protection hidden="1"/>
    </xf>
    <xf numFmtId="0" fontId="7" fillId="50" borderId="0" xfId="0" applyFont="1" applyFill="1" applyAlignment="1" applyProtection="1">
      <alignment horizontal="center" vertical="center"/>
      <protection hidden="1"/>
    </xf>
    <xf numFmtId="0" fontId="1" fillId="50" borderId="0" xfId="0" applyFont="1" applyFill="1" applyAlignment="1" applyProtection="1">
      <alignment horizontal="center"/>
      <protection hidden="1"/>
    </xf>
    <xf numFmtId="0" fontId="183" fillId="51" borderId="15" xfId="0" applyFont="1" applyFill="1" applyBorder="1" applyAlignment="1" applyProtection="1">
      <alignment horizontal="left" vertical="center" indent="1"/>
      <protection hidden="1"/>
    </xf>
    <xf numFmtId="0" fontId="183" fillId="51" borderId="323" xfId="0" applyFont="1" applyFill="1" applyBorder="1" applyAlignment="1" applyProtection="1">
      <alignment horizontal="left" vertical="center" indent="1"/>
      <protection hidden="1"/>
    </xf>
    <xf numFmtId="0" fontId="183" fillId="52" borderId="15" xfId="0" applyFont="1" applyFill="1" applyBorder="1" applyAlignment="1" applyProtection="1">
      <alignment horizontal="left" vertical="center" indent="1"/>
      <protection hidden="1"/>
    </xf>
    <xf numFmtId="0" fontId="183" fillId="52" borderId="323" xfId="0" applyFont="1" applyFill="1" applyBorder="1" applyAlignment="1" applyProtection="1">
      <alignment horizontal="left" vertical="center" indent="1"/>
      <protection hidden="1"/>
    </xf>
    <xf numFmtId="0" fontId="183" fillId="54" borderId="15" xfId="0" applyFont="1" applyFill="1" applyBorder="1" applyAlignment="1" applyProtection="1">
      <alignment horizontal="left" vertical="center" indent="1"/>
      <protection hidden="1"/>
    </xf>
    <xf numFmtId="0" fontId="183" fillId="54" borderId="323" xfId="0" applyFont="1" applyFill="1" applyBorder="1" applyAlignment="1" applyProtection="1">
      <alignment horizontal="left" vertical="center" indent="1"/>
      <protection hidden="1"/>
    </xf>
    <xf numFmtId="0" fontId="183" fillId="51" borderId="0" xfId="0" applyFont="1" applyFill="1" applyAlignment="1" applyProtection="1">
      <alignment horizontal="left" vertical="center" indent="1"/>
      <protection hidden="1"/>
    </xf>
    <xf numFmtId="0" fontId="183" fillId="52" borderId="0" xfId="0" applyFont="1" applyFill="1" applyAlignment="1" applyProtection="1">
      <alignment horizontal="left" vertical="center" indent="1"/>
      <protection hidden="1"/>
    </xf>
    <xf numFmtId="0" fontId="183" fillId="54" borderId="337" xfId="0" applyFont="1" applyFill="1" applyBorder="1" applyAlignment="1" applyProtection="1">
      <alignment horizontal="left" vertical="center" indent="1"/>
      <protection hidden="1"/>
    </xf>
    <xf numFmtId="0" fontId="183" fillId="54" borderId="376" xfId="0" applyFont="1" applyFill="1" applyBorder="1" applyAlignment="1" applyProtection="1">
      <alignment horizontal="left" vertical="center" indent="1"/>
      <protection hidden="1"/>
    </xf>
    <xf numFmtId="0" fontId="183" fillId="54" borderId="331" xfId="0" applyFont="1" applyFill="1" applyBorder="1" applyAlignment="1" applyProtection="1">
      <alignment horizontal="left" vertical="center" indent="1"/>
      <protection hidden="1"/>
    </xf>
    <xf numFmtId="0" fontId="220" fillId="13" borderId="335" xfId="0" applyFont="1" applyFill="1" applyBorder="1" applyAlignment="1" applyProtection="1">
      <alignment horizontal="right" vertical="center" wrapText="1"/>
      <protection hidden="1"/>
    </xf>
    <xf numFmtId="0" fontId="184" fillId="51" borderId="22" xfId="0" applyFont="1" applyFill="1" applyBorder="1" applyAlignment="1" applyProtection="1">
      <alignment horizontal="left" vertical="center" wrapText="1"/>
      <protection hidden="1"/>
    </xf>
    <xf numFmtId="0" fontId="184" fillId="51" borderId="0" xfId="0" applyFont="1" applyFill="1" applyAlignment="1" applyProtection="1">
      <alignment horizontal="left" vertical="center" wrapText="1"/>
      <protection hidden="1"/>
    </xf>
    <xf numFmtId="0" fontId="184" fillId="51" borderId="23" xfId="0" applyFont="1" applyFill="1" applyBorder="1" applyAlignment="1" applyProtection="1">
      <alignment horizontal="left" vertical="center" wrapText="1"/>
      <protection hidden="1"/>
    </xf>
    <xf numFmtId="0" fontId="219" fillId="13" borderId="93" xfId="0" applyFont="1" applyFill="1" applyBorder="1" applyAlignment="1" applyProtection="1">
      <alignment horizontal="left" vertical="center" wrapText="1" indent="1"/>
      <protection hidden="1"/>
    </xf>
    <xf numFmtId="0" fontId="220" fillId="16" borderId="335" xfId="0" applyFont="1" applyFill="1" applyBorder="1" applyAlignment="1" applyProtection="1">
      <alignment horizontal="right" vertical="center" wrapText="1"/>
      <protection hidden="1"/>
    </xf>
    <xf numFmtId="0" fontId="220" fillId="39" borderId="335" xfId="0" applyFont="1" applyFill="1" applyBorder="1" applyAlignment="1" applyProtection="1">
      <alignment horizontal="right" vertical="center" wrapText="1"/>
      <protection hidden="1"/>
    </xf>
    <xf numFmtId="0" fontId="220" fillId="38" borderId="332" xfId="0" applyFont="1" applyFill="1" applyBorder="1" applyAlignment="1" applyProtection="1">
      <alignment horizontal="right" vertical="center" wrapText="1"/>
      <protection hidden="1"/>
    </xf>
    <xf numFmtId="0" fontId="220" fillId="12" borderId="328" xfId="0" applyFont="1" applyFill="1" applyBorder="1" applyAlignment="1" applyProtection="1">
      <alignment horizontal="right" vertical="center" wrapText="1"/>
      <protection hidden="1"/>
    </xf>
    <xf numFmtId="0" fontId="220" fillId="14" borderId="328" xfId="0" applyFont="1" applyFill="1" applyBorder="1" applyAlignment="1" applyProtection="1">
      <alignment horizontal="right" vertical="center" wrapText="1"/>
      <protection hidden="1"/>
    </xf>
    <xf numFmtId="0" fontId="220" fillId="19" borderId="328" xfId="0" applyFont="1" applyFill="1" applyBorder="1" applyAlignment="1" applyProtection="1">
      <alignment horizontal="right" vertical="center" wrapText="1"/>
      <protection hidden="1"/>
    </xf>
    <xf numFmtId="0" fontId="220" fillId="11" borderId="328" xfId="0" applyFont="1" applyFill="1" applyBorder="1" applyAlignment="1" applyProtection="1">
      <alignment horizontal="right" vertical="center" wrapText="1"/>
      <protection hidden="1"/>
    </xf>
    <xf numFmtId="0" fontId="220" fillId="10" borderId="326" xfId="0" applyFont="1" applyFill="1" applyBorder="1" applyAlignment="1" applyProtection="1">
      <alignment horizontal="right" vertical="center" wrapText="1"/>
      <protection hidden="1"/>
    </xf>
    <xf numFmtId="0" fontId="219" fillId="38" borderId="10" xfId="0" applyFont="1" applyFill="1" applyBorder="1" applyAlignment="1" applyProtection="1">
      <alignment horizontal="left" vertical="center" wrapText="1" indent="1"/>
      <protection hidden="1"/>
    </xf>
    <xf numFmtId="0" fontId="219" fillId="39" borderId="93" xfId="0" applyFont="1" applyFill="1" applyBorder="1" applyAlignment="1" applyProtection="1">
      <alignment horizontal="left" vertical="center" wrapText="1" indent="1"/>
      <protection hidden="1"/>
    </xf>
    <xf numFmtId="0" fontId="122" fillId="27" borderId="52" xfId="3" applyFill="1" applyBorder="1" applyAlignment="1" applyProtection="1">
      <alignment horizontal="left" vertical="top" indent="1"/>
      <protection hidden="1"/>
    </xf>
    <xf numFmtId="0" fontId="122" fillId="27" borderId="0" xfId="3" applyFill="1" applyBorder="1" applyAlignment="1" applyProtection="1">
      <alignment horizontal="left" vertical="top" indent="1"/>
      <protection hidden="1"/>
    </xf>
    <xf numFmtId="0" fontId="0" fillId="27" borderId="0" xfId="0" applyFill="1" applyAlignment="1" applyProtection="1">
      <alignment horizontal="left" vertical="top"/>
      <protection hidden="1"/>
    </xf>
    <xf numFmtId="0" fontId="0" fillId="27" borderId="53" xfId="0" applyFill="1" applyBorder="1" applyAlignment="1" applyProtection="1">
      <alignment horizontal="left" vertical="top"/>
      <protection hidden="1"/>
    </xf>
    <xf numFmtId="0" fontId="280" fillId="6" borderId="58" xfId="0" applyFont="1" applyFill="1" applyBorder="1" applyAlignment="1" applyProtection="1">
      <alignment horizontal="center" vertical="center"/>
      <protection hidden="1"/>
    </xf>
    <xf numFmtId="0" fontId="280" fillId="6" borderId="59" xfId="0" applyFont="1" applyFill="1" applyBorder="1" applyAlignment="1" applyProtection="1">
      <alignment horizontal="center" vertical="center"/>
      <protection hidden="1"/>
    </xf>
    <xf numFmtId="0" fontId="35" fillId="6" borderId="58" xfId="0" applyFont="1" applyFill="1" applyBorder="1" applyAlignment="1" applyProtection="1">
      <alignment horizontal="center" vertical="center" wrapText="1"/>
      <protection hidden="1"/>
    </xf>
    <xf numFmtId="0" fontId="35" fillId="6" borderId="48" xfId="0" applyFont="1" applyFill="1" applyBorder="1" applyAlignment="1" applyProtection="1">
      <alignment horizontal="center" vertical="center"/>
      <protection hidden="1"/>
    </xf>
    <xf numFmtId="0" fontId="35" fillId="6" borderId="59" xfId="0" applyFont="1" applyFill="1" applyBorder="1" applyAlignment="1" applyProtection="1">
      <alignment horizontal="center" vertical="center"/>
      <protection hidden="1"/>
    </xf>
    <xf numFmtId="0" fontId="0" fillId="27" borderId="58" xfId="0" applyFill="1" applyBorder="1" applyAlignment="1" applyProtection="1">
      <alignment horizontal="center"/>
      <protection hidden="1"/>
    </xf>
    <xf numFmtId="0" fontId="0" fillId="27" borderId="48" xfId="0" applyFill="1" applyBorder="1" applyAlignment="1" applyProtection="1">
      <alignment horizontal="center"/>
      <protection hidden="1"/>
    </xf>
    <xf numFmtId="0" fontId="0" fillId="27" borderId="59" xfId="0" applyFill="1" applyBorder="1" applyAlignment="1" applyProtection="1">
      <alignment horizontal="center"/>
      <protection hidden="1"/>
    </xf>
    <xf numFmtId="0" fontId="0" fillId="27" borderId="0" xfId="0" applyFill="1" applyAlignment="1" applyProtection="1">
      <alignment horizontal="left" wrapText="1"/>
      <protection hidden="1"/>
    </xf>
    <xf numFmtId="0" fontId="0" fillId="27" borderId="0" xfId="0" applyFill="1" applyAlignment="1" applyProtection="1">
      <alignment horizontal="left" vertical="center" wrapText="1"/>
      <protection hidden="1"/>
    </xf>
    <xf numFmtId="0" fontId="280" fillId="6" borderId="58" xfId="0" applyFont="1" applyFill="1" applyBorder="1" applyAlignment="1" applyProtection="1">
      <alignment horizontal="center"/>
      <protection hidden="1"/>
    </xf>
    <xf numFmtId="0" fontId="280" fillId="6" borderId="48" xfId="0" applyFont="1" applyFill="1" applyBorder="1" applyAlignment="1" applyProtection="1">
      <alignment horizontal="center"/>
      <protection hidden="1"/>
    </xf>
    <xf numFmtId="0" fontId="280" fillId="6" borderId="48" xfId="0" applyFont="1" applyFill="1" applyBorder="1" applyAlignment="1" applyProtection="1">
      <alignment horizontal="center" vertical="center"/>
      <protection hidden="1"/>
    </xf>
    <xf numFmtId="0" fontId="0" fillId="27" borderId="58" xfId="0" applyFill="1" applyBorder="1" applyAlignment="1" applyProtection="1">
      <alignment horizontal="center" vertical="center"/>
      <protection hidden="1"/>
    </xf>
    <xf numFmtId="0" fontId="0" fillId="27" borderId="48" xfId="0" applyFill="1" applyBorder="1" applyAlignment="1" applyProtection="1">
      <alignment horizontal="center" vertical="center"/>
      <protection hidden="1"/>
    </xf>
    <xf numFmtId="0" fontId="0" fillId="27" borderId="59" xfId="0" applyFill="1" applyBorder="1" applyAlignment="1" applyProtection="1">
      <alignment horizontal="center" vertical="center"/>
      <protection hidden="1"/>
    </xf>
    <xf numFmtId="0" fontId="44" fillId="27" borderId="0" xfId="0" applyFont="1" applyFill="1" applyAlignment="1" applyProtection="1">
      <alignment horizontal="left" vertical="top"/>
      <protection hidden="1"/>
    </xf>
    <xf numFmtId="0" fontId="44" fillId="27" borderId="53" xfId="0" applyFont="1" applyFill="1" applyBorder="1" applyAlignment="1" applyProtection="1">
      <alignment horizontal="left" vertical="top"/>
      <protection hidden="1"/>
    </xf>
    <xf numFmtId="0" fontId="44" fillId="27" borderId="49" xfId="0" applyFont="1" applyFill="1" applyBorder="1" applyAlignment="1" applyProtection="1">
      <alignment horizontal="left" vertical="center" wrapText="1" indent="1"/>
      <protection hidden="1"/>
    </xf>
    <xf numFmtId="0" fontId="44" fillId="27" borderId="50" xfId="0" applyFont="1" applyFill="1" applyBorder="1" applyAlignment="1" applyProtection="1">
      <alignment horizontal="left" vertical="center" wrapText="1" indent="1"/>
      <protection hidden="1"/>
    </xf>
    <xf numFmtId="0" fontId="44" fillId="27" borderId="51" xfId="0" applyFont="1" applyFill="1" applyBorder="1" applyAlignment="1" applyProtection="1">
      <alignment horizontal="left" vertical="center" wrapText="1" indent="1"/>
      <protection hidden="1"/>
    </xf>
    <xf numFmtId="0" fontId="44" fillId="27" borderId="52" xfId="0" applyFont="1" applyFill="1" applyBorder="1" applyAlignment="1" applyProtection="1">
      <alignment horizontal="left" vertical="center" wrapText="1" indent="1"/>
      <protection hidden="1"/>
    </xf>
    <xf numFmtId="0" fontId="44" fillId="27" borderId="0" xfId="0" applyFont="1" applyFill="1" applyAlignment="1" applyProtection="1">
      <alignment horizontal="left" vertical="center" wrapText="1" indent="1"/>
      <protection hidden="1"/>
    </xf>
    <xf numFmtId="0" fontId="44" fillId="27" borderId="53" xfId="0" applyFont="1" applyFill="1" applyBorder="1" applyAlignment="1" applyProtection="1">
      <alignment horizontal="left" vertical="center" wrapText="1" indent="1"/>
      <protection hidden="1"/>
    </xf>
    <xf numFmtId="0" fontId="277" fillId="27" borderId="0" xfId="0" applyFont="1" applyFill="1" applyAlignment="1" applyProtection="1">
      <alignment horizontal="left" vertical="top" wrapText="1"/>
      <protection hidden="1"/>
    </xf>
    <xf numFmtId="0" fontId="44" fillId="0" borderId="0" xfId="0" applyFont="1" applyAlignment="1" applyProtection="1">
      <alignment vertical="center"/>
      <protection hidden="1"/>
    </xf>
    <xf numFmtId="0" fontId="276" fillId="0" borderId="0" xfId="0" applyFont="1" applyAlignment="1" applyProtection="1">
      <alignment vertical="center"/>
      <protection hidden="1"/>
    </xf>
    <xf numFmtId="0" fontId="0" fillId="27" borderId="58" xfId="0" applyFill="1" applyBorder="1" applyAlignment="1" applyProtection="1">
      <alignment horizontal="center" wrapText="1"/>
      <protection hidden="1"/>
    </xf>
    <xf numFmtId="0" fontId="0" fillId="27" borderId="48" xfId="0" applyFill="1" applyBorder="1" applyAlignment="1" applyProtection="1">
      <alignment horizontal="center" wrapText="1"/>
      <protection hidden="1"/>
    </xf>
    <xf numFmtId="0" fontId="35" fillId="6" borderId="3" xfId="0" applyFont="1" applyFill="1" applyBorder="1" applyAlignment="1" applyProtection="1">
      <alignment horizontal="center" vertical="center" wrapText="1"/>
      <protection hidden="1"/>
    </xf>
    <xf numFmtId="0" fontId="35" fillId="6" borderId="54" xfId="0" applyFont="1" applyFill="1" applyBorder="1" applyAlignment="1" applyProtection="1">
      <alignment horizontal="center" vertical="center"/>
      <protection hidden="1"/>
    </xf>
    <xf numFmtId="0" fontId="122" fillId="27" borderId="52" xfId="3" applyFill="1" applyBorder="1" applyAlignment="1" applyProtection="1">
      <alignment horizontal="left" vertical="top" indent="1"/>
      <protection locked="0" hidden="1"/>
    </xf>
    <xf numFmtId="0" fontId="122" fillId="27" borderId="0" xfId="3" applyFill="1" applyBorder="1" applyAlignment="1" applyProtection="1">
      <alignment horizontal="left" vertical="top" indent="1"/>
      <protection locked="0" hidden="1"/>
    </xf>
    <xf numFmtId="0" fontId="0" fillId="27" borderId="8" xfId="0" applyFill="1" applyBorder="1" applyAlignment="1" applyProtection="1">
      <alignment horizontal="center"/>
      <protection hidden="1"/>
    </xf>
    <xf numFmtId="0" fontId="0" fillId="27" borderId="5" xfId="0" applyFill="1" applyBorder="1" applyAlignment="1" applyProtection="1">
      <alignment horizontal="center"/>
      <protection hidden="1"/>
    </xf>
    <xf numFmtId="0" fontId="0" fillId="27" borderId="58" xfId="0" applyFill="1" applyBorder="1" applyAlignment="1" applyProtection="1">
      <alignment horizontal="center" vertical="center" wrapText="1"/>
      <protection hidden="1"/>
    </xf>
    <xf numFmtId="0" fontId="122" fillId="27" borderId="55" xfId="3" applyFill="1" applyBorder="1" applyAlignment="1" applyProtection="1">
      <alignment horizontal="left" vertical="top" indent="1"/>
      <protection hidden="1"/>
    </xf>
    <xf numFmtId="0" fontId="122" fillId="27" borderId="56" xfId="3" applyFill="1" applyBorder="1" applyAlignment="1" applyProtection="1">
      <alignment horizontal="left" vertical="top" indent="1"/>
      <protection hidden="1"/>
    </xf>
    <xf numFmtId="0" fontId="0" fillId="27" borderId="53" xfId="0" applyFill="1" applyBorder="1" applyAlignment="1" applyProtection="1">
      <alignment horizontal="left" vertical="top" wrapText="1"/>
      <protection hidden="1"/>
    </xf>
  </cellXfs>
  <cellStyles count="5">
    <cellStyle name="Insatisfaisant" xfId="1" builtinId="27"/>
    <cellStyle name="Lien hypertexte" xfId="3" builtinId="8"/>
    <cellStyle name="Milliers 2" xfId="4" xr:uid="{00000000-0005-0000-0000-000002000000}"/>
    <cellStyle name="Normal" xfId="0" builtinId="0"/>
    <cellStyle name="Satisfaisant" xfId="2" builtinId="26"/>
  </cellStyles>
  <dxfs count="950">
    <dxf>
      <fill>
        <gradientFill>
          <stop position="0">
            <color rgb="FF40B6A2"/>
          </stop>
          <stop position="1">
            <color auto="1"/>
          </stop>
        </gradientFill>
      </fill>
    </dxf>
    <dxf>
      <fill>
        <gradientFill>
          <stop position="0">
            <color theme="0"/>
          </stop>
          <stop position="1">
            <color rgb="FF40B6A2"/>
          </stop>
        </gradientFill>
      </fill>
    </dxf>
    <dxf>
      <fill>
        <gradientFill>
          <stop position="0">
            <color theme="0"/>
          </stop>
          <stop position="0.5">
            <color rgb="FF40B6A2"/>
          </stop>
          <stop position="1">
            <color theme="0"/>
          </stop>
        </gradient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ont>
        <color rgb="FF9C0006"/>
      </font>
      <fill>
        <patternFill>
          <bgColor rgb="FFFFC7CE"/>
        </patternFill>
      </fill>
    </dxf>
    <dxf>
      <font>
        <color theme="9" tint="-0.499984740745262"/>
      </font>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
      <font>
        <color theme="9" tint="-0.499984740745262"/>
      </font>
      <fill>
        <patternFill>
          <bgColor theme="9" tint="0.59996337778862885"/>
        </patternFill>
      </fill>
    </dxf>
    <dxf>
      <font>
        <color rgb="FF9C0006"/>
      </font>
      <fill>
        <patternFill>
          <bgColor rgb="FFFFC7CE"/>
        </patternFill>
      </fill>
    </dxf>
    <dxf>
      <font>
        <color rgb="FF9C0006"/>
      </font>
      <fill>
        <patternFill>
          <bgColor rgb="FFFFC7CE"/>
        </patternFill>
      </fill>
    </dxf>
    <dxf>
      <font>
        <color theme="9" tint="-0.499984740745262"/>
      </font>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
      <fill>
        <patternFill patternType="lightUp">
          <fgColor rgb="FF70AD47"/>
          <bgColor rgb="FFC6E0B4"/>
        </patternFill>
      </fill>
    </dxf>
    <dxf>
      <fill>
        <patternFill>
          <bgColor theme="9" tint="0.59996337778862885"/>
        </patternFill>
      </fill>
    </dxf>
    <dxf>
      <fill>
        <patternFill>
          <bgColor theme="9" tint="0.59996337778862885"/>
        </patternFill>
      </fill>
    </dxf>
    <dxf>
      <fill>
        <patternFill>
          <bgColor rgb="FFE0E0E0"/>
        </patternFill>
      </fill>
    </dxf>
    <dxf>
      <fill>
        <patternFill patternType="lightUp">
          <fgColor theme="9"/>
          <bgColor theme="9" tint="0.59996337778862885"/>
        </patternFill>
      </fill>
    </dxf>
    <dxf>
      <fill>
        <patternFill patternType="lightUp">
          <fgColor theme="9"/>
          <bgColor theme="9" tint="0.59996337778862885"/>
        </patternFill>
      </fill>
    </dxf>
    <dxf>
      <fill>
        <patternFill patternType="lightUp">
          <fgColor theme="9"/>
          <bgColor theme="9" tint="0.59996337778862885"/>
        </patternFill>
      </fill>
    </dxf>
    <dxf>
      <fill>
        <patternFill patternType="lightUp">
          <fgColor theme="9"/>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ont>
        <color rgb="FF9C0006"/>
      </font>
      <fill>
        <patternFill>
          <bgColor rgb="FFFFC7CE"/>
        </patternFill>
      </fill>
    </dxf>
    <dxf>
      <font>
        <color theme="9" tint="-0.499984740745262"/>
      </font>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
      <fill>
        <patternFill>
          <bgColor theme="9" tint="0.59996337778862885"/>
        </patternFill>
      </fill>
    </dxf>
    <dxf>
      <fill>
        <patternFill>
          <bgColor rgb="FFE0E0E0"/>
        </patternFill>
      </fill>
    </dxf>
    <dxf>
      <fill>
        <patternFill>
          <bgColor theme="9" tint="0.59996337778862885"/>
        </patternFill>
      </fill>
    </dxf>
    <dxf>
      <fill>
        <patternFill patternType="lightUp">
          <fgColor theme="9"/>
          <bgColor theme="9" tint="0.59996337778862885"/>
        </patternFill>
      </fill>
    </dxf>
    <dxf>
      <fill>
        <patternFill patternType="lightUp">
          <fgColor theme="9"/>
          <bgColor theme="9" tint="0.59996337778862885"/>
        </patternFill>
      </fill>
    </dxf>
    <dxf>
      <fill>
        <patternFill patternType="lightUp">
          <fgColor theme="9"/>
          <bgColor theme="9" tint="0.59996337778862885"/>
        </patternFill>
      </fill>
    </dxf>
    <dxf>
      <fill>
        <patternFill patternType="lightUp">
          <fgColor theme="9"/>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ont>
        <color rgb="FF9C0006"/>
      </font>
      <fill>
        <patternFill>
          <bgColor rgb="FFFFC7CE"/>
        </patternFill>
      </fill>
    </dxf>
    <dxf>
      <font>
        <color theme="9" tint="-0.499984740745262"/>
      </font>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
      <fill>
        <patternFill>
          <bgColor theme="9" tint="0.59996337778862885"/>
        </patternFill>
      </fill>
    </dxf>
    <dxf>
      <fill>
        <patternFill>
          <bgColor rgb="FFE0E0E0"/>
        </patternFill>
      </fill>
    </dxf>
    <dxf>
      <fill>
        <patternFill>
          <bgColor theme="9" tint="0.59996337778862885"/>
        </patternFill>
      </fill>
    </dxf>
    <dxf>
      <fill>
        <patternFill patternType="lightUp">
          <fgColor theme="9"/>
          <bgColor theme="9" tint="0.59996337778862885"/>
        </patternFill>
      </fill>
    </dxf>
    <dxf>
      <fill>
        <patternFill patternType="lightUp">
          <fgColor theme="9"/>
          <bgColor theme="9" tint="0.59996337778862885"/>
        </patternFill>
      </fill>
    </dxf>
    <dxf>
      <fill>
        <patternFill patternType="lightUp">
          <fgColor theme="9"/>
          <bgColor theme="9" tint="0.59996337778862885"/>
        </patternFill>
      </fill>
    </dxf>
    <dxf>
      <fill>
        <patternFill patternType="lightUp">
          <fgColor theme="9"/>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
      <fill>
        <patternFill>
          <bgColor theme="9" tint="0.59996337778862885"/>
        </patternFill>
      </fill>
    </dxf>
    <dxf>
      <fill>
        <patternFill>
          <bgColor theme="9" tint="0.59996337778862885"/>
        </patternFill>
      </fill>
    </dxf>
    <dxf>
      <fill>
        <patternFill>
          <bgColor rgb="FFFFCDD4"/>
        </patternFill>
      </fill>
    </dxf>
    <dxf>
      <fill>
        <patternFill>
          <bgColor theme="0"/>
        </patternFill>
      </fill>
    </dxf>
    <dxf>
      <fill>
        <patternFill>
          <bgColor theme="9" tint="0.59996337778862885"/>
        </patternFill>
      </fill>
    </dxf>
    <dxf>
      <fill>
        <patternFill>
          <bgColor theme="9" tint="0.59996337778862885"/>
        </patternFill>
      </fill>
    </dxf>
    <dxf>
      <fill>
        <patternFill>
          <bgColor rgb="FFFFCDD4"/>
        </patternFill>
      </fill>
    </dxf>
    <dxf>
      <fill>
        <patternFill patternType="lightUp">
          <fgColor theme="9"/>
          <bgColor theme="9" tint="0.79998168889431442"/>
        </patternFill>
      </fill>
    </dxf>
    <dxf>
      <fill>
        <patternFill>
          <bgColor rgb="FFFFF2CC"/>
        </patternFill>
      </fill>
    </dxf>
    <dxf>
      <fill>
        <patternFill>
          <bgColor rgb="FFFFF2CC"/>
        </patternFill>
      </fill>
    </dxf>
    <dxf>
      <fill>
        <patternFill>
          <bgColor theme="9" tint="0.59996337778862885"/>
        </patternFill>
      </fill>
    </dxf>
    <dxf>
      <fill>
        <patternFill patternType="lightUp">
          <fgColor theme="9"/>
          <bgColor theme="9" tint="0.79998168889431442"/>
        </patternFill>
      </fill>
    </dxf>
    <dxf>
      <fill>
        <patternFill patternType="lightUp">
          <fgColor theme="9"/>
          <bgColor theme="9" tint="0.79998168889431442"/>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3" formatCode="#,##0"/>
      <protection locked="1" hidden="0"/>
    </dxf>
    <dxf>
      <numFmt numFmtId="3" formatCode="#,##0"/>
      <protection locked="1" hidden="0"/>
    </dxf>
    <dxf>
      <numFmt numFmtId="3" formatCode="#,##0"/>
      <protection locked="1" hidden="0"/>
    </dxf>
    <dxf>
      <numFmt numFmtId="3" formatCode="#,##0"/>
      <protection locked="1" hidden="0"/>
    </dxf>
    <dxf>
      <numFmt numFmtId="3" formatCode="#,##0"/>
      <protection locked="1" hidden="0"/>
    </dxf>
    <dxf>
      <numFmt numFmtId="3" formatCode="#,##0"/>
      <protection locked="1" hidden="0"/>
    </dxf>
    <dxf>
      <protection locked="1" hidden="0"/>
    </dxf>
    <dxf>
      <protection locked="1" hidden="0"/>
    </dxf>
    <dxf>
      <protection locked="1" hidden="0"/>
    </dxf>
    <dxf>
      <numFmt numFmtId="30" formatCode="@"/>
      <fill>
        <patternFill patternType="none">
          <fgColor indexed="64"/>
          <bgColor auto="1"/>
        </patternFill>
      </fill>
      <protection locked="1" hidden="0"/>
    </dxf>
    <dxf>
      <protection locked="1" hidden="0"/>
    </dxf>
    <dxf>
      <fill>
        <patternFill patternType="none">
          <fgColor indexed="64"/>
          <bgColor indexed="65"/>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fill>
        <patternFill patternType="none">
          <fgColor indexed="64"/>
          <bgColor auto="1"/>
        </patternFill>
      </fill>
    </dxf>
    <dxf>
      <fill>
        <patternFill patternType="none">
          <fgColor indexed="64"/>
          <bgColor auto="1"/>
        </patternFill>
      </fill>
    </dxf>
    <dxf>
      <fill>
        <patternFill patternType="none">
          <fgColor indexed="64"/>
          <bgColor auto="1"/>
        </patternFill>
      </fill>
      <protection locked="1" hidden="0"/>
    </dxf>
    <dxf>
      <fill>
        <patternFill patternType="none">
          <fgColor indexed="64"/>
          <bgColor auto="1"/>
        </patternFill>
      </fill>
    </dxf>
    <dxf>
      <fill>
        <patternFill patternType="none">
          <fgColor indexed="64"/>
          <bgColor auto="1"/>
        </patternFill>
      </fill>
    </dxf>
    <dxf>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fill>
        <patternFill patternType="none">
          <fgColor indexed="64"/>
          <bgColor auto="1"/>
        </patternFill>
      </fill>
      <protection locked="1" hidden="0"/>
    </dxf>
    <dxf>
      <numFmt numFmtId="171" formatCode="#,##0.000"/>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171" formatCode="#,##0.000"/>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171" formatCode="#,##0.000"/>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171" formatCode="#,##0.00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19" formatCode="yyyy/mm/dd"/>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dxf>
    <dxf>
      <numFmt numFmtId="0" formatCode="General"/>
      <fill>
        <patternFill patternType="none">
          <fgColor indexed="64"/>
          <bgColor auto="1"/>
        </patternFill>
      </fill>
    </dxf>
    <dxf>
      <numFmt numFmtId="1" formatCode="0"/>
      <fill>
        <patternFill patternType="none">
          <fgColor indexed="64"/>
          <bgColor auto="1"/>
        </patternFill>
      </fill>
    </dxf>
    <dxf>
      <numFmt numFmtId="30" formatCode="@"/>
      <fill>
        <patternFill patternType="none">
          <fgColor indexed="64"/>
          <bgColor auto="1"/>
        </patternFill>
      </fill>
      <protection locked="1" hidden="0"/>
    </dxf>
    <dxf>
      <fill>
        <patternFill patternType="none">
          <fgColor indexed="64"/>
          <bgColor auto="1"/>
        </patternFill>
      </fill>
      <protection locked="1" hidden="0"/>
    </dxf>
    <dxf>
      <alignment horizontal="general" vertical="top" textRotation="0" wrapText="1" indent="0" justifyLastLine="0" shrinkToFit="0" readingOrder="0"/>
      <protection locked="1" hidden="0"/>
    </dxf>
  </dxfs>
  <tableStyles count="0" defaultTableStyle="TableStyleMedium2" defaultPivotStyle="PivotStyleLight16"/>
  <colors>
    <mruColors>
      <color rgb="FFE0E0E0"/>
      <color rgb="FFE4DCD4"/>
      <color rgb="FFFFF2CC"/>
      <color rgb="FFFFCDD4"/>
      <color rgb="FFFFCCFF"/>
      <color rgb="FF9F9F9F"/>
      <color rgb="FFC6E0B4"/>
      <color rgb="FFFFFFFF"/>
      <color rgb="FFFFCCCC"/>
      <color rgb="FF70AD4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5.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7.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9.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1.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2380425587297456E-2"/>
          <c:y val="3.2069680806028282E-2"/>
          <c:w val="0.97181469449185987"/>
          <c:h val="0.93268121686131511"/>
        </c:manualLayout>
      </c:layout>
      <c:doughnutChart>
        <c:varyColors val="1"/>
        <c:ser>
          <c:idx val="0"/>
          <c:order val="0"/>
          <c:dPt>
            <c:idx val="0"/>
            <c:bubble3D val="0"/>
            <c:spPr>
              <a:solidFill>
                <a:srgbClr val="B7C2D1"/>
              </a:solidFill>
              <a:ln w="19050">
                <a:solidFill>
                  <a:schemeClr val="lt1"/>
                </a:solidFill>
              </a:ln>
              <a:effectLst/>
            </c:spPr>
            <c:extLst>
              <c:ext xmlns:c16="http://schemas.microsoft.com/office/drawing/2014/chart" uri="{C3380CC4-5D6E-409C-BE32-E72D297353CC}">
                <c16:uniqueId val="{00000001-70F6-42C0-BCAA-C0754D5C88A6}"/>
              </c:ext>
            </c:extLst>
          </c:dPt>
          <c:dPt>
            <c:idx val="1"/>
            <c:bubble3D val="0"/>
            <c:spPr>
              <a:solidFill>
                <a:schemeClr val="tx2">
                  <a:lumMod val="60000"/>
                  <a:lumOff val="40000"/>
                </a:schemeClr>
              </a:solidFill>
              <a:ln w="19050">
                <a:solidFill>
                  <a:schemeClr val="lt1"/>
                </a:solidFill>
              </a:ln>
              <a:effectLst/>
            </c:spPr>
            <c:extLst>
              <c:ext xmlns:c16="http://schemas.microsoft.com/office/drawing/2014/chart" uri="{C3380CC4-5D6E-409C-BE32-E72D297353CC}">
                <c16:uniqueId val="{00000003-70F6-42C0-BCAA-C0754D5C88A6}"/>
              </c:ext>
            </c:extLst>
          </c:dPt>
          <c:dPt>
            <c:idx val="2"/>
            <c:bubble3D val="0"/>
            <c:spPr>
              <a:solidFill>
                <a:schemeClr val="tx2">
                  <a:lumMod val="75000"/>
                </a:schemeClr>
              </a:solidFill>
              <a:ln w="19050">
                <a:solidFill>
                  <a:schemeClr val="lt1"/>
                </a:solidFill>
              </a:ln>
              <a:effectLst/>
            </c:spPr>
            <c:extLst>
              <c:ext xmlns:c16="http://schemas.microsoft.com/office/drawing/2014/chart" uri="{C3380CC4-5D6E-409C-BE32-E72D297353CC}">
                <c16:uniqueId val="{00000005-70F6-42C0-BCAA-C0754D5C88A6}"/>
              </c:ext>
            </c:extLst>
          </c:dPt>
          <c:dPt>
            <c:idx val="3"/>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7-70F6-42C0-BCAA-C0754D5C88A6}"/>
              </c:ext>
            </c:extLst>
          </c:dPt>
          <c:dPt>
            <c:idx val="4"/>
            <c:bubble3D val="0"/>
            <c:spPr>
              <a:solidFill>
                <a:schemeClr val="accent1"/>
              </a:solidFill>
              <a:ln w="19050">
                <a:solidFill>
                  <a:schemeClr val="lt1"/>
                </a:solidFill>
              </a:ln>
              <a:effectLst/>
            </c:spPr>
            <c:extLst>
              <c:ext xmlns:c16="http://schemas.microsoft.com/office/drawing/2014/chart" uri="{C3380CC4-5D6E-409C-BE32-E72D297353CC}">
                <c16:uniqueId val="{00000009-70F6-42C0-BCAA-C0754D5C88A6}"/>
              </c:ext>
            </c:extLst>
          </c:dPt>
          <c:dPt>
            <c:idx val="5"/>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B-70F6-42C0-BCAA-C0754D5C88A6}"/>
              </c:ext>
            </c:extLst>
          </c:dPt>
          <c:dLbls>
            <c:dLbl>
              <c:idx val="0"/>
              <c:layout>
                <c:manualLayout>
                  <c:x val="7.7972693594327387E-3"/>
                  <c:y val="-4.324324324324324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0F6-42C0-BCAA-C0754D5C88A6}"/>
                </c:ext>
              </c:extLst>
            </c:dLbl>
            <c:dLbl>
              <c:idx val="2"/>
              <c:layout>
                <c:manualLayout>
                  <c:x val="3.118907743773143E-2"/>
                  <c:y val="-2.1621621621621623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0F6-42C0-BCAA-C0754D5C88A6}"/>
                </c:ext>
              </c:extLst>
            </c:dLbl>
            <c:dLbl>
              <c:idx val="5"/>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B-70F6-42C0-BCAA-C0754D5C88A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'CALCULS Eau potable'!$D$21:$D$26</c:f>
              <c:strCache>
                <c:ptCount val="6"/>
                <c:pt idx="0">
                  <c:v>Approvisionnement&amp;Traitement / Linéaire</c:v>
                </c:pt>
                <c:pt idx="1">
                  <c:v>Approvisionnement&amp;Traitement / Ponctuel</c:v>
                </c:pt>
                <c:pt idx="2">
                  <c:v>Approvisionnement&amp;Traitement / Autres actifs</c:v>
                </c:pt>
                <c:pt idx="3">
                  <c:v>Distribution / Linéaire</c:v>
                </c:pt>
                <c:pt idx="4">
                  <c:v>Distribution / Ponctuel</c:v>
                </c:pt>
                <c:pt idx="5">
                  <c:v>Distribution / Autres actifs</c:v>
                </c:pt>
              </c:strCache>
            </c:strRef>
          </c:cat>
          <c:val>
            <c:numRef>
              <c:f>'CALCULS Eau potable'!$E$21:$E$26</c:f>
              <c:numCache>
                <c:formatCode>#\ ##0\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70F6-42C0-BCAA-C0754D5C88A6}"/>
            </c:ext>
          </c:extLst>
        </c:ser>
        <c:dLbls>
          <c:showLegendKey val="0"/>
          <c:showVal val="0"/>
          <c:showCatName val="0"/>
          <c:showSerName val="0"/>
          <c:showPercent val="0"/>
          <c:showBubbleSize val="0"/>
          <c:showLeaderLines val="1"/>
        </c:dLbls>
        <c:firstSliceAng val="0"/>
        <c:holeSize val="51"/>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383105729494399E-2"/>
          <c:y val="0.17055240187999757"/>
          <c:w val="0.91938232342987358"/>
          <c:h val="0.59030153207593239"/>
        </c:manualLayout>
      </c:layout>
      <c:barChart>
        <c:barDir val="col"/>
        <c:grouping val="stacked"/>
        <c:varyColors val="0"/>
        <c:ser>
          <c:idx val="0"/>
          <c:order val="0"/>
          <c:spPr>
            <a:solidFill>
              <a:schemeClr val="accent1"/>
            </a:solidFill>
            <a:ln>
              <a:noFill/>
            </a:ln>
            <a:effectLst/>
          </c:spPr>
          <c:invertIfNegative val="0"/>
          <c:dPt>
            <c:idx val="0"/>
            <c:invertIfNegative val="0"/>
            <c:bubble3D val="0"/>
            <c:spPr>
              <a:solidFill>
                <a:schemeClr val="bg1"/>
              </a:solidFill>
              <a:ln>
                <a:solidFill>
                  <a:schemeClr val="accent5">
                    <a:lumMod val="75000"/>
                  </a:schemeClr>
                </a:solidFill>
              </a:ln>
              <a:effectLst/>
            </c:spPr>
            <c:extLst>
              <c:ext xmlns:c16="http://schemas.microsoft.com/office/drawing/2014/chart" uri="{C3380CC4-5D6E-409C-BE32-E72D297353CC}">
                <c16:uniqueId val="{00000001-C93F-4436-891C-76105C0F96A8}"/>
              </c:ext>
            </c:extLst>
          </c:dPt>
          <c:dPt>
            <c:idx val="1"/>
            <c:invertIfNegative val="0"/>
            <c:bubble3D val="0"/>
            <c:spPr>
              <a:solidFill>
                <a:schemeClr val="accent5">
                  <a:lumMod val="75000"/>
                </a:schemeClr>
              </a:solidFill>
              <a:ln>
                <a:solidFill>
                  <a:schemeClr val="accent5">
                    <a:lumMod val="75000"/>
                  </a:schemeClr>
                </a:solidFill>
              </a:ln>
              <a:effectLst/>
            </c:spPr>
            <c:extLst>
              <c:ext xmlns:c16="http://schemas.microsoft.com/office/drawing/2014/chart" uri="{C3380CC4-5D6E-409C-BE32-E72D297353CC}">
                <c16:uniqueId val="{00000003-C93F-4436-891C-76105C0F96A8}"/>
              </c:ext>
            </c:extLst>
          </c:dPt>
          <c:dPt>
            <c:idx val="2"/>
            <c:invertIfNegative val="0"/>
            <c:bubble3D val="0"/>
            <c:spPr>
              <a:solidFill>
                <a:schemeClr val="accent5">
                  <a:lumMod val="75000"/>
                </a:schemeClr>
              </a:solidFill>
              <a:ln>
                <a:solidFill>
                  <a:schemeClr val="accent5">
                    <a:lumMod val="75000"/>
                  </a:schemeClr>
                </a:solidFill>
              </a:ln>
              <a:effectLst/>
            </c:spPr>
            <c:extLst>
              <c:ext xmlns:c16="http://schemas.microsoft.com/office/drawing/2014/chart" uri="{C3380CC4-5D6E-409C-BE32-E72D297353CC}">
                <c16:uniqueId val="{00000005-C93F-4436-891C-76105C0F96A8}"/>
              </c:ext>
            </c:extLst>
          </c:dPt>
          <c:dPt>
            <c:idx val="3"/>
            <c:invertIfNegative val="0"/>
            <c:bubble3D val="0"/>
            <c:spPr>
              <a:solidFill>
                <a:schemeClr val="bg1"/>
              </a:solidFill>
              <a:ln>
                <a:solidFill>
                  <a:schemeClr val="accent5">
                    <a:lumMod val="75000"/>
                  </a:schemeClr>
                </a:solidFill>
              </a:ln>
              <a:effectLst/>
            </c:spPr>
            <c:extLst>
              <c:ext xmlns:c16="http://schemas.microsoft.com/office/drawing/2014/chart" uri="{C3380CC4-5D6E-409C-BE32-E72D297353CC}">
                <c16:uniqueId val="{00000007-C93F-4436-891C-76105C0F96A8}"/>
              </c:ext>
            </c:extLst>
          </c:dPt>
          <c:dLbls>
            <c:dLbl>
              <c:idx val="0"/>
              <c:layout>
                <c:manualLayout>
                  <c:x val="-2.3038156947444204E-2"/>
                  <c:y val="0.29019607843137257"/>
                </c:manualLayout>
              </c:layout>
              <c:spPr>
                <a:noFill/>
                <a:ln>
                  <a:noFill/>
                </a:ln>
                <a:effectLst/>
              </c:spPr>
              <c:txPr>
                <a:bodyPr rot="0" spcFirstLastPara="1" vertOverflow="ellipsis" vert="horz" wrap="square" lIns="38100" tIns="19050" rIns="38100" bIns="19050" anchor="ctr" anchorCtr="0">
                  <a:sp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3F-4436-891C-76105C0F96A8}"/>
                </c:ext>
              </c:extLst>
            </c:dLbl>
            <c:dLbl>
              <c:idx val="1"/>
              <c:layout>
                <c:manualLayout>
                  <c:x val="1.1519191850478734E-2"/>
                  <c:y val="0.34613930484123012"/>
                </c:manualLayout>
              </c:layout>
              <c:spPr>
                <a:noFill/>
                <a:ln>
                  <a:noFill/>
                </a:ln>
                <a:effectLst/>
              </c:spPr>
              <c:txPr>
                <a:bodyPr rot="0" spcFirstLastPara="1" vertOverflow="ellipsis" vert="horz" wrap="square" lIns="38100" tIns="19050" rIns="38100" bIns="19050" anchor="b" anchorCtr="0">
                  <a:no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25349183403910358"/>
                      <c:h val="0.24243557623478884"/>
                    </c:manualLayout>
                  </c15:layout>
                </c:ext>
                <c:ext xmlns:c16="http://schemas.microsoft.com/office/drawing/2014/chart" uri="{C3380CC4-5D6E-409C-BE32-E72D297353CC}">
                  <c16:uniqueId val="{00000003-C93F-4436-891C-76105C0F96A8}"/>
                </c:ext>
              </c:extLst>
            </c:dLbl>
            <c:dLbl>
              <c:idx val="2"/>
              <c:layout>
                <c:manualLayout>
                  <c:x val="-1.1519078473722102E-2"/>
                  <c:y val="0.13398024668881708"/>
                </c:manualLayout>
              </c:layout>
              <c:spPr>
                <a:noFill/>
                <a:ln>
                  <a:noFill/>
                </a:ln>
                <a:effectLst/>
              </c:spPr>
              <c:txPr>
                <a:bodyPr rot="0" spcFirstLastPara="1" vertOverflow="ellipsis" vert="horz" wrap="square" lIns="38100" tIns="19050" rIns="38100" bIns="19050" anchor="b" anchorCtr="0">
                  <a:no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2554067674586033"/>
                      <c:h val="0.23384344603983326"/>
                    </c:manualLayout>
                  </c15:layout>
                </c:ext>
                <c:ext xmlns:c16="http://schemas.microsoft.com/office/drawing/2014/chart" uri="{C3380CC4-5D6E-409C-BE32-E72D297353CC}">
                  <c16:uniqueId val="{00000005-C93F-4436-891C-76105C0F96A8}"/>
                </c:ext>
              </c:extLst>
            </c:dLbl>
            <c:dLbl>
              <c:idx val="3"/>
              <c:layout>
                <c:manualLayout>
                  <c:x val="1.0079080287750102E-2"/>
                  <c:y val="0.20299303627508988"/>
                </c:manualLayout>
              </c:layout>
              <c:spPr>
                <a:noFill/>
                <a:ln>
                  <a:noFill/>
                </a:ln>
                <a:effectLst/>
              </c:spPr>
              <c:txPr>
                <a:bodyPr rot="0" spcFirstLastPara="1" vertOverflow="ellipsis" vert="horz" wrap="square" lIns="38100" tIns="19050" rIns="38100" bIns="19050" anchor="ctr" anchorCtr="0">
                  <a:sp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19395248380129587"/>
                      <c:h val="0.22125490196078429"/>
                    </c:manualLayout>
                  </c15:layout>
                </c:ext>
                <c:ext xmlns:c16="http://schemas.microsoft.com/office/drawing/2014/chart" uri="{C3380CC4-5D6E-409C-BE32-E72D297353CC}">
                  <c16:uniqueId val="{00000007-C93F-4436-891C-76105C0F96A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cat>
            <c:strRef>
              <c:f>'CALCULS Eau potable'!$D$276:$D$279</c:f>
              <c:strCache>
                <c:ptCount val="4"/>
                <c:pt idx="0">
                  <c:v>Budget planifié</c:v>
                </c:pt>
                <c:pt idx="1">
                  <c:v>Coûts prévisionnels</c:v>
                </c:pt>
                <c:pt idx="2">
                  <c:v>Coûts prévisionnels</c:v>
                </c:pt>
                <c:pt idx="3">
                  <c:v>Budget planifié</c:v>
                </c:pt>
              </c:strCache>
            </c:strRef>
          </c:cat>
          <c:val>
            <c:numRef>
              <c:f>'CALCULS Eau potable'!$E$276:$E$279</c:f>
              <c:numCache>
                <c:formatCode>"$"#,##0_);[Red]\("$"#,##0\)</c:formatCode>
                <c:ptCount val="4"/>
                <c:pt idx="0">
                  <c:v>0</c:v>
                </c:pt>
                <c:pt idx="1">
                  <c:v>0</c:v>
                </c:pt>
                <c:pt idx="2">
                  <c:v>0</c:v>
                </c:pt>
                <c:pt idx="3">
                  <c:v>0</c:v>
                </c:pt>
              </c:numCache>
            </c:numRef>
          </c:val>
          <c:extLst>
            <c:ext xmlns:c16="http://schemas.microsoft.com/office/drawing/2014/chart" uri="{C3380CC4-5D6E-409C-BE32-E72D297353CC}">
              <c16:uniqueId val="{00000008-C93F-4436-891C-76105C0F96A8}"/>
            </c:ext>
          </c:extLst>
        </c:ser>
        <c:ser>
          <c:idx val="1"/>
          <c:order val="1"/>
          <c:tx>
            <c:strRef>
              <c:f>'CALCULS Eau potable'!$F$275</c:f>
              <c:strCache>
                <c:ptCount val="1"/>
                <c:pt idx="0">
                  <c:v>Déficit de financement</c:v>
                </c:pt>
              </c:strCache>
            </c:strRef>
          </c:tx>
          <c:spPr>
            <a:solidFill>
              <a:srgbClr val="C00000"/>
            </a:solidFill>
            <a:ln>
              <a:solidFill>
                <a:srgbClr val="C00000"/>
              </a:solidFill>
            </a:ln>
            <a:effectLst/>
          </c:spPr>
          <c:invertIfNegative val="0"/>
          <c:dLbls>
            <c:dLbl>
              <c:idx val="0"/>
              <c:layout>
                <c:manualLayout>
                  <c:x val="4.4273510087696921E-2"/>
                  <c:y val="-0.2357684289463817"/>
                </c:manualLayout>
              </c:layout>
              <c:spPr>
                <a:noFill/>
                <a:ln>
                  <a:noFill/>
                </a:ln>
                <a:effectLst/>
              </c:spPr>
              <c:txPr>
                <a:bodyPr rot="0" spcFirstLastPara="1" vertOverflow="ellipsis" vert="horz" wrap="square" lIns="38100" tIns="19050" rIns="38100" bIns="19050" anchor="ctr" anchorCtr="0">
                  <a:no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30740493259238116"/>
                      <c:h val="0.22839075751369226"/>
                    </c:manualLayout>
                  </c15:layout>
                </c:ext>
                <c:ext xmlns:c16="http://schemas.microsoft.com/office/drawing/2014/chart" uri="{C3380CC4-5D6E-409C-BE32-E72D297353CC}">
                  <c16:uniqueId val="{00000009-C93F-4436-891C-76105C0F96A8}"/>
                </c:ext>
              </c:extLst>
            </c:dLbl>
            <c:dLbl>
              <c:idx val="1"/>
              <c:delete val="1"/>
              <c:extLst>
                <c:ext xmlns:c15="http://schemas.microsoft.com/office/drawing/2012/chart" uri="{CE6537A1-D6FC-4f65-9D91-7224C49458BB}"/>
                <c:ext xmlns:c16="http://schemas.microsoft.com/office/drawing/2014/chart" uri="{C3380CC4-5D6E-409C-BE32-E72D297353CC}">
                  <c16:uniqueId val="{0000000A-C93F-4436-891C-76105C0F96A8}"/>
                </c:ext>
              </c:extLst>
            </c:dLbl>
            <c:dLbl>
              <c:idx val="2"/>
              <c:delete val="1"/>
              <c:extLst>
                <c:ext xmlns:c15="http://schemas.microsoft.com/office/drawing/2012/chart" uri="{CE6537A1-D6FC-4f65-9D91-7224C49458BB}"/>
                <c:ext xmlns:c16="http://schemas.microsoft.com/office/drawing/2014/chart" uri="{C3380CC4-5D6E-409C-BE32-E72D297353CC}">
                  <c16:uniqueId val="{0000000B-C93F-4436-891C-76105C0F96A8}"/>
                </c:ext>
              </c:extLst>
            </c:dLbl>
            <c:dLbl>
              <c:idx val="3"/>
              <c:layout>
                <c:manualLayout>
                  <c:x val="-3.3461449068326606E-2"/>
                  <c:y val="-0.46431316085489316"/>
                </c:manualLayout>
              </c:layout>
              <c:spPr>
                <a:noFill/>
                <a:ln>
                  <a:noFill/>
                </a:ln>
                <a:effectLst/>
              </c:spPr>
              <c:txPr>
                <a:bodyPr rot="0" spcFirstLastPara="1" vertOverflow="ellipsis" vert="horz" wrap="square" lIns="38100" tIns="19050" rIns="38100" bIns="19050" anchor="ctr" anchorCtr="0">
                  <a:no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30772414642199569"/>
                      <c:h val="0.22587373946677719"/>
                    </c:manualLayout>
                  </c15:layout>
                </c:ext>
                <c:ext xmlns:c16="http://schemas.microsoft.com/office/drawing/2014/chart" uri="{C3380CC4-5D6E-409C-BE32-E72D297353CC}">
                  <c16:uniqueId val="{0000000C-C93F-4436-891C-76105C0F96A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'CALCULS Eau potable'!$D$276:$D$279</c:f>
              <c:strCache>
                <c:ptCount val="4"/>
                <c:pt idx="0">
                  <c:v>Budget planifié</c:v>
                </c:pt>
                <c:pt idx="1">
                  <c:v>Coûts prévisionnels</c:v>
                </c:pt>
                <c:pt idx="2">
                  <c:v>Coûts prévisionnels</c:v>
                </c:pt>
                <c:pt idx="3">
                  <c:v>Budget planifié</c:v>
                </c:pt>
              </c:strCache>
            </c:strRef>
          </c:cat>
          <c:val>
            <c:numRef>
              <c:f>'CALCULS Eau potable'!$F$276:$F$279</c:f>
              <c:numCache>
                <c:formatCode>General</c:formatCode>
                <c:ptCount val="4"/>
                <c:pt idx="0" formatCode="&quot;$&quot;#,##0_);[Red]\(&quot;$&quot;#,##0\)">
                  <c:v>0</c:v>
                </c:pt>
                <c:pt idx="1">
                  <c:v>0</c:v>
                </c:pt>
                <c:pt idx="2">
                  <c:v>0</c:v>
                </c:pt>
                <c:pt idx="3" formatCode="&quot;$&quot;#,##0_);[Red]\(&quot;$&quot;#,##0\)">
                  <c:v>0</c:v>
                </c:pt>
              </c:numCache>
            </c:numRef>
          </c:val>
          <c:extLst>
            <c:ext xmlns:c16="http://schemas.microsoft.com/office/drawing/2014/chart" uri="{C3380CC4-5D6E-409C-BE32-E72D297353CC}">
              <c16:uniqueId val="{0000000D-C93F-4436-891C-76105C0F96A8}"/>
            </c:ext>
          </c:extLst>
        </c:ser>
        <c:dLbls>
          <c:showLegendKey val="0"/>
          <c:showVal val="0"/>
          <c:showCatName val="0"/>
          <c:showSerName val="0"/>
          <c:showPercent val="0"/>
          <c:showBubbleSize val="0"/>
        </c:dLbls>
        <c:gapWidth val="16"/>
        <c:overlap val="100"/>
        <c:axId val="1692711760"/>
        <c:axId val="1692710096"/>
      </c:barChart>
      <c:catAx>
        <c:axId val="1692711760"/>
        <c:scaling>
          <c:orientation val="minMax"/>
        </c:scaling>
        <c:delete val="1"/>
        <c:axPos val="b"/>
        <c:numFmt formatCode="General" sourceLinked="1"/>
        <c:majorTickMark val="none"/>
        <c:minorTickMark val="none"/>
        <c:tickLblPos val="low"/>
        <c:crossAx val="1692710096"/>
        <c:crosses val="autoZero"/>
        <c:auto val="1"/>
        <c:lblAlgn val="ctr"/>
        <c:lblOffset val="100"/>
        <c:noMultiLvlLbl val="0"/>
      </c:catAx>
      <c:valAx>
        <c:axId val="1692710096"/>
        <c:scaling>
          <c:orientation val="minMax"/>
        </c:scaling>
        <c:delete val="1"/>
        <c:axPos val="l"/>
        <c:numFmt formatCode="&quot;$&quot;#,##0_);[Red]\(&quot;$&quot;#,##0\)" sourceLinked="1"/>
        <c:majorTickMark val="none"/>
        <c:minorTickMark val="none"/>
        <c:tickLblPos val="nextTo"/>
        <c:crossAx val="1692711760"/>
        <c:crosses val="autoZero"/>
        <c:crossBetween val="between"/>
      </c:valAx>
      <c:spPr>
        <a:noFill/>
        <a:ln>
          <a:noFill/>
        </a:ln>
        <a:effectLst/>
      </c:spPr>
    </c:plotArea>
    <c:plotVisOnly val="1"/>
    <c:dispBlanksAs val="gap"/>
    <c:showDLblsOverMax val="0"/>
  </c:chart>
  <c:spPr>
    <a:solidFill>
      <a:srgbClr val="FFFFFF">
        <a:alpha val="0"/>
      </a:srgb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372431894289073E-2"/>
          <c:y val="0.16786329599720359"/>
          <c:w val="0.87717304733460044"/>
          <c:h val="0.60495757129254779"/>
        </c:manualLayout>
      </c:layout>
      <c:barChart>
        <c:barDir val="col"/>
        <c:grouping val="stacked"/>
        <c:varyColors val="0"/>
        <c:ser>
          <c:idx val="0"/>
          <c:order val="0"/>
          <c:spPr>
            <a:solidFill>
              <a:schemeClr val="accent1"/>
            </a:solidFill>
            <a:ln>
              <a:solidFill>
                <a:schemeClr val="accent5">
                  <a:lumMod val="75000"/>
                </a:schemeClr>
              </a:solidFill>
            </a:ln>
            <a:effectLst/>
          </c:spPr>
          <c:invertIfNegative val="0"/>
          <c:dPt>
            <c:idx val="0"/>
            <c:invertIfNegative val="0"/>
            <c:bubble3D val="0"/>
            <c:spPr>
              <a:solidFill>
                <a:schemeClr val="bg1"/>
              </a:solidFill>
              <a:ln>
                <a:solidFill>
                  <a:schemeClr val="accent5">
                    <a:lumMod val="75000"/>
                  </a:schemeClr>
                </a:solidFill>
              </a:ln>
              <a:effectLst/>
            </c:spPr>
            <c:extLst>
              <c:ext xmlns:c16="http://schemas.microsoft.com/office/drawing/2014/chart" uri="{C3380CC4-5D6E-409C-BE32-E72D297353CC}">
                <c16:uniqueId val="{00000001-873A-4FEF-8586-B1A0B7B30C49}"/>
              </c:ext>
            </c:extLst>
          </c:dPt>
          <c:dPt>
            <c:idx val="1"/>
            <c:invertIfNegative val="0"/>
            <c:bubble3D val="0"/>
            <c:spPr>
              <a:solidFill>
                <a:srgbClr val="EEB500"/>
              </a:solidFill>
              <a:ln>
                <a:solidFill>
                  <a:schemeClr val="accent5">
                    <a:lumMod val="75000"/>
                  </a:schemeClr>
                </a:solidFill>
              </a:ln>
              <a:effectLst/>
            </c:spPr>
            <c:extLst>
              <c:ext xmlns:c16="http://schemas.microsoft.com/office/drawing/2014/chart" uri="{C3380CC4-5D6E-409C-BE32-E72D297353CC}">
                <c16:uniqueId val="{00000003-873A-4FEF-8586-B1A0B7B30C49}"/>
              </c:ext>
            </c:extLst>
          </c:dPt>
          <c:dPt>
            <c:idx val="2"/>
            <c:invertIfNegative val="0"/>
            <c:bubble3D val="0"/>
            <c:spPr>
              <a:solidFill>
                <a:srgbClr val="EEB500"/>
              </a:solidFill>
              <a:ln>
                <a:solidFill>
                  <a:schemeClr val="accent5">
                    <a:lumMod val="75000"/>
                  </a:schemeClr>
                </a:solidFill>
              </a:ln>
              <a:effectLst/>
            </c:spPr>
            <c:extLst>
              <c:ext xmlns:c16="http://schemas.microsoft.com/office/drawing/2014/chart" uri="{C3380CC4-5D6E-409C-BE32-E72D297353CC}">
                <c16:uniqueId val="{00000005-873A-4FEF-8586-B1A0B7B30C49}"/>
              </c:ext>
            </c:extLst>
          </c:dPt>
          <c:dPt>
            <c:idx val="3"/>
            <c:invertIfNegative val="0"/>
            <c:bubble3D val="0"/>
            <c:spPr>
              <a:solidFill>
                <a:schemeClr val="bg1"/>
              </a:solidFill>
              <a:ln>
                <a:solidFill>
                  <a:schemeClr val="accent5">
                    <a:lumMod val="75000"/>
                  </a:schemeClr>
                </a:solidFill>
              </a:ln>
              <a:effectLst/>
            </c:spPr>
            <c:extLst>
              <c:ext xmlns:c16="http://schemas.microsoft.com/office/drawing/2014/chart" uri="{C3380CC4-5D6E-409C-BE32-E72D297353CC}">
                <c16:uniqueId val="{00000007-873A-4FEF-8586-B1A0B7B30C49}"/>
              </c:ext>
            </c:extLst>
          </c:dPt>
          <c:dLbls>
            <c:dLbl>
              <c:idx val="0"/>
              <c:layout>
                <c:manualLayout>
                  <c:x val="-1.4367816091954037E-2"/>
                  <c:y val="0.14901979190340203"/>
                </c:manualLayout>
              </c:layout>
              <c:spPr>
                <a:noFill/>
                <a:ln>
                  <a:noFill/>
                </a:ln>
                <a:effectLst/>
              </c:spPr>
              <c:txPr>
                <a:bodyPr rot="0" spcFirstLastPara="1" vertOverflow="ellipsis" vert="horz" wrap="square" lIns="38100" tIns="19050" rIns="38100" bIns="19050" anchor="b" anchorCtr="0">
                  <a:sp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separator>
</c:separator>
              <c:extLst>
                <c:ext xmlns:c15="http://schemas.microsoft.com/office/drawing/2012/chart" uri="{CE6537A1-D6FC-4f65-9D91-7224C49458BB}">
                  <c15:layout>
                    <c:manualLayout>
                      <c:w val="0.19066091954022987"/>
                      <c:h val="0.22125517524184063"/>
                    </c:manualLayout>
                  </c15:layout>
                </c:ext>
                <c:ext xmlns:c16="http://schemas.microsoft.com/office/drawing/2014/chart" uri="{C3380CC4-5D6E-409C-BE32-E72D297353CC}">
                  <c16:uniqueId val="{00000001-873A-4FEF-8586-B1A0B7B30C49}"/>
                </c:ext>
              </c:extLst>
            </c:dLbl>
            <c:dLbl>
              <c:idx val="1"/>
              <c:layout>
                <c:manualLayout>
                  <c:x val="5.7472395691917297E-3"/>
                  <c:y val="0.17254923273025488"/>
                </c:manualLayout>
              </c:layout>
              <c:spPr>
                <a:noFill/>
                <a:ln>
                  <a:noFill/>
                </a:ln>
                <a:effectLst/>
              </c:spPr>
              <c:txPr>
                <a:bodyPr rot="0" spcFirstLastPara="1" vertOverflow="ellipsis" vert="horz" wrap="square" lIns="38100" tIns="19050" rIns="38100" bIns="19050" anchor="b" anchorCtr="0">
                  <a:no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25198275862068958"/>
                      <c:h val="0.24168688181180401"/>
                    </c:manualLayout>
                  </c15:layout>
                </c:ext>
                <c:ext xmlns:c16="http://schemas.microsoft.com/office/drawing/2014/chart" uri="{C3380CC4-5D6E-409C-BE32-E72D297353CC}">
                  <c16:uniqueId val="{00000003-873A-4FEF-8586-B1A0B7B30C49}"/>
                </c:ext>
              </c:extLst>
            </c:dLbl>
            <c:dLbl>
              <c:idx val="2"/>
              <c:layout>
                <c:manualLayout>
                  <c:x val="-5.7471264367816091E-3"/>
                  <c:y val="0.37254978854381771"/>
                </c:manualLayout>
              </c:layout>
              <c:spPr>
                <a:noFill/>
                <a:ln>
                  <a:noFill/>
                </a:ln>
                <a:effectLst/>
              </c:spPr>
              <c:txPr>
                <a:bodyPr rot="0" spcFirstLastPara="1" vertOverflow="ellipsis" vert="horz" wrap="square" lIns="38100" tIns="19050" rIns="38100" bIns="19050" anchor="b" anchorCtr="0">
                  <a:no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25772988505747124"/>
                      <c:h val="0.23384373486951965"/>
                    </c:manualLayout>
                  </c15:layout>
                </c:ext>
                <c:ext xmlns:c16="http://schemas.microsoft.com/office/drawing/2014/chart" uri="{C3380CC4-5D6E-409C-BE32-E72D297353CC}">
                  <c16:uniqueId val="{00000005-873A-4FEF-8586-B1A0B7B30C49}"/>
                </c:ext>
              </c:extLst>
            </c:dLbl>
            <c:dLbl>
              <c:idx val="3"/>
              <c:layout>
                <c:manualLayout>
                  <c:x val="1.5804597701149309E-2"/>
                  <c:y val="0.18823552661482368"/>
                </c:manualLayout>
              </c:layout>
              <c:spPr>
                <a:noFill/>
                <a:ln>
                  <a:noFill/>
                </a:ln>
                <a:effectLst/>
              </c:spPr>
              <c:txPr>
                <a:bodyPr rot="0" spcFirstLastPara="1" vertOverflow="ellipsis" vert="horz" wrap="square" lIns="38100" tIns="19050" rIns="38100" bIns="19050" anchor="b" anchorCtr="0">
                  <a:sp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separator>
</c:separator>
              <c:extLst>
                <c:ext xmlns:c15="http://schemas.microsoft.com/office/drawing/2012/chart" uri="{CE6537A1-D6FC-4f65-9D91-7224C49458BB}">
                  <c15:layout>
                    <c:manualLayout>
                      <c:w val="0.18204022988505744"/>
                      <c:h val="0.22125517524184063"/>
                    </c:manualLayout>
                  </c15:layout>
                </c:ext>
                <c:ext xmlns:c16="http://schemas.microsoft.com/office/drawing/2014/chart" uri="{C3380CC4-5D6E-409C-BE32-E72D297353CC}">
                  <c16:uniqueId val="{00000007-873A-4FEF-8586-B1A0B7B30C49}"/>
                </c:ext>
              </c:extLst>
            </c:dLbl>
            <c:spPr>
              <a:noFill/>
              <a:ln>
                <a:noFill/>
              </a:ln>
              <a:effectLst/>
            </c:spPr>
            <c:txPr>
              <a:bodyPr rot="0" spcFirstLastPara="1" vertOverflow="ellipsis" vert="horz" wrap="square" lIns="38100" tIns="19050" rIns="38100" bIns="19050" anchor="b" anchorCtr="1">
                <a:spAutoFit/>
              </a:bodyPr>
              <a:lstStyle/>
              <a:p>
                <a:pP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cat>
            <c:strRef>
              <c:f>'CALCULS Eau potable'!$D$295:$D$298</c:f>
              <c:strCache>
                <c:ptCount val="4"/>
                <c:pt idx="0">
                  <c:v>Budget planifié</c:v>
                </c:pt>
                <c:pt idx="1">
                  <c:v>Coûts prévisionnels</c:v>
                </c:pt>
                <c:pt idx="2">
                  <c:v>Coûts prévisionnels</c:v>
                </c:pt>
                <c:pt idx="3">
                  <c:v>Budget planifié</c:v>
                </c:pt>
              </c:strCache>
            </c:strRef>
          </c:cat>
          <c:val>
            <c:numRef>
              <c:f>'CALCULS Eau potable'!$E$295:$E$298</c:f>
              <c:numCache>
                <c:formatCode>"$"#,##0_);[Red]\("$"#,##0\)</c:formatCode>
                <c:ptCount val="4"/>
                <c:pt idx="0">
                  <c:v>0</c:v>
                </c:pt>
                <c:pt idx="1">
                  <c:v>0</c:v>
                </c:pt>
                <c:pt idx="2">
                  <c:v>0</c:v>
                </c:pt>
                <c:pt idx="3">
                  <c:v>0</c:v>
                </c:pt>
              </c:numCache>
            </c:numRef>
          </c:val>
          <c:extLst>
            <c:ext xmlns:c16="http://schemas.microsoft.com/office/drawing/2014/chart" uri="{C3380CC4-5D6E-409C-BE32-E72D297353CC}">
              <c16:uniqueId val="{00000008-873A-4FEF-8586-B1A0B7B30C49}"/>
            </c:ext>
          </c:extLst>
        </c:ser>
        <c:ser>
          <c:idx val="1"/>
          <c:order val="1"/>
          <c:tx>
            <c:strRef>
              <c:f>'CALCULS Eau potable'!$F$294</c:f>
              <c:strCache>
                <c:ptCount val="1"/>
                <c:pt idx="0">
                  <c:v>Déficit de financement</c:v>
                </c:pt>
              </c:strCache>
            </c:strRef>
          </c:tx>
          <c:spPr>
            <a:solidFill>
              <a:srgbClr val="C00000"/>
            </a:solidFill>
            <a:ln>
              <a:solidFill>
                <a:srgbClr val="C00000"/>
              </a:solidFill>
            </a:ln>
            <a:effectLst/>
          </c:spPr>
          <c:invertIfNegative val="0"/>
          <c:dLbls>
            <c:dLbl>
              <c:idx val="0"/>
              <c:layout>
                <c:manualLayout>
                  <c:x val="3.1303737894832109E-2"/>
                  <c:y val="-0.60937443433726657"/>
                </c:manualLayout>
              </c:layout>
              <c:spPr>
                <a:noFill/>
                <a:ln>
                  <a:noFill/>
                </a:ln>
                <a:effectLst/>
              </c:spPr>
              <c:txPr>
                <a:bodyPr rot="0" spcFirstLastPara="1" vertOverflow="ellipsis" vert="horz" wrap="square" lIns="38100" tIns="19050" rIns="38100" bIns="19050" anchor="t" anchorCtr="0">
                  <a:no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30051905149787311"/>
                      <c:h val="0.24664705300274894"/>
                    </c:manualLayout>
                  </c15:layout>
                </c:ext>
                <c:ext xmlns:c16="http://schemas.microsoft.com/office/drawing/2014/chart" uri="{C3380CC4-5D6E-409C-BE32-E72D297353CC}">
                  <c16:uniqueId val="{00000009-873A-4FEF-8586-B1A0B7B30C49}"/>
                </c:ext>
              </c:extLst>
            </c:dLbl>
            <c:dLbl>
              <c:idx val="1"/>
              <c:delete val="1"/>
              <c:extLst>
                <c:ext xmlns:c15="http://schemas.microsoft.com/office/drawing/2012/chart" uri="{CE6537A1-D6FC-4f65-9D91-7224C49458BB}"/>
                <c:ext xmlns:c16="http://schemas.microsoft.com/office/drawing/2014/chart" uri="{C3380CC4-5D6E-409C-BE32-E72D297353CC}">
                  <c16:uniqueId val="{0000000A-873A-4FEF-8586-B1A0B7B30C49}"/>
                </c:ext>
              </c:extLst>
            </c:dLbl>
            <c:dLbl>
              <c:idx val="2"/>
              <c:delete val="1"/>
              <c:extLst>
                <c:ext xmlns:c15="http://schemas.microsoft.com/office/drawing/2012/chart" uri="{CE6537A1-D6FC-4f65-9D91-7224C49458BB}"/>
                <c:ext xmlns:c16="http://schemas.microsoft.com/office/drawing/2014/chart" uri="{C3380CC4-5D6E-409C-BE32-E72D297353CC}">
                  <c16:uniqueId val="{0000000B-873A-4FEF-8586-B1A0B7B30C49}"/>
                </c:ext>
              </c:extLst>
            </c:dLbl>
            <c:dLbl>
              <c:idx val="3"/>
              <c:layout>
                <c:manualLayout>
                  <c:x val="-3.8634265544393157E-2"/>
                  <c:y val="-0.3637751395603096"/>
                </c:manualLayout>
              </c:layout>
              <c:spPr>
                <a:noFill/>
                <a:ln>
                  <a:noFill/>
                </a:ln>
                <a:effectLst/>
              </c:spPr>
              <c:txPr>
                <a:bodyPr rot="0" spcFirstLastPara="1" vertOverflow="ellipsis" vert="horz" wrap="square" lIns="38100" tIns="19050" rIns="38100" bIns="19050" anchor="t" anchorCtr="0">
                  <a:no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2965856638609829"/>
                      <c:h val="0.26197274199504267"/>
                    </c:manualLayout>
                  </c15:layout>
                </c:ext>
                <c:ext xmlns:c16="http://schemas.microsoft.com/office/drawing/2014/chart" uri="{C3380CC4-5D6E-409C-BE32-E72D297353CC}">
                  <c16:uniqueId val="{0000000C-873A-4FEF-8586-B1A0B7B30C49}"/>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Bahnschrift Light Condensed" panose="020B0502040204020203" pitchFamily="34" charset="0"/>
                    <a:ea typeface="+mn-ea"/>
                    <a:cs typeface="+mn-cs"/>
                  </a:defRPr>
                </a:pPr>
                <a:endParaRPr lang="fr-FR"/>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'CALCULS Eau potable'!$D$295:$D$298</c:f>
              <c:strCache>
                <c:ptCount val="4"/>
                <c:pt idx="0">
                  <c:v>Budget planifié</c:v>
                </c:pt>
                <c:pt idx="1">
                  <c:v>Coûts prévisionnels</c:v>
                </c:pt>
                <c:pt idx="2">
                  <c:v>Coûts prévisionnels</c:v>
                </c:pt>
                <c:pt idx="3">
                  <c:v>Budget planifié</c:v>
                </c:pt>
              </c:strCache>
            </c:strRef>
          </c:cat>
          <c:val>
            <c:numRef>
              <c:f>'CALCULS Eau potable'!$F$295:$F$298</c:f>
              <c:numCache>
                <c:formatCode>General</c:formatCode>
                <c:ptCount val="4"/>
                <c:pt idx="0" formatCode="&quot;$&quot;#,##0_);[Red]\(&quot;$&quot;#,##0\)">
                  <c:v>0</c:v>
                </c:pt>
                <c:pt idx="1">
                  <c:v>0</c:v>
                </c:pt>
                <c:pt idx="2">
                  <c:v>0</c:v>
                </c:pt>
                <c:pt idx="3" formatCode="&quot;$&quot;#,##0_);[Red]\(&quot;$&quot;#,##0\)">
                  <c:v>0</c:v>
                </c:pt>
              </c:numCache>
            </c:numRef>
          </c:val>
          <c:extLst>
            <c:ext xmlns:c16="http://schemas.microsoft.com/office/drawing/2014/chart" uri="{C3380CC4-5D6E-409C-BE32-E72D297353CC}">
              <c16:uniqueId val="{0000000D-873A-4FEF-8586-B1A0B7B30C49}"/>
            </c:ext>
          </c:extLst>
        </c:ser>
        <c:dLbls>
          <c:showLegendKey val="0"/>
          <c:showVal val="0"/>
          <c:showCatName val="0"/>
          <c:showSerName val="0"/>
          <c:showPercent val="0"/>
          <c:showBubbleSize val="0"/>
        </c:dLbls>
        <c:gapWidth val="16"/>
        <c:overlap val="100"/>
        <c:axId val="1692711760"/>
        <c:axId val="1692710096"/>
      </c:barChart>
      <c:catAx>
        <c:axId val="1692711760"/>
        <c:scaling>
          <c:orientation val="minMax"/>
        </c:scaling>
        <c:delete val="1"/>
        <c:axPos val="b"/>
        <c:numFmt formatCode="General" sourceLinked="1"/>
        <c:majorTickMark val="none"/>
        <c:minorTickMark val="none"/>
        <c:tickLblPos val="low"/>
        <c:crossAx val="1692710096"/>
        <c:crosses val="autoZero"/>
        <c:auto val="1"/>
        <c:lblAlgn val="ctr"/>
        <c:lblOffset val="100"/>
        <c:noMultiLvlLbl val="0"/>
      </c:catAx>
      <c:valAx>
        <c:axId val="1692710096"/>
        <c:scaling>
          <c:orientation val="minMax"/>
        </c:scaling>
        <c:delete val="1"/>
        <c:axPos val="l"/>
        <c:numFmt formatCode="&quot;$&quot;#,##0_);[Red]\(&quot;$&quot;#,##0\)" sourceLinked="1"/>
        <c:majorTickMark val="none"/>
        <c:minorTickMark val="none"/>
        <c:tickLblPos val="nextTo"/>
        <c:crossAx val="1692711760"/>
        <c:crosses val="autoZero"/>
        <c:crossBetween val="between"/>
      </c:valAx>
      <c:spPr>
        <a:noFill/>
        <a:ln>
          <a:noFill/>
        </a:ln>
        <a:effectLst/>
      </c:spPr>
    </c:plotArea>
    <c:plotVisOnly val="1"/>
    <c:dispBlanksAs val="gap"/>
    <c:showDLblsOverMax val="0"/>
  </c:chart>
  <c:spPr>
    <a:solidFill>
      <a:schemeClr val="bg1">
        <a:alpha val="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392121338814943E-2"/>
          <c:y val="0.22535549722951298"/>
          <c:w val="0.90222144798271897"/>
          <c:h val="0.55897714540068455"/>
        </c:manualLayout>
      </c:layout>
      <c:barChart>
        <c:barDir val="col"/>
        <c:grouping val="stacked"/>
        <c:varyColors val="0"/>
        <c:ser>
          <c:idx val="0"/>
          <c:order val="0"/>
          <c:spPr>
            <a:solidFill>
              <a:schemeClr val="bg1"/>
            </a:solidFill>
            <a:ln>
              <a:solidFill>
                <a:schemeClr val="accent5">
                  <a:lumMod val="75000"/>
                </a:schemeClr>
              </a:solidFill>
            </a:ln>
            <a:effectLst/>
          </c:spPr>
          <c:invertIfNegative val="0"/>
          <c:dPt>
            <c:idx val="1"/>
            <c:invertIfNegative val="0"/>
            <c:bubble3D val="0"/>
            <c:spPr>
              <a:solidFill>
                <a:schemeClr val="accent2">
                  <a:lumMod val="75000"/>
                </a:schemeClr>
              </a:solidFill>
              <a:ln>
                <a:solidFill>
                  <a:schemeClr val="accent5">
                    <a:lumMod val="75000"/>
                  </a:schemeClr>
                </a:solidFill>
              </a:ln>
              <a:effectLst/>
            </c:spPr>
            <c:extLst>
              <c:ext xmlns:c16="http://schemas.microsoft.com/office/drawing/2014/chart" uri="{C3380CC4-5D6E-409C-BE32-E72D297353CC}">
                <c16:uniqueId val="{00000001-6E98-4468-BCC2-4F7D95B72688}"/>
              </c:ext>
            </c:extLst>
          </c:dPt>
          <c:dPt>
            <c:idx val="2"/>
            <c:invertIfNegative val="0"/>
            <c:bubble3D val="0"/>
            <c:spPr>
              <a:solidFill>
                <a:schemeClr val="accent2">
                  <a:lumMod val="75000"/>
                </a:schemeClr>
              </a:solidFill>
              <a:ln>
                <a:solidFill>
                  <a:schemeClr val="accent5">
                    <a:lumMod val="75000"/>
                  </a:schemeClr>
                </a:solidFill>
              </a:ln>
              <a:effectLst/>
            </c:spPr>
            <c:extLst>
              <c:ext xmlns:c16="http://schemas.microsoft.com/office/drawing/2014/chart" uri="{C3380CC4-5D6E-409C-BE32-E72D297353CC}">
                <c16:uniqueId val="{00000003-6E98-4468-BCC2-4F7D95B72688}"/>
              </c:ext>
            </c:extLst>
          </c:dPt>
          <c:dLbls>
            <c:dLbl>
              <c:idx val="0"/>
              <c:layout>
                <c:manualLayout>
                  <c:x val="-8.8495575221238937E-3"/>
                  <c:y val="0.17153996101364521"/>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1972-46BF-8E77-161317A99440}"/>
                </c:ext>
              </c:extLst>
            </c:dLbl>
            <c:dLbl>
              <c:idx val="1"/>
              <c:layout>
                <c:manualLayout>
                  <c:x val="1.4749262536872616E-3"/>
                  <c:y val="0.31578978066338187"/>
                </c:manualLayout>
              </c:layout>
              <c:spPr>
                <a:noFill/>
                <a:ln>
                  <a:noFill/>
                </a:ln>
                <a:effectLst/>
              </c:spPr>
              <c:txPr>
                <a:bodyPr rot="0" spcFirstLastPara="1" vertOverflow="ellipsis" vert="horz" wrap="square" lIns="38100" tIns="19050" rIns="38100" bIns="19050" anchor="b" anchorCtr="0">
                  <a:no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22327433628318585"/>
                      <c:h val="0.24807048241776791"/>
                    </c:manualLayout>
                  </c15:layout>
                </c:ext>
                <c:ext xmlns:c16="http://schemas.microsoft.com/office/drawing/2014/chart" uri="{C3380CC4-5D6E-409C-BE32-E72D297353CC}">
                  <c16:uniqueId val="{00000001-6E98-4468-BCC2-4F7D95B72688}"/>
                </c:ext>
              </c:extLst>
            </c:dLbl>
            <c:dLbl>
              <c:idx val="2"/>
              <c:layout>
                <c:manualLayout>
                  <c:x val="5.8997050147492625E-3"/>
                  <c:y val="8.5770287485993926E-2"/>
                </c:manualLayout>
              </c:layout>
              <c:spPr>
                <a:noFill/>
                <a:ln>
                  <a:noFill/>
                </a:ln>
                <a:effectLst/>
              </c:spPr>
              <c:txPr>
                <a:bodyPr rot="0" spcFirstLastPara="1" vertOverflow="ellipsis" vert="horz" wrap="square" lIns="38100" tIns="19050" rIns="38100" bIns="19050" anchor="b" anchorCtr="0">
                  <a:no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24392330383480826"/>
                      <c:h val="0.2558677533729336"/>
                    </c:manualLayout>
                  </c15:layout>
                </c:ext>
                <c:ext xmlns:c16="http://schemas.microsoft.com/office/drawing/2014/chart" uri="{C3380CC4-5D6E-409C-BE32-E72D297353CC}">
                  <c16:uniqueId val="{00000003-6E98-4468-BCC2-4F7D95B72688}"/>
                </c:ext>
              </c:extLst>
            </c:dLbl>
            <c:dLbl>
              <c:idx val="3"/>
              <c:layout>
                <c:manualLayout>
                  <c:x val="1.4749262536873156E-2"/>
                  <c:y val="0.10136452241715399"/>
                </c:manualLayout>
              </c:layout>
              <c:spPr>
                <a:noFill/>
                <a:ln>
                  <a:noFill/>
                </a:ln>
                <a:effectLst/>
              </c:spPr>
              <c:txPr>
                <a:bodyPr rot="0" spcFirstLastPara="1" vertOverflow="ellipsis" vert="horz" wrap="square" lIns="38100" tIns="19050" rIns="38100" bIns="19050" anchor="b" anchorCtr="0">
                  <a:sp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1972-46BF-8E77-161317A99440}"/>
                </c:ext>
              </c:extLst>
            </c:dLbl>
            <c:spPr>
              <a:noFill/>
              <a:ln>
                <a:noFill/>
              </a:ln>
              <a:effectLst/>
            </c:spPr>
            <c:txPr>
              <a:bodyPr rot="0" spcFirstLastPara="1" vertOverflow="ellipsis" vert="horz" wrap="square" lIns="38100" tIns="19050" rIns="38100" bIns="19050" anchor="b" anchorCtr="0">
                <a:sp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cat>
            <c:strRef>
              <c:f>'CALCULS Eau potable'!$D$314:$D$317</c:f>
              <c:strCache>
                <c:ptCount val="4"/>
                <c:pt idx="0">
                  <c:v>Budget planifié</c:v>
                </c:pt>
                <c:pt idx="1">
                  <c:v>Coûts prévisionnels</c:v>
                </c:pt>
                <c:pt idx="2">
                  <c:v>Coûts prévisionnels</c:v>
                </c:pt>
                <c:pt idx="3">
                  <c:v>Budget planifié</c:v>
                </c:pt>
              </c:strCache>
            </c:strRef>
          </c:cat>
          <c:val>
            <c:numRef>
              <c:f>'CALCULS Eau potable'!$E$314:$E$317</c:f>
              <c:numCache>
                <c:formatCode>"$"#,##0_);[Red]\("$"#,##0\)</c:formatCode>
                <c:ptCount val="4"/>
                <c:pt idx="0">
                  <c:v>0</c:v>
                </c:pt>
                <c:pt idx="1">
                  <c:v>0</c:v>
                </c:pt>
                <c:pt idx="2">
                  <c:v>0</c:v>
                </c:pt>
                <c:pt idx="3">
                  <c:v>0</c:v>
                </c:pt>
              </c:numCache>
            </c:numRef>
          </c:val>
          <c:extLst>
            <c:ext xmlns:c16="http://schemas.microsoft.com/office/drawing/2014/chart" uri="{C3380CC4-5D6E-409C-BE32-E72D297353CC}">
              <c16:uniqueId val="{00000004-6E98-4468-BCC2-4F7D95B72688}"/>
            </c:ext>
          </c:extLst>
        </c:ser>
        <c:ser>
          <c:idx val="1"/>
          <c:order val="1"/>
          <c:tx>
            <c:strRef>
              <c:f>'CALCULS Eau potable'!$F$313</c:f>
              <c:strCache>
                <c:ptCount val="1"/>
                <c:pt idx="0">
                  <c:v>Déficit de financement</c:v>
                </c:pt>
              </c:strCache>
            </c:strRef>
          </c:tx>
          <c:spPr>
            <a:solidFill>
              <a:srgbClr val="C00000"/>
            </a:solidFill>
            <a:ln>
              <a:solidFill>
                <a:srgbClr val="C00000"/>
              </a:solidFill>
            </a:ln>
            <a:effectLst/>
          </c:spPr>
          <c:invertIfNegative val="0"/>
          <c:dLbls>
            <c:dLbl>
              <c:idx val="0"/>
              <c:layout>
                <c:manualLayout>
                  <c:x val="4.8440991336259967E-2"/>
                  <c:y val="-0.42297890541460093"/>
                </c:manualLayout>
              </c:layout>
              <c:spPr>
                <a:noFill/>
                <a:ln>
                  <a:noFill/>
                </a:ln>
                <a:effectLst/>
              </c:spPr>
              <c:txPr>
                <a:bodyPr rot="0" spcFirstLastPara="1" vertOverflow="ellipsis" vert="horz" wrap="square" lIns="38100" tIns="19050" rIns="38100" bIns="19050" anchor="t" anchorCtr="0">
                  <a:no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30017745569414445"/>
                      <c:h val="0.27932186254495966"/>
                    </c:manualLayout>
                  </c15:layout>
                </c:ext>
                <c:ext xmlns:c16="http://schemas.microsoft.com/office/drawing/2014/chart" uri="{C3380CC4-5D6E-409C-BE32-E72D297353CC}">
                  <c16:uniqueId val="{00000005-6E98-4468-BCC2-4F7D95B72688}"/>
                </c:ext>
              </c:extLst>
            </c:dLbl>
            <c:dLbl>
              <c:idx val="1"/>
              <c:delete val="1"/>
              <c:extLst>
                <c:ext xmlns:c15="http://schemas.microsoft.com/office/drawing/2012/chart" uri="{CE6537A1-D6FC-4f65-9D91-7224C49458BB}"/>
                <c:ext xmlns:c16="http://schemas.microsoft.com/office/drawing/2014/chart" uri="{C3380CC4-5D6E-409C-BE32-E72D297353CC}">
                  <c16:uniqueId val="{00000006-6E98-4468-BCC2-4F7D95B72688}"/>
                </c:ext>
              </c:extLst>
            </c:dLbl>
            <c:dLbl>
              <c:idx val="2"/>
              <c:delete val="1"/>
              <c:extLst>
                <c:ext xmlns:c15="http://schemas.microsoft.com/office/drawing/2012/chart" uri="{CE6537A1-D6FC-4f65-9D91-7224C49458BB}"/>
                <c:ext xmlns:c16="http://schemas.microsoft.com/office/drawing/2014/chart" uri="{C3380CC4-5D6E-409C-BE32-E72D297353CC}">
                  <c16:uniqueId val="{00000007-6E98-4468-BCC2-4F7D95B72688}"/>
                </c:ext>
              </c:extLst>
            </c:dLbl>
            <c:dLbl>
              <c:idx val="3"/>
              <c:layout>
                <c:manualLayout>
                  <c:x val="-5.752212389380542E-2"/>
                  <c:y val="-0.67549372995042289"/>
                </c:manualLayout>
              </c:layout>
              <c:spPr>
                <a:noFill/>
                <a:ln>
                  <a:noFill/>
                </a:ln>
                <a:effectLst/>
              </c:spPr>
              <c:txPr>
                <a:bodyPr rot="0" spcFirstLastPara="1" vertOverflow="ellipsis" vert="horz" wrap="square" lIns="38100" tIns="19050" rIns="38100" bIns="19050" anchor="t" anchorCtr="0">
                  <a:no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29219845306947251"/>
                      <c:h val="0.32450665888986097"/>
                    </c:manualLayout>
                  </c15:layout>
                </c:ext>
                <c:ext xmlns:c16="http://schemas.microsoft.com/office/drawing/2014/chart" uri="{C3380CC4-5D6E-409C-BE32-E72D297353CC}">
                  <c16:uniqueId val="{00000008-6E98-4468-BCC2-4F7D95B72688}"/>
                </c:ext>
              </c:extLst>
            </c:dLbl>
            <c:spPr>
              <a:noFill/>
              <a:ln>
                <a:noFill/>
              </a:ln>
              <a:effectLst/>
            </c:spPr>
            <c:txPr>
              <a:bodyPr rot="0" spcFirstLastPara="1" vertOverflow="ellipsis" vert="horz" wrap="square" lIns="38100" tIns="19050" rIns="38100" bIns="19050" anchor="t" anchorCtr="1">
                <a:spAutoFit/>
              </a:bodyPr>
              <a:lstStyle/>
              <a:p>
                <a:pP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'CALCULS Eau potable'!$D$314:$D$317</c:f>
              <c:strCache>
                <c:ptCount val="4"/>
                <c:pt idx="0">
                  <c:v>Budget planifié</c:v>
                </c:pt>
                <c:pt idx="1">
                  <c:v>Coûts prévisionnels</c:v>
                </c:pt>
                <c:pt idx="2">
                  <c:v>Coûts prévisionnels</c:v>
                </c:pt>
                <c:pt idx="3">
                  <c:v>Budget planifié</c:v>
                </c:pt>
              </c:strCache>
            </c:strRef>
          </c:cat>
          <c:val>
            <c:numRef>
              <c:f>'CALCULS Eau potable'!$F$314:$F$317</c:f>
              <c:numCache>
                <c:formatCode>General</c:formatCode>
                <c:ptCount val="4"/>
                <c:pt idx="0" formatCode="&quot;$&quot;#,##0_);[Red]\(&quot;$&quot;#,##0\)">
                  <c:v>0</c:v>
                </c:pt>
                <c:pt idx="1">
                  <c:v>0</c:v>
                </c:pt>
                <c:pt idx="2">
                  <c:v>0</c:v>
                </c:pt>
                <c:pt idx="3" formatCode="&quot;$&quot;#,##0_);[Red]\(&quot;$&quot;#,##0\)">
                  <c:v>0</c:v>
                </c:pt>
              </c:numCache>
            </c:numRef>
          </c:val>
          <c:extLst>
            <c:ext xmlns:c16="http://schemas.microsoft.com/office/drawing/2014/chart" uri="{C3380CC4-5D6E-409C-BE32-E72D297353CC}">
              <c16:uniqueId val="{00000009-6E98-4468-BCC2-4F7D95B72688}"/>
            </c:ext>
          </c:extLst>
        </c:ser>
        <c:dLbls>
          <c:showLegendKey val="0"/>
          <c:showVal val="0"/>
          <c:showCatName val="0"/>
          <c:showSerName val="0"/>
          <c:showPercent val="0"/>
          <c:showBubbleSize val="0"/>
        </c:dLbls>
        <c:gapWidth val="16"/>
        <c:overlap val="100"/>
        <c:axId val="1692711760"/>
        <c:axId val="1692710096"/>
      </c:barChart>
      <c:catAx>
        <c:axId val="1692711760"/>
        <c:scaling>
          <c:orientation val="minMax"/>
        </c:scaling>
        <c:delete val="1"/>
        <c:axPos val="b"/>
        <c:numFmt formatCode="General" sourceLinked="1"/>
        <c:majorTickMark val="none"/>
        <c:minorTickMark val="none"/>
        <c:tickLblPos val="low"/>
        <c:crossAx val="1692710096"/>
        <c:crosses val="autoZero"/>
        <c:auto val="1"/>
        <c:lblAlgn val="ctr"/>
        <c:lblOffset val="100"/>
        <c:noMultiLvlLbl val="0"/>
      </c:catAx>
      <c:valAx>
        <c:axId val="1692710096"/>
        <c:scaling>
          <c:orientation val="minMax"/>
        </c:scaling>
        <c:delete val="1"/>
        <c:axPos val="l"/>
        <c:numFmt formatCode="&quot;$&quot;#,##0_);[Red]\(&quot;$&quot;#,##0\)" sourceLinked="1"/>
        <c:majorTickMark val="none"/>
        <c:minorTickMark val="none"/>
        <c:tickLblPos val="nextTo"/>
        <c:crossAx val="1692711760"/>
        <c:crosses val="autoZero"/>
        <c:crossBetween val="between"/>
      </c:valAx>
      <c:spPr>
        <a:noFill/>
        <a:ln>
          <a:noFill/>
        </a:ln>
        <a:effectLst/>
      </c:spPr>
    </c:plotArea>
    <c:plotVisOnly val="1"/>
    <c:dispBlanksAs val="gap"/>
    <c:showDLblsOverMax val="0"/>
  </c:chart>
  <c:spPr>
    <a:solidFill>
      <a:srgbClr val="FFFFFF">
        <a:alpha val="0"/>
      </a:srgb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819805108733138E-3"/>
          <c:y val="5.5761897687317385E-3"/>
          <c:w val="0.9898423167606325"/>
          <c:h val="0.99442384218101765"/>
        </c:manualLayout>
      </c:layout>
      <c:barChart>
        <c:barDir val="bar"/>
        <c:grouping val="clustered"/>
        <c:varyColors val="0"/>
        <c:ser>
          <c:idx val="0"/>
          <c:order val="0"/>
          <c:spPr>
            <a:solidFill>
              <a:srgbClr val="BC5DCF"/>
            </a:solidFill>
            <a:ln>
              <a:noFill/>
            </a:ln>
            <a:effectLst/>
          </c:spPr>
          <c:invertIfNegative val="0"/>
          <c:cat>
            <c:strRef>
              <c:f>'CALCULS Eau potable'!$D$118:$D$123</c:f>
              <c:strCache>
                <c:ptCount val="6"/>
                <c:pt idx="0">
                  <c:v>Autre </c:v>
                </c:pt>
                <c:pt idx="1">
                  <c:v>Manque d'informations</c:v>
                </c:pt>
                <c:pt idx="2">
                  <c:v>Changements climatiques</c:v>
                </c:pt>
                <c:pt idx="3">
                  <c:v>Sous-financement</c:v>
                </c:pt>
                <c:pt idx="4">
                  <c:v>Dotation de personnel</c:v>
                </c:pt>
                <c:pt idx="5">
                  <c:v>Actifs critiques</c:v>
                </c:pt>
              </c:strCache>
            </c:strRef>
          </c:cat>
          <c:val>
            <c:numRef>
              <c:f>'CALCULS Eau potable'!$I$118:$I$123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4C06-4B02-9B45-482C95E84263}"/>
            </c:ext>
          </c:extLst>
        </c:ser>
        <c:dLbls>
          <c:showLegendKey val="0"/>
          <c:showVal val="0"/>
          <c:showCatName val="0"/>
          <c:showSerName val="0"/>
          <c:showPercent val="0"/>
          <c:showBubbleSize val="0"/>
        </c:dLbls>
        <c:gapWidth val="47"/>
        <c:axId val="1034704655"/>
        <c:axId val="1034703823"/>
      </c:barChart>
      <c:catAx>
        <c:axId val="1034704655"/>
        <c:scaling>
          <c:orientation val="minMax"/>
        </c:scaling>
        <c:delete val="1"/>
        <c:axPos val="l"/>
        <c:numFmt formatCode="General" sourceLinked="1"/>
        <c:majorTickMark val="none"/>
        <c:minorTickMark val="none"/>
        <c:tickLblPos val="nextTo"/>
        <c:crossAx val="1034703823"/>
        <c:crosses val="autoZero"/>
        <c:auto val="1"/>
        <c:lblAlgn val="ctr"/>
        <c:lblOffset val="100"/>
        <c:noMultiLvlLbl val="0"/>
      </c:catAx>
      <c:valAx>
        <c:axId val="1034703823"/>
        <c:scaling>
          <c:orientation val="minMax"/>
          <c:max val="3"/>
        </c:scaling>
        <c:delete val="1"/>
        <c:axPos val="b"/>
        <c:numFmt formatCode="General" sourceLinked="1"/>
        <c:majorTickMark val="none"/>
        <c:minorTickMark val="none"/>
        <c:tickLblPos val="nextTo"/>
        <c:crossAx val="1034704655"/>
        <c:crosses val="autoZero"/>
        <c:crossBetween val="between"/>
        <c:majorUnit val="1"/>
      </c:valAx>
      <c:spPr>
        <a:noFill/>
        <a:ln>
          <a:solidFill>
            <a:schemeClr val="bg1"/>
          </a:solid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693929387858773E-2"/>
          <c:y val="2.2002200220022004E-2"/>
          <c:w val="0.93685987638641943"/>
          <c:h val="0.95850350389369643"/>
        </c:manualLayout>
      </c:layout>
      <c:doughnut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76EC-4DE9-9EAA-9272A7F8DB2C}"/>
              </c:ext>
            </c:extLst>
          </c:dPt>
          <c:dPt>
            <c:idx val="1"/>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3-76EC-4DE9-9EAA-9272A7F8DB2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6EC-4DE9-9EAA-9272A7F8DB2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6EC-4DE9-9EAA-9272A7F8DB2C}"/>
              </c:ext>
            </c:extLst>
          </c:dPt>
          <c:dPt>
            <c:idx val="4"/>
            <c:bubble3D val="0"/>
            <c:spPr>
              <a:solidFill>
                <a:schemeClr val="tx2">
                  <a:lumMod val="60000"/>
                  <a:lumOff val="40000"/>
                </a:schemeClr>
              </a:solidFill>
              <a:ln w="19050">
                <a:solidFill>
                  <a:schemeClr val="lt1"/>
                </a:solidFill>
              </a:ln>
              <a:effectLst/>
            </c:spPr>
            <c:extLst>
              <c:ext xmlns:c16="http://schemas.microsoft.com/office/drawing/2014/chart" uri="{C3380CC4-5D6E-409C-BE32-E72D297353CC}">
                <c16:uniqueId val="{00000009-76EC-4DE9-9EAA-9272A7F8DB2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76EC-4DE9-9EAA-9272A7F8DB2C}"/>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76EC-4DE9-9EAA-9272A7F8DB2C}"/>
              </c:ext>
            </c:extLst>
          </c:dPt>
          <c:dPt>
            <c:idx val="7"/>
            <c:bubble3D val="0"/>
            <c:spPr>
              <a:solidFill>
                <a:srgbClr val="FF8181"/>
              </a:solidFill>
              <a:ln w="19050">
                <a:solidFill>
                  <a:schemeClr val="lt1"/>
                </a:solidFill>
              </a:ln>
              <a:effectLst/>
            </c:spPr>
            <c:extLst>
              <c:ext xmlns:c16="http://schemas.microsoft.com/office/drawing/2014/chart" uri="{C3380CC4-5D6E-409C-BE32-E72D297353CC}">
                <c16:uniqueId val="{0000000F-76EC-4DE9-9EAA-9272A7F8DB2C}"/>
              </c:ext>
            </c:extLst>
          </c:dPt>
          <c:dPt>
            <c:idx val="8"/>
            <c:bubble3D val="0"/>
            <c:spPr>
              <a:solidFill>
                <a:srgbClr val="FFCCCC"/>
              </a:solidFill>
              <a:ln w="19050">
                <a:solidFill>
                  <a:schemeClr val="lt1"/>
                </a:solidFill>
              </a:ln>
              <a:effectLst/>
            </c:spPr>
            <c:extLst>
              <c:ext xmlns:c16="http://schemas.microsoft.com/office/drawing/2014/chart" uri="{C3380CC4-5D6E-409C-BE32-E72D297353CC}">
                <c16:uniqueId val="{00000011-76EC-4DE9-9EAA-9272A7F8DB2C}"/>
              </c:ext>
            </c:extLst>
          </c:dPt>
          <c:dLbls>
            <c:dLbl>
              <c:idx val="4"/>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9-76EC-4DE9-9EAA-9272A7F8DB2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'CALCULS Eau potable'!$M$236:$M$244</c:f>
              <c:numCache>
                <c:formatCode>#\ ##0\ "$"</c:formatCode>
                <c:ptCount val="9"/>
                <c:pt idx="0">
                  <c:v>0</c:v>
                </c:pt>
                <c:pt idx="1">
                  <c:v>0</c:v>
                </c:pt>
                <c:pt idx="4">
                  <c:v>0</c:v>
                </c:pt>
                <c:pt idx="7">
                  <c:v>0</c:v>
                </c:pt>
                <c:pt idx="8">
                  <c:v>0</c:v>
                </c:pt>
              </c:numCache>
            </c:numRef>
          </c:val>
          <c:extLst>
            <c:ext xmlns:c16="http://schemas.microsoft.com/office/drawing/2014/chart" uri="{C3380CC4-5D6E-409C-BE32-E72D297353CC}">
              <c16:uniqueId val="{00000012-76EC-4DE9-9EAA-9272A7F8DB2C}"/>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693929387858773E-2"/>
          <c:y val="2.2002200220022004E-2"/>
          <c:w val="0.87266770092400159"/>
          <c:h val="0.97799775028121483"/>
        </c:manualLayout>
      </c:layout>
      <c:doughnut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6E70-4D7D-A7A0-99750C99264F}"/>
              </c:ext>
            </c:extLst>
          </c:dPt>
          <c:dPt>
            <c:idx val="1"/>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3-6E70-4D7D-A7A0-99750C99264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E70-4D7D-A7A0-99750C99264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E70-4D7D-A7A0-99750C99264F}"/>
              </c:ext>
            </c:extLst>
          </c:dPt>
          <c:dPt>
            <c:idx val="4"/>
            <c:bubble3D val="0"/>
            <c:spPr>
              <a:solidFill>
                <a:schemeClr val="tx2">
                  <a:lumMod val="60000"/>
                  <a:lumOff val="40000"/>
                </a:schemeClr>
              </a:solidFill>
              <a:ln w="19050">
                <a:solidFill>
                  <a:schemeClr val="lt1"/>
                </a:solidFill>
              </a:ln>
              <a:effectLst/>
            </c:spPr>
            <c:extLst>
              <c:ext xmlns:c16="http://schemas.microsoft.com/office/drawing/2014/chart" uri="{C3380CC4-5D6E-409C-BE32-E72D297353CC}">
                <c16:uniqueId val="{00000009-6E70-4D7D-A7A0-99750C99264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6E70-4D7D-A7A0-99750C99264F}"/>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6E70-4D7D-A7A0-99750C99264F}"/>
              </c:ext>
            </c:extLst>
          </c:dPt>
          <c:dPt>
            <c:idx val="7"/>
            <c:bubble3D val="0"/>
            <c:spPr>
              <a:solidFill>
                <a:srgbClr val="FF8181"/>
              </a:solidFill>
              <a:ln w="19050">
                <a:solidFill>
                  <a:schemeClr val="lt1"/>
                </a:solidFill>
              </a:ln>
              <a:effectLst/>
            </c:spPr>
            <c:extLst>
              <c:ext xmlns:c16="http://schemas.microsoft.com/office/drawing/2014/chart" uri="{C3380CC4-5D6E-409C-BE32-E72D297353CC}">
                <c16:uniqueId val="{0000000F-6E70-4D7D-A7A0-99750C99264F}"/>
              </c:ext>
            </c:extLst>
          </c:dPt>
          <c:dPt>
            <c:idx val="8"/>
            <c:bubble3D val="0"/>
            <c:spPr>
              <a:solidFill>
                <a:srgbClr val="FFCCCC"/>
              </a:solidFill>
              <a:ln w="19050">
                <a:solidFill>
                  <a:schemeClr val="lt1"/>
                </a:solidFill>
              </a:ln>
              <a:effectLst/>
            </c:spPr>
            <c:extLst>
              <c:ext xmlns:c16="http://schemas.microsoft.com/office/drawing/2014/chart" uri="{C3380CC4-5D6E-409C-BE32-E72D297353CC}">
                <c16:uniqueId val="{00000011-6E70-4D7D-A7A0-99750C99264F}"/>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6E70-4D7D-A7A0-99750C99264F}"/>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6E70-4D7D-A7A0-99750C99264F}"/>
              </c:ext>
            </c:extLst>
          </c:dPt>
          <c:dLbls>
            <c:dLbl>
              <c:idx val="4"/>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9-6E70-4D7D-A7A0-99750C99264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'CALCULS Eau potable'!$L$236:$L$246</c:f>
              <c:numCache>
                <c:formatCode>General</c:formatCode>
                <c:ptCount val="11"/>
              </c:numCache>
            </c:numRef>
          </c:cat>
          <c:val>
            <c:numRef>
              <c:f>'CALCULS Eau potable'!$M$236:$M$246</c:f>
              <c:numCache>
                <c:formatCode>#\ ##0\ "$"</c:formatCode>
                <c:ptCount val="11"/>
                <c:pt idx="0">
                  <c:v>0</c:v>
                </c:pt>
                <c:pt idx="1">
                  <c:v>0</c:v>
                </c:pt>
                <c:pt idx="4">
                  <c:v>0</c:v>
                </c:pt>
                <c:pt idx="7">
                  <c:v>0</c:v>
                </c:pt>
                <c:pt idx="8">
                  <c:v>0</c:v>
                </c:pt>
              </c:numCache>
            </c:numRef>
          </c:val>
          <c:extLst>
            <c:ext xmlns:c16="http://schemas.microsoft.com/office/drawing/2014/chart" uri="{C3380CC4-5D6E-409C-BE32-E72D297353CC}">
              <c16:uniqueId val="{00000016-6E70-4D7D-A7A0-99750C99264F}"/>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948891004009117E-2"/>
          <c:y val="0.20560273715785526"/>
          <c:w val="0.88704427331198998"/>
          <c:h val="0.56725648058037692"/>
        </c:manualLayout>
      </c:layout>
      <c:barChart>
        <c:barDir val="col"/>
        <c:grouping val="stacked"/>
        <c:varyColors val="0"/>
        <c:ser>
          <c:idx val="0"/>
          <c:order val="0"/>
          <c:spPr>
            <a:solidFill>
              <a:schemeClr val="bg1"/>
            </a:solidFill>
            <a:ln>
              <a:solidFill>
                <a:schemeClr val="accent5">
                  <a:lumMod val="75000"/>
                </a:schemeClr>
              </a:solidFill>
            </a:ln>
            <a:effectLst/>
          </c:spPr>
          <c:invertIfNegative val="0"/>
          <c:dPt>
            <c:idx val="1"/>
            <c:invertIfNegative val="0"/>
            <c:bubble3D val="0"/>
            <c:spPr>
              <a:solidFill>
                <a:schemeClr val="accent2">
                  <a:lumMod val="75000"/>
                </a:schemeClr>
              </a:solidFill>
              <a:ln>
                <a:solidFill>
                  <a:schemeClr val="accent5">
                    <a:lumMod val="75000"/>
                  </a:schemeClr>
                </a:solidFill>
              </a:ln>
              <a:effectLst/>
            </c:spPr>
            <c:extLst>
              <c:ext xmlns:c16="http://schemas.microsoft.com/office/drawing/2014/chart" uri="{C3380CC4-5D6E-409C-BE32-E72D297353CC}">
                <c16:uniqueId val="{00000001-6955-44C7-8413-97717D9B7180}"/>
              </c:ext>
            </c:extLst>
          </c:dPt>
          <c:dPt>
            <c:idx val="2"/>
            <c:invertIfNegative val="0"/>
            <c:bubble3D val="0"/>
            <c:spPr>
              <a:solidFill>
                <a:schemeClr val="accent2">
                  <a:lumMod val="75000"/>
                </a:schemeClr>
              </a:solidFill>
              <a:ln>
                <a:solidFill>
                  <a:schemeClr val="accent5">
                    <a:lumMod val="75000"/>
                  </a:schemeClr>
                </a:solidFill>
              </a:ln>
              <a:effectLst/>
            </c:spPr>
            <c:extLst>
              <c:ext xmlns:c16="http://schemas.microsoft.com/office/drawing/2014/chart" uri="{C3380CC4-5D6E-409C-BE32-E72D297353CC}">
                <c16:uniqueId val="{00000003-6955-44C7-8413-97717D9B7180}"/>
              </c:ext>
            </c:extLst>
          </c:dPt>
          <c:dLbls>
            <c:dLbl>
              <c:idx val="0"/>
              <c:layout>
                <c:manualLayout>
                  <c:x val="0"/>
                  <c:y val="0.1089720802443554"/>
                </c:manualLayout>
              </c:layout>
              <c:spPr>
                <a:noFill/>
                <a:ln>
                  <a:noFill/>
                </a:ln>
                <a:effectLst/>
              </c:spPr>
              <c:txPr>
                <a:bodyPr rot="0" spcFirstLastPara="1" vertOverflow="ellipsis" vert="horz" wrap="square" lIns="38100" tIns="19050" rIns="38100" bIns="19050" anchor="b" anchorCtr="0">
                  <a:no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separator>
</c:separator>
              <c:extLst>
                <c:ext xmlns:c15="http://schemas.microsoft.com/office/drawing/2012/chart" uri="{CE6537A1-D6FC-4f65-9D91-7224C49458BB}">
                  <c15:layout>
                    <c:manualLayout>
                      <c:w val="0.21787545787545787"/>
                      <c:h val="0.23633773848444378"/>
                    </c:manualLayout>
                  </c15:layout>
                </c:ext>
                <c:ext xmlns:c16="http://schemas.microsoft.com/office/drawing/2014/chart" uri="{C3380CC4-5D6E-409C-BE32-E72D297353CC}">
                  <c16:uniqueId val="{00000004-9E79-4CE0-A807-C63D0AC0D892}"/>
                </c:ext>
              </c:extLst>
            </c:dLbl>
            <c:dLbl>
              <c:idx val="1"/>
              <c:layout>
                <c:manualLayout>
                  <c:x val="-1.7582302212223472E-2"/>
                  <c:y val="0.10112389041257483"/>
                </c:manualLayout>
              </c:layout>
              <c:spPr>
                <a:noFill/>
                <a:ln>
                  <a:noFill/>
                </a:ln>
                <a:effectLst/>
              </c:spPr>
              <c:txPr>
                <a:bodyPr rot="0" spcFirstLastPara="1" vertOverflow="ellipsis" vert="horz" wrap="square" lIns="38100" tIns="19050" rIns="38100" bIns="19050" anchor="b" anchorCtr="0">
                  <a:no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23059340659340657"/>
                      <c:h val="0.23831490164852986"/>
                    </c:manualLayout>
                  </c15:layout>
                </c:ext>
                <c:ext xmlns:c16="http://schemas.microsoft.com/office/drawing/2014/chart" uri="{C3380CC4-5D6E-409C-BE32-E72D297353CC}">
                  <c16:uniqueId val="{00000001-6955-44C7-8413-97717D9B7180}"/>
                </c:ext>
              </c:extLst>
            </c:dLbl>
            <c:dLbl>
              <c:idx val="2"/>
              <c:layout>
                <c:manualLayout>
                  <c:x val="-8.7912087912087912E-3"/>
                  <c:y val="0.10486920876463476"/>
                </c:manualLayout>
              </c:layout>
              <c:spPr>
                <a:noFill/>
                <a:ln>
                  <a:noFill/>
                </a:ln>
                <a:effectLst/>
              </c:spPr>
              <c:txPr>
                <a:bodyPr rot="0" spcFirstLastPara="1" vertOverflow="ellipsis" vert="horz" wrap="square" lIns="38100" tIns="19050" rIns="38100" bIns="19050" anchor="b" anchorCtr="0">
                  <a:no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24231501831501831"/>
                      <c:h val="0.23831490164852986"/>
                    </c:manualLayout>
                  </c15:layout>
                </c:ext>
                <c:ext xmlns:c16="http://schemas.microsoft.com/office/drawing/2014/chart" uri="{C3380CC4-5D6E-409C-BE32-E72D297353CC}">
                  <c16:uniqueId val="{00000003-6955-44C7-8413-97717D9B7180}"/>
                </c:ext>
              </c:extLst>
            </c:dLbl>
            <c:dLbl>
              <c:idx val="3"/>
              <c:layout>
                <c:manualLayout>
                  <c:x val="2.6373511003432264E-2"/>
                  <c:y val="0.10815464127500522"/>
                </c:manualLayout>
              </c:layout>
              <c:spPr>
                <a:noFill/>
                <a:ln>
                  <a:noFill/>
                </a:ln>
                <a:effectLst/>
              </c:spPr>
              <c:txPr>
                <a:bodyPr rot="0" spcFirstLastPara="1" vertOverflow="ellipsis" vert="horz" wrap="square" lIns="38100" tIns="19050" rIns="38100" bIns="19050" anchor="b" anchorCtr="0">
                  <a:no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separator>
</c:separator>
              <c:extLst>
                <c:ext xmlns:c15="http://schemas.microsoft.com/office/drawing/2012/chart" uri="{CE6537A1-D6FC-4f65-9D91-7224C49458BB}">
                  <c15:layout>
                    <c:manualLayout>
                      <c:w val="0.18857142857142856"/>
                      <c:h val="0.23470276741723073"/>
                    </c:manualLayout>
                  </c15:layout>
                </c:ext>
                <c:ext xmlns:c16="http://schemas.microsoft.com/office/drawing/2014/chart" uri="{C3380CC4-5D6E-409C-BE32-E72D297353CC}">
                  <c16:uniqueId val="{00000005-9E79-4CE0-A807-C63D0AC0D892}"/>
                </c:ext>
              </c:extLst>
            </c:dLbl>
            <c:spPr>
              <a:noFill/>
              <a:ln>
                <a:noFill/>
              </a:ln>
              <a:effectLst/>
            </c:spPr>
            <c:txPr>
              <a:bodyPr rot="0" spcFirstLastPara="1" vertOverflow="ellipsis" vert="horz" wrap="square" lIns="38100" tIns="19050" rIns="38100" bIns="19050" anchor="b" anchorCtr="0">
                <a:sp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cat>
            <c:strRef>
              <c:f>'CALCULS Eaux usées'!$D$314:$D$317</c:f>
              <c:strCache>
                <c:ptCount val="4"/>
                <c:pt idx="0">
                  <c:v>Budget planifié</c:v>
                </c:pt>
                <c:pt idx="1">
                  <c:v>Coûts prévisionnels</c:v>
                </c:pt>
                <c:pt idx="2">
                  <c:v>Coûts prévisionnels</c:v>
                </c:pt>
                <c:pt idx="3">
                  <c:v>Budget planifié</c:v>
                </c:pt>
              </c:strCache>
            </c:strRef>
          </c:cat>
          <c:val>
            <c:numRef>
              <c:f>'CALCULS Eaux usées'!$E$314:$E$317</c:f>
              <c:numCache>
                <c:formatCode>"$"#,##0_);[Red]\("$"#,##0\)</c:formatCode>
                <c:ptCount val="4"/>
                <c:pt idx="0">
                  <c:v>0</c:v>
                </c:pt>
                <c:pt idx="1">
                  <c:v>0</c:v>
                </c:pt>
                <c:pt idx="2">
                  <c:v>0</c:v>
                </c:pt>
                <c:pt idx="3">
                  <c:v>0</c:v>
                </c:pt>
              </c:numCache>
            </c:numRef>
          </c:val>
          <c:extLst>
            <c:ext xmlns:c16="http://schemas.microsoft.com/office/drawing/2014/chart" uri="{C3380CC4-5D6E-409C-BE32-E72D297353CC}">
              <c16:uniqueId val="{00000004-6955-44C7-8413-97717D9B7180}"/>
            </c:ext>
          </c:extLst>
        </c:ser>
        <c:ser>
          <c:idx val="1"/>
          <c:order val="1"/>
          <c:tx>
            <c:strRef>
              <c:f>'CALCULS Eaux usées'!$F$313</c:f>
              <c:strCache>
                <c:ptCount val="1"/>
                <c:pt idx="0">
                  <c:v>Déficit de financement</c:v>
                </c:pt>
              </c:strCache>
            </c:strRef>
          </c:tx>
          <c:spPr>
            <a:solidFill>
              <a:srgbClr val="C00000"/>
            </a:solidFill>
            <a:ln>
              <a:solidFill>
                <a:srgbClr val="C00000"/>
              </a:solidFill>
            </a:ln>
            <a:effectLst/>
          </c:spPr>
          <c:invertIfNegative val="0"/>
          <c:dLbls>
            <c:dLbl>
              <c:idx val="0"/>
              <c:layout>
                <c:manualLayout>
                  <c:x val="4.7883822214530879E-2"/>
                  <c:y val="-0.65706715031407592"/>
                </c:manualLayout>
              </c:layout>
              <c:spPr>
                <a:noFill/>
                <a:ln>
                  <a:noFill/>
                </a:ln>
                <a:effectLst/>
              </c:spPr>
              <c:txPr>
                <a:bodyPr rot="0" spcFirstLastPara="1" vertOverflow="ellipsis" vert="horz" wrap="square" lIns="38100" tIns="19050" rIns="38100" bIns="19050" anchor="t" anchorCtr="0">
                  <a:no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31293674415100026"/>
                      <c:h val="0.23158315437842997"/>
                    </c:manualLayout>
                  </c15:layout>
                </c:ext>
                <c:ext xmlns:c16="http://schemas.microsoft.com/office/drawing/2014/chart" uri="{C3380CC4-5D6E-409C-BE32-E72D297353CC}">
                  <c16:uniqueId val="{00000005-6955-44C7-8413-97717D9B7180}"/>
                </c:ext>
              </c:extLst>
            </c:dLbl>
            <c:dLbl>
              <c:idx val="1"/>
              <c:delete val="1"/>
              <c:extLst>
                <c:ext xmlns:c15="http://schemas.microsoft.com/office/drawing/2012/chart" uri="{CE6537A1-D6FC-4f65-9D91-7224C49458BB}"/>
                <c:ext xmlns:c16="http://schemas.microsoft.com/office/drawing/2014/chart" uri="{C3380CC4-5D6E-409C-BE32-E72D297353CC}">
                  <c16:uniqueId val="{00000006-6955-44C7-8413-97717D9B7180}"/>
                </c:ext>
              </c:extLst>
            </c:dLbl>
            <c:dLbl>
              <c:idx val="2"/>
              <c:delete val="1"/>
              <c:extLst>
                <c:ext xmlns:c15="http://schemas.microsoft.com/office/drawing/2012/chart" uri="{CE6537A1-D6FC-4f65-9D91-7224C49458BB}"/>
                <c:ext xmlns:c16="http://schemas.microsoft.com/office/drawing/2014/chart" uri="{C3380CC4-5D6E-409C-BE32-E72D297353CC}">
                  <c16:uniqueId val="{00000007-6955-44C7-8413-97717D9B7180}"/>
                </c:ext>
              </c:extLst>
            </c:dLbl>
            <c:dLbl>
              <c:idx val="3"/>
              <c:layout>
                <c:manualLayout>
                  <c:x val="-5.1445530847105653E-2"/>
                  <c:y val="-0.6554439824235454"/>
                </c:manualLayout>
              </c:layout>
              <c:spPr>
                <a:noFill/>
                <a:ln>
                  <a:noFill/>
                </a:ln>
                <a:effectLst/>
              </c:spPr>
              <c:txPr>
                <a:bodyPr rot="0" spcFirstLastPara="1" vertOverflow="ellipsis" vert="horz" wrap="square" lIns="38100" tIns="19050" rIns="38100" bIns="19050" anchor="t" anchorCtr="0">
                  <a:no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33514297554910893"/>
                      <c:h val="0.23482999284180386"/>
                    </c:manualLayout>
                  </c15:layout>
                </c:ext>
                <c:ext xmlns:c16="http://schemas.microsoft.com/office/drawing/2014/chart" uri="{C3380CC4-5D6E-409C-BE32-E72D297353CC}">
                  <c16:uniqueId val="{00000008-6955-44C7-8413-97717D9B7180}"/>
                </c:ext>
              </c:extLst>
            </c:dLbl>
            <c:spPr>
              <a:noFill/>
              <a:ln>
                <a:noFill/>
              </a:ln>
              <a:effectLst/>
            </c:spPr>
            <c:txPr>
              <a:bodyPr rot="0" spcFirstLastPara="1" vertOverflow="ellipsis" vert="horz" wrap="square" lIns="38100" tIns="19050" rIns="38100" bIns="19050" anchor="t" anchorCtr="1">
                <a:spAutoFit/>
              </a:bodyPr>
              <a:lstStyle/>
              <a:p>
                <a:pP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'CALCULS Eaux usées'!$D$314:$D$317</c:f>
              <c:strCache>
                <c:ptCount val="4"/>
                <c:pt idx="0">
                  <c:v>Budget planifié</c:v>
                </c:pt>
                <c:pt idx="1">
                  <c:v>Coûts prévisionnels</c:v>
                </c:pt>
                <c:pt idx="2">
                  <c:v>Coûts prévisionnels</c:v>
                </c:pt>
                <c:pt idx="3">
                  <c:v>Budget planifié</c:v>
                </c:pt>
              </c:strCache>
            </c:strRef>
          </c:cat>
          <c:val>
            <c:numRef>
              <c:f>'CALCULS Eaux usées'!$F$314:$F$317</c:f>
              <c:numCache>
                <c:formatCode>General</c:formatCode>
                <c:ptCount val="4"/>
                <c:pt idx="0" formatCode="&quot;$&quot;#,##0_);[Red]\(&quot;$&quot;#,##0\)">
                  <c:v>0</c:v>
                </c:pt>
                <c:pt idx="1">
                  <c:v>0</c:v>
                </c:pt>
                <c:pt idx="2">
                  <c:v>0</c:v>
                </c:pt>
                <c:pt idx="3" formatCode="&quot;$&quot;#,##0_);[Red]\(&quot;$&quot;#,##0\)">
                  <c:v>0</c:v>
                </c:pt>
              </c:numCache>
            </c:numRef>
          </c:val>
          <c:extLst>
            <c:ext xmlns:c16="http://schemas.microsoft.com/office/drawing/2014/chart" uri="{C3380CC4-5D6E-409C-BE32-E72D297353CC}">
              <c16:uniqueId val="{00000009-6955-44C7-8413-97717D9B7180}"/>
            </c:ext>
          </c:extLst>
        </c:ser>
        <c:dLbls>
          <c:showLegendKey val="0"/>
          <c:showVal val="0"/>
          <c:showCatName val="0"/>
          <c:showSerName val="0"/>
          <c:showPercent val="0"/>
          <c:showBubbleSize val="0"/>
        </c:dLbls>
        <c:gapWidth val="16"/>
        <c:overlap val="100"/>
        <c:axId val="1692711760"/>
        <c:axId val="1692710096"/>
      </c:barChart>
      <c:catAx>
        <c:axId val="1692711760"/>
        <c:scaling>
          <c:orientation val="minMax"/>
        </c:scaling>
        <c:delete val="1"/>
        <c:axPos val="b"/>
        <c:numFmt formatCode="General" sourceLinked="1"/>
        <c:majorTickMark val="none"/>
        <c:minorTickMark val="none"/>
        <c:tickLblPos val="low"/>
        <c:crossAx val="1692710096"/>
        <c:crosses val="autoZero"/>
        <c:auto val="1"/>
        <c:lblAlgn val="ctr"/>
        <c:lblOffset val="100"/>
        <c:noMultiLvlLbl val="0"/>
      </c:catAx>
      <c:valAx>
        <c:axId val="1692710096"/>
        <c:scaling>
          <c:orientation val="minMax"/>
        </c:scaling>
        <c:delete val="1"/>
        <c:axPos val="l"/>
        <c:numFmt formatCode="&quot;$&quot;#,##0_);[Red]\(&quot;$&quot;#,##0\)" sourceLinked="1"/>
        <c:majorTickMark val="none"/>
        <c:minorTickMark val="none"/>
        <c:tickLblPos val="nextTo"/>
        <c:crossAx val="1692711760"/>
        <c:crosses val="autoZero"/>
        <c:crossBetween val="between"/>
      </c:valAx>
      <c:spPr>
        <a:noFill/>
        <a:ln>
          <a:noFill/>
        </a:ln>
        <a:effectLst/>
      </c:spPr>
    </c:plotArea>
    <c:plotVisOnly val="1"/>
    <c:dispBlanksAs val="gap"/>
    <c:showDLblsOverMax val="0"/>
  </c:chart>
  <c:spPr>
    <a:solidFill>
      <a:srgbClr val="FFFFFF">
        <a:alpha val="0"/>
      </a:srgb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476740076364625E-2"/>
          <c:y val="0.21410627243023195"/>
          <c:w val="0.89615894039735111"/>
          <c:h val="0.56169712299371777"/>
        </c:manualLayout>
      </c:layout>
      <c:barChart>
        <c:barDir val="col"/>
        <c:grouping val="stacked"/>
        <c:varyColors val="0"/>
        <c:ser>
          <c:idx val="0"/>
          <c:order val="0"/>
          <c:spPr>
            <a:solidFill>
              <a:schemeClr val="accent1"/>
            </a:solidFill>
            <a:ln>
              <a:solidFill>
                <a:schemeClr val="accent5">
                  <a:lumMod val="75000"/>
                </a:schemeClr>
              </a:solidFill>
            </a:ln>
            <a:effectLst/>
          </c:spPr>
          <c:invertIfNegative val="0"/>
          <c:dPt>
            <c:idx val="0"/>
            <c:invertIfNegative val="0"/>
            <c:bubble3D val="0"/>
            <c:spPr>
              <a:solidFill>
                <a:schemeClr val="bg1"/>
              </a:solidFill>
              <a:ln>
                <a:solidFill>
                  <a:schemeClr val="accent5">
                    <a:lumMod val="75000"/>
                  </a:schemeClr>
                </a:solidFill>
              </a:ln>
              <a:effectLst/>
            </c:spPr>
            <c:extLst>
              <c:ext xmlns:c16="http://schemas.microsoft.com/office/drawing/2014/chart" uri="{C3380CC4-5D6E-409C-BE32-E72D297353CC}">
                <c16:uniqueId val="{00000001-65C5-44F5-BC51-999F0142C139}"/>
              </c:ext>
            </c:extLst>
          </c:dPt>
          <c:dPt>
            <c:idx val="1"/>
            <c:invertIfNegative val="0"/>
            <c:bubble3D val="0"/>
            <c:spPr>
              <a:solidFill>
                <a:srgbClr val="EEB500"/>
              </a:solidFill>
              <a:ln>
                <a:solidFill>
                  <a:schemeClr val="accent5">
                    <a:lumMod val="75000"/>
                  </a:schemeClr>
                </a:solidFill>
              </a:ln>
              <a:effectLst/>
            </c:spPr>
            <c:extLst>
              <c:ext xmlns:c16="http://schemas.microsoft.com/office/drawing/2014/chart" uri="{C3380CC4-5D6E-409C-BE32-E72D297353CC}">
                <c16:uniqueId val="{00000003-65C5-44F5-BC51-999F0142C139}"/>
              </c:ext>
            </c:extLst>
          </c:dPt>
          <c:dPt>
            <c:idx val="2"/>
            <c:invertIfNegative val="0"/>
            <c:bubble3D val="0"/>
            <c:spPr>
              <a:solidFill>
                <a:srgbClr val="EEB500"/>
              </a:solidFill>
              <a:ln>
                <a:solidFill>
                  <a:schemeClr val="accent5">
                    <a:lumMod val="75000"/>
                  </a:schemeClr>
                </a:solidFill>
              </a:ln>
              <a:effectLst/>
            </c:spPr>
            <c:extLst>
              <c:ext xmlns:c16="http://schemas.microsoft.com/office/drawing/2014/chart" uri="{C3380CC4-5D6E-409C-BE32-E72D297353CC}">
                <c16:uniqueId val="{00000005-65C5-44F5-BC51-999F0142C139}"/>
              </c:ext>
            </c:extLst>
          </c:dPt>
          <c:dPt>
            <c:idx val="3"/>
            <c:invertIfNegative val="0"/>
            <c:bubble3D val="0"/>
            <c:spPr>
              <a:solidFill>
                <a:schemeClr val="bg1"/>
              </a:solidFill>
              <a:ln>
                <a:solidFill>
                  <a:schemeClr val="accent5">
                    <a:lumMod val="75000"/>
                  </a:schemeClr>
                </a:solidFill>
              </a:ln>
              <a:effectLst/>
            </c:spPr>
            <c:extLst>
              <c:ext xmlns:c16="http://schemas.microsoft.com/office/drawing/2014/chart" uri="{C3380CC4-5D6E-409C-BE32-E72D297353CC}">
                <c16:uniqueId val="{00000007-65C5-44F5-BC51-999F0142C139}"/>
              </c:ext>
            </c:extLst>
          </c:dPt>
          <c:dLbls>
            <c:dLbl>
              <c:idx val="0"/>
              <c:layout>
                <c:manualLayout>
                  <c:x val="1.1587955478400541E-7"/>
                  <c:y val="0.26204285166376989"/>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9823399558498894"/>
                      <c:h val="0.21741824369592866"/>
                    </c:manualLayout>
                  </c15:layout>
                </c:ext>
                <c:ext xmlns:c16="http://schemas.microsoft.com/office/drawing/2014/chart" uri="{C3380CC4-5D6E-409C-BE32-E72D297353CC}">
                  <c16:uniqueId val="{00000001-65C5-44F5-BC51-999F0142C139}"/>
                </c:ext>
              </c:extLst>
            </c:dLbl>
            <c:dLbl>
              <c:idx val="1"/>
              <c:layout>
                <c:manualLayout>
                  <c:x val="3.2376747608535691E-2"/>
                  <c:y val="0.33911388594898473"/>
                </c:manualLayout>
              </c:layout>
              <c:spPr>
                <a:noFill/>
                <a:ln>
                  <a:noFill/>
                </a:ln>
                <a:effectLst/>
              </c:spPr>
              <c:txPr>
                <a:bodyPr rot="0" spcFirstLastPara="1" vertOverflow="ellipsis" vert="horz" wrap="square" lIns="38100" tIns="19050" rIns="38100" bIns="19050" anchor="b" anchorCtr="0">
                  <a:no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28753495217071379"/>
                      <c:h val="0.24520276437289421"/>
                    </c:manualLayout>
                  </c15:layout>
                </c:ext>
                <c:ext xmlns:c16="http://schemas.microsoft.com/office/drawing/2014/chart" uri="{C3380CC4-5D6E-409C-BE32-E72D297353CC}">
                  <c16:uniqueId val="{00000003-65C5-44F5-BC51-999F0142C139}"/>
                </c:ext>
              </c:extLst>
            </c:dLbl>
            <c:dLbl>
              <c:idx val="2"/>
              <c:layout>
                <c:manualLayout>
                  <c:x val="-5.8866813833702326E-3"/>
                  <c:y val="0.15414267543135673"/>
                </c:manualLayout>
              </c:layout>
              <c:spPr>
                <a:noFill/>
                <a:ln>
                  <a:noFill/>
                </a:ln>
                <a:effectLst/>
              </c:spPr>
              <c:txPr>
                <a:bodyPr rot="0" spcFirstLastPara="1" vertOverflow="ellipsis" vert="horz" wrap="square" lIns="38100" tIns="19050" rIns="38100" bIns="19050" anchor="b" anchorCtr="0">
                  <a:no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24927152317880794"/>
                      <c:h val="0.23749563060132636"/>
                    </c:manualLayout>
                  </c15:layout>
                </c:ext>
                <c:ext xmlns:c16="http://schemas.microsoft.com/office/drawing/2014/chart" uri="{C3380CC4-5D6E-409C-BE32-E72D297353CC}">
                  <c16:uniqueId val="{00000005-65C5-44F5-BC51-999F0142C139}"/>
                </c:ext>
              </c:extLst>
            </c:dLbl>
            <c:dLbl>
              <c:idx val="3"/>
              <c:layout>
                <c:manualLayout>
                  <c:x val="1.4716703458425313E-2"/>
                  <c:y val="0.13102157754711655"/>
                </c:manualLayout>
              </c:layout>
              <c:spPr>
                <a:noFill/>
                <a:ln>
                  <a:noFill/>
                </a:ln>
                <a:effectLst/>
              </c:spPr>
              <c:txPr>
                <a:bodyPr rot="0" spcFirstLastPara="1" vertOverflow="ellipsis" vert="horz" wrap="square" lIns="38100" tIns="19050" rIns="38100" bIns="19050" anchor="b" anchorCtr="0">
                  <a:sp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separator>
</c:separator>
              <c:extLst>
                <c:ext xmlns:c15="http://schemas.microsoft.com/office/drawing/2012/chart" uri="{CE6537A1-D6FC-4f65-9D91-7224C49458BB}">
                  <c15:layout>
                    <c:manualLayout>
                      <c:w val="0.20706401766004415"/>
                      <c:h val="0.21741824369592866"/>
                    </c:manualLayout>
                  </c15:layout>
                </c:ext>
                <c:ext xmlns:c16="http://schemas.microsoft.com/office/drawing/2014/chart" uri="{C3380CC4-5D6E-409C-BE32-E72D297353CC}">
                  <c16:uniqueId val="{00000007-65C5-44F5-BC51-999F0142C139}"/>
                </c:ext>
              </c:extLst>
            </c:dLbl>
            <c:spPr>
              <a:noFill/>
              <a:ln>
                <a:noFill/>
              </a:ln>
              <a:effectLst/>
            </c:spPr>
            <c:txPr>
              <a:bodyPr rot="0" spcFirstLastPara="1" vertOverflow="ellipsis" vert="horz" wrap="square" lIns="38100" tIns="19050" rIns="38100" bIns="19050" anchor="b" anchorCtr="0">
                <a:sp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cat>
            <c:strRef>
              <c:f>'CALCULS Eaux usées'!$D$295:$D$298</c:f>
              <c:strCache>
                <c:ptCount val="4"/>
                <c:pt idx="0">
                  <c:v>Budget planifié</c:v>
                </c:pt>
                <c:pt idx="1">
                  <c:v>Coûts prévisionnels</c:v>
                </c:pt>
                <c:pt idx="2">
                  <c:v>Coûts prévisionnels</c:v>
                </c:pt>
                <c:pt idx="3">
                  <c:v>Budget planifié</c:v>
                </c:pt>
              </c:strCache>
            </c:strRef>
          </c:cat>
          <c:val>
            <c:numRef>
              <c:f>'CALCULS Eaux usées'!$E$295:$E$298</c:f>
              <c:numCache>
                <c:formatCode>"$"#,##0_);[Red]\("$"#,##0\)</c:formatCode>
                <c:ptCount val="4"/>
                <c:pt idx="0">
                  <c:v>0</c:v>
                </c:pt>
                <c:pt idx="1">
                  <c:v>0</c:v>
                </c:pt>
                <c:pt idx="2">
                  <c:v>0</c:v>
                </c:pt>
                <c:pt idx="3">
                  <c:v>0</c:v>
                </c:pt>
              </c:numCache>
            </c:numRef>
          </c:val>
          <c:extLst>
            <c:ext xmlns:c16="http://schemas.microsoft.com/office/drawing/2014/chart" uri="{C3380CC4-5D6E-409C-BE32-E72D297353CC}">
              <c16:uniqueId val="{00000008-65C5-44F5-BC51-999F0142C139}"/>
            </c:ext>
          </c:extLst>
        </c:ser>
        <c:ser>
          <c:idx val="1"/>
          <c:order val="1"/>
          <c:tx>
            <c:strRef>
              <c:f>'CALCULS Eaux usées'!$F$294</c:f>
              <c:strCache>
                <c:ptCount val="1"/>
                <c:pt idx="0">
                  <c:v>Déficit de financement</c:v>
                </c:pt>
              </c:strCache>
            </c:strRef>
          </c:tx>
          <c:spPr>
            <a:solidFill>
              <a:srgbClr val="C00000"/>
            </a:solidFill>
            <a:ln>
              <a:solidFill>
                <a:schemeClr val="accent5">
                  <a:lumMod val="50000"/>
                </a:schemeClr>
              </a:solidFill>
            </a:ln>
            <a:effectLst/>
          </c:spPr>
          <c:invertIfNegative val="0"/>
          <c:dLbls>
            <c:dLbl>
              <c:idx val="0"/>
              <c:layout>
                <c:manualLayout>
                  <c:x val="4.7390218606780103E-2"/>
                  <c:y val="-0.2640379069609376"/>
                </c:manualLayout>
              </c:layout>
              <c:spPr>
                <a:noFill/>
                <a:ln>
                  <a:noFill/>
                </a:ln>
                <a:effectLst/>
              </c:spPr>
              <c:txPr>
                <a:bodyPr rot="0" spcFirstLastPara="1" vertOverflow="ellipsis" vert="horz" wrap="square" lIns="38100" tIns="19050" rIns="38100" bIns="19050" anchor="t" anchorCtr="0">
                  <a:no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30993089393237611"/>
                      <c:h val="0.22681558414133282"/>
                    </c:manualLayout>
                  </c15:layout>
                </c:ext>
                <c:ext xmlns:c16="http://schemas.microsoft.com/office/drawing/2014/chart" uri="{C3380CC4-5D6E-409C-BE32-E72D297353CC}">
                  <c16:uniqueId val="{00000009-65C5-44F5-BC51-999F0142C139}"/>
                </c:ext>
              </c:extLst>
            </c:dLbl>
            <c:dLbl>
              <c:idx val="1"/>
              <c:delete val="1"/>
              <c:extLst>
                <c:ext xmlns:c15="http://schemas.microsoft.com/office/drawing/2012/chart" uri="{CE6537A1-D6FC-4f65-9D91-7224C49458BB}"/>
                <c:ext xmlns:c16="http://schemas.microsoft.com/office/drawing/2014/chart" uri="{C3380CC4-5D6E-409C-BE32-E72D297353CC}">
                  <c16:uniqueId val="{0000000A-65C5-44F5-BC51-999F0142C139}"/>
                </c:ext>
              </c:extLst>
            </c:dLbl>
            <c:dLbl>
              <c:idx val="2"/>
              <c:delete val="1"/>
              <c:extLst>
                <c:ext xmlns:c15="http://schemas.microsoft.com/office/drawing/2012/chart" uri="{CE6537A1-D6FC-4f65-9D91-7224C49458BB}"/>
                <c:ext xmlns:c16="http://schemas.microsoft.com/office/drawing/2014/chart" uri="{C3380CC4-5D6E-409C-BE32-E72D297353CC}">
                  <c16:uniqueId val="{0000000B-65C5-44F5-BC51-999F0142C139}"/>
                </c:ext>
              </c:extLst>
            </c:dLbl>
            <c:dLbl>
              <c:idx val="3"/>
              <c:layout>
                <c:manualLayout>
                  <c:x val="-5.1054446008818435E-2"/>
                  <c:y val="-0.58366336453407641"/>
                </c:manualLayout>
              </c:layout>
              <c:spPr>
                <a:noFill/>
                <a:ln>
                  <a:noFill/>
                </a:ln>
                <a:effectLst/>
              </c:spPr>
              <c:txPr>
                <a:bodyPr rot="0" spcFirstLastPara="1" vertOverflow="ellipsis" vert="horz" wrap="square" lIns="38100" tIns="19050" rIns="38100" bIns="19050" anchor="t" anchorCtr="0">
                  <a:no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31652135247799906"/>
                      <c:h val="0.24967274071105558"/>
                    </c:manualLayout>
                  </c15:layout>
                </c:ext>
                <c:ext xmlns:c16="http://schemas.microsoft.com/office/drawing/2014/chart" uri="{C3380CC4-5D6E-409C-BE32-E72D297353CC}">
                  <c16:uniqueId val="{0000000C-65C5-44F5-BC51-999F0142C139}"/>
                </c:ext>
              </c:extLst>
            </c:dLbl>
            <c:spPr>
              <a:noFill/>
              <a:ln>
                <a:noFill/>
              </a:ln>
              <a:effectLst/>
            </c:spPr>
            <c:txPr>
              <a:bodyPr rot="0" spcFirstLastPara="1" vertOverflow="ellipsis" vert="horz" wrap="square" lIns="38100" tIns="19050" rIns="38100" bIns="19050" anchor="t" anchorCtr="1">
                <a:spAutoFit/>
              </a:bodyPr>
              <a:lstStyle/>
              <a:p>
                <a:pP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'CALCULS Eaux usées'!$D$295:$D$298</c:f>
              <c:strCache>
                <c:ptCount val="4"/>
                <c:pt idx="0">
                  <c:v>Budget planifié</c:v>
                </c:pt>
                <c:pt idx="1">
                  <c:v>Coûts prévisionnels</c:v>
                </c:pt>
                <c:pt idx="2">
                  <c:v>Coûts prévisionnels</c:v>
                </c:pt>
                <c:pt idx="3">
                  <c:v>Budget planifié</c:v>
                </c:pt>
              </c:strCache>
            </c:strRef>
          </c:cat>
          <c:val>
            <c:numRef>
              <c:f>'CALCULS Eaux usées'!$F$295:$F$298</c:f>
              <c:numCache>
                <c:formatCode>General</c:formatCode>
                <c:ptCount val="4"/>
                <c:pt idx="0" formatCode="&quot;$&quot;#,##0_);[Red]\(&quot;$&quot;#,##0\)">
                  <c:v>0</c:v>
                </c:pt>
                <c:pt idx="1">
                  <c:v>0</c:v>
                </c:pt>
                <c:pt idx="2">
                  <c:v>0</c:v>
                </c:pt>
                <c:pt idx="3" formatCode="&quot;$&quot;#,##0_);[Red]\(&quot;$&quot;#,##0\)">
                  <c:v>0</c:v>
                </c:pt>
              </c:numCache>
            </c:numRef>
          </c:val>
          <c:extLst>
            <c:ext xmlns:c16="http://schemas.microsoft.com/office/drawing/2014/chart" uri="{C3380CC4-5D6E-409C-BE32-E72D297353CC}">
              <c16:uniqueId val="{0000000D-65C5-44F5-BC51-999F0142C139}"/>
            </c:ext>
          </c:extLst>
        </c:ser>
        <c:dLbls>
          <c:showLegendKey val="0"/>
          <c:showVal val="0"/>
          <c:showCatName val="0"/>
          <c:showSerName val="0"/>
          <c:showPercent val="0"/>
          <c:showBubbleSize val="0"/>
        </c:dLbls>
        <c:gapWidth val="16"/>
        <c:overlap val="100"/>
        <c:axId val="1692711760"/>
        <c:axId val="1692710096"/>
      </c:barChart>
      <c:catAx>
        <c:axId val="1692711760"/>
        <c:scaling>
          <c:orientation val="minMax"/>
        </c:scaling>
        <c:delete val="1"/>
        <c:axPos val="b"/>
        <c:numFmt formatCode="General" sourceLinked="1"/>
        <c:majorTickMark val="none"/>
        <c:minorTickMark val="none"/>
        <c:tickLblPos val="low"/>
        <c:crossAx val="1692710096"/>
        <c:crosses val="autoZero"/>
        <c:auto val="1"/>
        <c:lblAlgn val="ctr"/>
        <c:lblOffset val="100"/>
        <c:noMultiLvlLbl val="0"/>
      </c:catAx>
      <c:valAx>
        <c:axId val="1692710096"/>
        <c:scaling>
          <c:orientation val="minMax"/>
        </c:scaling>
        <c:delete val="1"/>
        <c:axPos val="l"/>
        <c:numFmt formatCode="&quot;$&quot;#,##0_);[Red]\(&quot;$&quot;#,##0\)" sourceLinked="1"/>
        <c:majorTickMark val="none"/>
        <c:minorTickMark val="none"/>
        <c:tickLblPos val="nextTo"/>
        <c:crossAx val="1692711760"/>
        <c:crosses val="autoZero"/>
        <c:crossBetween val="between"/>
      </c:valAx>
      <c:spPr>
        <a:noFill/>
        <a:ln>
          <a:noFill/>
        </a:ln>
        <a:effectLst/>
      </c:spPr>
    </c:plotArea>
    <c:plotVisOnly val="1"/>
    <c:dispBlanksAs val="gap"/>
    <c:showDLblsOverMax val="0"/>
  </c:chart>
  <c:spPr>
    <a:solidFill>
      <a:srgbClr val="FFFFFF">
        <a:alpha val="0"/>
      </a:srgb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059008800412833E-2"/>
          <c:y val="0.16504374354131937"/>
          <c:w val="0.90373477204947439"/>
          <c:h val="0.60929659360104604"/>
        </c:manualLayout>
      </c:layout>
      <c:barChart>
        <c:barDir val="col"/>
        <c:grouping val="stacked"/>
        <c:varyColors val="0"/>
        <c:ser>
          <c:idx val="0"/>
          <c:order val="0"/>
          <c:spPr>
            <a:solidFill>
              <a:schemeClr val="accent1"/>
            </a:solidFill>
            <a:ln>
              <a:noFill/>
            </a:ln>
            <a:effectLst/>
          </c:spPr>
          <c:invertIfNegative val="0"/>
          <c:dPt>
            <c:idx val="0"/>
            <c:invertIfNegative val="0"/>
            <c:bubble3D val="0"/>
            <c:spPr>
              <a:solidFill>
                <a:schemeClr val="bg1"/>
              </a:solidFill>
              <a:ln>
                <a:solidFill>
                  <a:schemeClr val="accent5">
                    <a:lumMod val="75000"/>
                  </a:schemeClr>
                </a:solidFill>
              </a:ln>
              <a:effectLst/>
            </c:spPr>
            <c:extLst>
              <c:ext xmlns:c16="http://schemas.microsoft.com/office/drawing/2014/chart" uri="{C3380CC4-5D6E-409C-BE32-E72D297353CC}">
                <c16:uniqueId val="{00000001-7C75-4E16-B617-D2E046CD93CC}"/>
              </c:ext>
            </c:extLst>
          </c:dPt>
          <c:dPt>
            <c:idx val="1"/>
            <c:invertIfNegative val="0"/>
            <c:bubble3D val="0"/>
            <c:spPr>
              <a:solidFill>
                <a:schemeClr val="accent5">
                  <a:lumMod val="75000"/>
                </a:schemeClr>
              </a:solidFill>
              <a:ln>
                <a:solidFill>
                  <a:schemeClr val="accent5">
                    <a:lumMod val="75000"/>
                  </a:schemeClr>
                </a:solidFill>
              </a:ln>
              <a:effectLst/>
            </c:spPr>
            <c:extLst>
              <c:ext xmlns:c16="http://schemas.microsoft.com/office/drawing/2014/chart" uri="{C3380CC4-5D6E-409C-BE32-E72D297353CC}">
                <c16:uniqueId val="{00000003-7C75-4E16-B617-D2E046CD93CC}"/>
              </c:ext>
            </c:extLst>
          </c:dPt>
          <c:dPt>
            <c:idx val="2"/>
            <c:invertIfNegative val="0"/>
            <c:bubble3D val="0"/>
            <c:spPr>
              <a:solidFill>
                <a:schemeClr val="accent5">
                  <a:lumMod val="75000"/>
                </a:schemeClr>
              </a:solidFill>
              <a:ln>
                <a:solidFill>
                  <a:schemeClr val="accent5">
                    <a:lumMod val="75000"/>
                  </a:schemeClr>
                </a:solidFill>
              </a:ln>
              <a:effectLst/>
            </c:spPr>
            <c:extLst>
              <c:ext xmlns:c16="http://schemas.microsoft.com/office/drawing/2014/chart" uri="{C3380CC4-5D6E-409C-BE32-E72D297353CC}">
                <c16:uniqueId val="{00000005-7C75-4E16-B617-D2E046CD93CC}"/>
              </c:ext>
            </c:extLst>
          </c:dPt>
          <c:dPt>
            <c:idx val="3"/>
            <c:invertIfNegative val="0"/>
            <c:bubble3D val="0"/>
            <c:spPr>
              <a:solidFill>
                <a:schemeClr val="bg1"/>
              </a:solidFill>
              <a:ln>
                <a:solidFill>
                  <a:schemeClr val="accent5">
                    <a:lumMod val="75000"/>
                  </a:schemeClr>
                </a:solidFill>
              </a:ln>
              <a:effectLst/>
            </c:spPr>
            <c:extLst>
              <c:ext xmlns:c16="http://schemas.microsoft.com/office/drawing/2014/chart" uri="{C3380CC4-5D6E-409C-BE32-E72D297353CC}">
                <c16:uniqueId val="{00000007-7C75-4E16-B617-D2E046CD93CC}"/>
              </c:ext>
            </c:extLst>
          </c:dPt>
          <c:dLbls>
            <c:dLbl>
              <c:idx val="0"/>
              <c:layout>
                <c:manualLayout>
                  <c:x val="-1.7391308317085095E-2"/>
                  <c:y val="0.1395349688915149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C75-4E16-B617-D2E046CD93CC}"/>
                </c:ext>
              </c:extLst>
            </c:dLbl>
            <c:dLbl>
              <c:idx val="1"/>
              <c:layout>
                <c:manualLayout>
                  <c:x val="2.0289859703265935E-2"/>
                  <c:y val="0.14341094024961257"/>
                </c:manualLayout>
              </c:layout>
              <c:spPr>
                <a:noFill/>
                <a:ln>
                  <a:noFill/>
                </a:ln>
                <a:effectLst/>
              </c:spPr>
              <c:txPr>
                <a:bodyPr rot="0" spcFirstLastPara="1" vertOverflow="ellipsis" vert="horz" wrap="square" lIns="38100" tIns="19050" rIns="38100" bIns="19050" anchor="b" anchorCtr="0">
                  <a:no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27156527937128366"/>
                      <c:h val="0.26213224814273828"/>
                    </c:manualLayout>
                  </c15:layout>
                </c:ext>
                <c:ext xmlns:c16="http://schemas.microsoft.com/office/drawing/2014/chart" uri="{C3380CC4-5D6E-409C-BE32-E72D297353CC}">
                  <c16:uniqueId val="{00000003-7C75-4E16-B617-D2E046CD93CC}"/>
                </c:ext>
              </c:extLst>
            </c:dLbl>
            <c:dLbl>
              <c:idx val="2"/>
              <c:layout>
                <c:manualLayout>
                  <c:x val="-1.7391194200888783E-2"/>
                  <c:y val="0.29845009976811315"/>
                </c:manualLayout>
              </c:layout>
              <c:spPr>
                <a:noFill/>
                <a:ln>
                  <a:noFill/>
                </a:ln>
                <a:effectLst/>
              </c:spPr>
              <c:txPr>
                <a:bodyPr rot="0" spcFirstLastPara="1" vertOverflow="ellipsis" vert="horz" wrap="square" lIns="38100" tIns="19050" rIns="38100" bIns="19050" anchor="b" anchorCtr="0">
                  <a:no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25417397105419853"/>
                      <c:h val="0.24662836271034771"/>
                    </c:manualLayout>
                  </c15:layout>
                </c:ext>
                <c:ext xmlns:c16="http://schemas.microsoft.com/office/drawing/2014/chart" uri="{C3380CC4-5D6E-409C-BE32-E72D297353CC}">
                  <c16:uniqueId val="{00000005-7C75-4E16-B617-D2E046CD93CC}"/>
                </c:ext>
              </c:extLst>
            </c:dLbl>
            <c:dLbl>
              <c:idx val="3"/>
              <c:layout>
                <c:manualLayout>
                  <c:x val="-1.0627898974933904E-16"/>
                  <c:y val="0.31007801384240608"/>
                </c:manualLayout>
              </c:layout>
              <c:spPr>
                <a:noFill/>
                <a:ln>
                  <a:noFill/>
                </a:ln>
                <a:effectLst/>
              </c:spPr>
              <c:txPr>
                <a:bodyPr rot="0" spcFirstLastPara="1" vertOverflow="ellipsis" vert="horz" wrap="square" lIns="38100" tIns="19050" rIns="38100" bIns="19050" anchor="b" anchorCtr="0">
                  <a:sp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19811598724546098"/>
                      <c:h val="0.21868230402386862"/>
                    </c:manualLayout>
                  </c15:layout>
                </c:ext>
                <c:ext xmlns:c16="http://schemas.microsoft.com/office/drawing/2014/chart" uri="{C3380CC4-5D6E-409C-BE32-E72D297353CC}">
                  <c16:uniqueId val="{00000007-7C75-4E16-B617-D2E046CD93CC}"/>
                </c:ext>
              </c:extLst>
            </c:dLbl>
            <c:spPr>
              <a:noFill/>
              <a:ln>
                <a:noFill/>
              </a:ln>
              <a:effectLst/>
            </c:spPr>
            <c:txPr>
              <a:bodyPr rot="0" spcFirstLastPara="1" vertOverflow="ellipsis" vert="horz" wrap="square" lIns="38100" tIns="19050" rIns="38100" bIns="19050" anchor="b" anchorCtr="0">
                <a:sp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cat>
            <c:strRef>
              <c:f>'CALCULS Eaux usées'!$D$276:$D$279</c:f>
              <c:strCache>
                <c:ptCount val="4"/>
                <c:pt idx="0">
                  <c:v>Budget planifié</c:v>
                </c:pt>
                <c:pt idx="1">
                  <c:v>Coûts prévisionnels</c:v>
                </c:pt>
                <c:pt idx="2">
                  <c:v>Coûts prévisionnels</c:v>
                </c:pt>
                <c:pt idx="3">
                  <c:v>Budget planifié</c:v>
                </c:pt>
              </c:strCache>
            </c:strRef>
          </c:cat>
          <c:val>
            <c:numRef>
              <c:f>'CALCULS Eaux usées'!$E$276:$E$279</c:f>
              <c:numCache>
                <c:formatCode>"$"#,##0_);[Red]\("$"#,##0\)</c:formatCode>
                <c:ptCount val="4"/>
                <c:pt idx="0">
                  <c:v>0</c:v>
                </c:pt>
                <c:pt idx="1">
                  <c:v>0</c:v>
                </c:pt>
                <c:pt idx="2">
                  <c:v>0</c:v>
                </c:pt>
                <c:pt idx="3">
                  <c:v>0</c:v>
                </c:pt>
              </c:numCache>
            </c:numRef>
          </c:val>
          <c:extLst>
            <c:ext xmlns:c16="http://schemas.microsoft.com/office/drawing/2014/chart" uri="{C3380CC4-5D6E-409C-BE32-E72D297353CC}">
              <c16:uniqueId val="{00000008-7C75-4E16-B617-D2E046CD93CC}"/>
            </c:ext>
          </c:extLst>
        </c:ser>
        <c:ser>
          <c:idx val="1"/>
          <c:order val="1"/>
          <c:tx>
            <c:strRef>
              <c:f>'CALCULS Eaux usées'!$F$275</c:f>
              <c:strCache>
                <c:ptCount val="1"/>
                <c:pt idx="0">
                  <c:v>Déficit de financement</c:v>
                </c:pt>
              </c:strCache>
            </c:strRef>
          </c:tx>
          <c:spPr>
            <a:solidFill>
              <a:srgbClr val="C00000"/>
            </a:solidFill>
            <a:ln>
              <a:solidFill>
                <a:schemeClr val="accent5">
                  <a:lumMod val="50000"/>
                </a:schemeClr>
              </a:solidFill>
            </a:ln>
            <a:effectLst/>
          </c:spPr>
          <c:invertIfNegative val="0"/>
          <c:dLbls>
            <c:dLbl>
              <c:idx val="0"/>
              <c:layout>
                <c:manualLayout>
                  <c:x val="4.4715632709262286E-2"/>
                  <c:y val="-0.57424957226977491"/>
                </c:manualLayout>
              </c:layout>
              <c:spPr>
                <a:noFill/>
                <a:ln>
                  <a:noFill/>
                </a:ln>
                <a:effectLst/>
              </c:spPr>
              <c:txPr>
                <a:bodyPr rot="0" spcFirstLastPara="1" vertOverflow="ellipsis" vert="horz" wrap="square" lIns="38100" tIns="19050" rIns="38100" bIns="19050" anchor="t" anchorCtr="0">
                  <a:no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31672901027231737"/>
                      <c:h val="0.25184936152643839"/>
                    </c:manualLayout>
                  </c15:layout>
                </c:ext>
                <c:ext xmlns:c16="http://schemas.microsoft.com/office/drawing/2014/chart" uri="{C3380CC4-5D6E-409C-BE32-E72D297353CC}">
                  <c16:uniqueId val="{00000009-7C75-4E16-B617-D2E046CD93CC}"/>
                </c:ext>
              </c:extLst>
            </c:dLbl>
            <c:dLbl>
              <c:idx val="1"/>
              <c:delete val="1"/>
              <c:extLst>
                <c:ext xmlns:c15="http://schemas.microsoft.com/office/drawing/2012/chart" uri="{CE6537A1-D6FC-4f65-9D91-7224C49458BB}"/>
                <c:ext xmlns:c16="http://schemas.microsoft.com/office/drawing/2014/chart" uri="{C3380CC4-5D6E-409C-BE32-E72D297353CC}">
                  <c16:uniqueId val="{0000000A-7C75-4E16-B617-D2E046CD93CC}"/>
                </c:ext>
              </c:extLst>
            </c:dLbl>
            <c:dLbl>
              <c:idx val="2"/>
              <c:delete val="1"/>
              <c:extLst>
                <c:ext xmlns:c15="http://schemas.microsoft.com/office/drawing/2012/chart" uri="{CE6537A1-D6FC-4f65-9D91-7224C49458BB}"/>
                <c:ext xmlns:c16="http://schemas.microsoft.com/office/drawing/2014/chart" uri="{C3380CC4-5D6E-409C-BE32-E72D297353CC}">
                  <c16:uniqueId val="{0000000B-7C75-4E16-B617-D2E046CD93CC}"/>
                </c:ext>
              </c:extLst>
            </c:dLbl>
            <c:dLbl>
              <c:idx val="3"/>
              <c:layout>
                <c:manualLayout>
                  <c:x val="-5.0336425958330808E-2"/>
                  <c:y val="-0.23778412853819725"/>
                </c:manualLayout>
              </c:layout>
              <c:spPr>
                <a:noFill/>
                <a:ln>
                  <a:noFill/>
                </a:ln>
                <a:effectLst/>
              </c:spPr>
              <c:txPr>
                <a:bodyPr rot="0" spcFirstLastPara="1" vertOverflow="ellipsis" vert="horz" wrap="square" lIns="38100" tIns="19050" rIns="38100" bIns="19050" anchor="t" anchorCtr="0">
                  <a:no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31704811526831345"/>
                      <c:h val="0.26876021236631664"/>
                    </c:manualLayout>
                  </c15:layout>
                </c:ext>
                <c:ext xmlns:c16="http://schemas.microsoft.com/office/drawing/2014/chart" uri="{C3380CC4-5D6E-409C-BE32-E72D297353CC}">
                  <c16:uniqueId val="{0000000C-7C75-4E16-B617-D2E046CD93CC}"/>
                </c:ext>
              </c:extLst>
            </c:dLbl>
            <c:spPr>
              <a:noFill/>
              <a:ln>
                <a:noFill/>
              </a:ln>
              <a:effectLst/>
            </c:spPr>
            <c:txPr>
              <a:bodyPr rot="0" spcFirstLastPara="1" vertOverflow="ellipsis" vert="horz" wrap="square" lIns="38100" tIns="19050" rIns="38100" bIns="19050" anchor="t" anchorCtr="1">
                <a:spAutoFit/>
              </a:bodyPr>
              <a:lstStyle/>
              <a:p>
                <a:pP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'CALCULS Eaux usées'!$D$276:$D$279</c:f>
              <c:strCache>
                <c:ptCount val="4"/>
                <c:pt idx="0">
                  <c:v>Budget planifié</c:v>
                </c:pt>
                <c:pt idx="1">
                  <c:v>Coûts prévisionnels</c:v>
                </c:pt>
                <c:pt idx="2">
                  <c:v>Coûts prévisionnels</c:v>
                </c:pt>
                <c:pt idx="3">
                  <c:v>Budget planifié</c:v>
                </c:pt>
              </c:strCache>
            </c:strRef>
          </c:cat>
          <c:val>
            <c:numRef>
              <c:f>'CALCULS Eaux usées'!$F$276:$F$279</c:f>
              <c:numCache>
                <c:formatCode>General</c:formatCode>
                <c:ptCount val="4"/>
                <c:pt idx="0" formatCode="&quot;$&quot;#,##0_);[Red]\(&quot;$&quot;#,##0\)">
                  <c:v>0</c:v>
                </c:pt>
                <c:pt idx="1">
                  <c:v>0</c:v>
                </c:pt>
                <c:pt idx="2">
                  <c:v>0</c:v>
                </c:pt>
                <c:pt idx="3" formatCode="&quot;$&quot;#,##0_);[Red]\(&quot;$&quot;#,##0\)">
                  <c:v>0</c:v>
                </c:pt>
              </c:numCache>
            </c:numRef>
          </c:val>
          <c:extLst>
            <c:ext xmlns:c16="http://schemas.microsoft.com/office/drawing/2014/chart" uri="{C3380CC4-5D6E-409C-BE32-E72D297353CC}">
              <c16:uniqueId val="{0000000D-7C75-4E16-B617-D2E046CD93CC}"/>
            </c:ext>
          </c:extLst>
        </c:ser>
        <c:dLbls>
          <c:showLegendKey val="0"/>
          <c:showVal val="0"/>
          <c:showCatName val="0"/>
          <c:showSerName val="0"/>
          <c:showPercent val="0"/>
          <c:showBubbleSize val="0"/>
        </c:dLbls>
        <c:gapWidth val="16"/>
        <c:overlap val="100"/>
        <c:axId val="1692711760"/>
        <c:axId val="1692710096"/>
      </c:barChart>
      <c:catAx>
        <c:axId val="1692711760"/>
        <c:scaling>
          <c:orientation val="minMax"/>
        </c:scaling>
        <c:delete val="1"/>
        <c:axPos val="b"/>
        <c:numFmt formatCode="General" sourceLinked="1"/>
        <c:majorTickMark val="none"/>
        <c:minorTickMark val="none"/>
        <c:tickLblPos val="low"/>
        <c:crossAx val="1692710096"/>
        <c:crosses val="autoZero"/>
        <c:auto val="1"/>
        <c:lblAlgn val="ctr"/>
        <c:lblOffset val="100"/>
        <c:noMultiLvlLbl val="0"/>
      </c:catAx>
      <c:valAx>
        <c:axId val="1692710096"/>
        <c:scaling>
          <c:orientation val="minMax"/>
        </c:scaling>
        <c:delete val="1"/>
        <c:axPos val="l"/>
        <c:numFmt formatCode="&quot;$&quot;#,##0_);[Red]\(&quot;$&quot;#,##0\)" sourceLinked="1"/>
        <c:majorTickMark val="none"/>
        <c:minorTickMark val="none"/>
        <c:tickLblPos val="nextTo"/>
        <c:crossAx val="1692711760"/>
        <c:crosses val="autoZero"/>
        <c:crossBetween val="between"/>
      </c:valAx>
      <c:spPr>
        <a:noFill/>
        <a:ln>
          <a:noFill/>
        </a:ln>
        <a:effectLst/>
      </c:spPr>
    </c:plotArea>
    <c:plotVisOnly val="1"/>
    <c:dispBlanksAs val="gap"/>
    <c:showDLblsOverMax val="0"/>
  </c:chart>
  <c:spPr>
    <a:solidFill>
      <a:srgbClr val="FFFFFF">
        <a:alpha val="0"/>
      </a:srgb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95412300432523"/>
          <c:y val="6.3291139240506333E-2"/>
          <c:w val="0.83578104056560576"/>
          <c:h val="0.67402877560013041"/>
        </c:manualLayout>
      </c:layout>
      <c:barChart>
        <c:barDir val="col"/>
        <c:grouping val="stacked"/>
        <c:varyColors val="0"/>
        <c:ser>
          <c:idx val="0"/>
          <c:order val="0"/>
          <c:tx>
            <c:strRef>
              <c:f>'CALCULS Eaux usées'!$D$139</c:f>
              <c:strCache>
                <c:ptCount val="1"/>
                <c:pt idx="0">
                  <c:v>Exploitation</c:v>
                </c:pt>
              </c:strCache>
            </c:strRef>
          </c:tx>
          <c:spPr>
            <a:solidFill>
              <a:srgbClr val="00B0F0"/>
            </a:solidFill>
            <a:ln>
              <a:noFill/>
            </a:ln>
            <a:effectLst/>
          </c:spPr>
          <c:invertIfNegative val="0"/>
          <c:cat>
            <c:numRef>
              <c:f>'CALCULS Eaux usées'!$E$137:$N$137</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'CALCULS Eaux usées'!$E$139:$N$139</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415D-4607-A09F-9086462263CA}"/>
            </c:ext>
          </c:extLst>
        </c:ser>
        <c:ser>
          <c:idx val="3"/>
          <c:order val="1"/>
          <c:tx>
            <c:strRef>
              <c:f>'CALCULS Eaux usées'!$D$140</c:f>
              <c:strCache>
                <c:ptCount val="1"/>
                <c:pt idx="0">
                  <c:v>Entretien</c:v>
                </c:pt>
              </c:strCache>
            </c:strRef>
          </c:tx>
          <c:spPr>
            <a:solidFill>
              <a:srgbClr val="0070C0"/>
            </a:solidFill>
            <a:ln>
              <a:noFill/>
            </a:ln>
            <a:effectLst/>
          </c:spPr>
          <c:invertIfNegative val="0"/>
          <c:cat>
            <c:numRef>
              <c:f>'CALCULS Eaux usées'!$E$137:$N$137</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'CALCULS Eaux usées'!$E$140:$N$140</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415D-4607-A09F-9086462263CA}"/>
            </c:ext>
          </c:extLst>
        </c:ser>
        <c:ser>
          <c:idx val="4"/>
          <c:order val="2"/>
          <c:tx>
            <c:strRef>
              <c:f>'CALCULS Eaux usées'!$D$141</c:f>
              <c:strCache>
                <c:ptCount val="1"/>
                <c:pt idx="0">
                  <c:v>Renouvellement</c:v>
                </c:pt>
              </c:strCache>
            </c:strRef>
          </c:tx>
          <c:spPr>
            <a:solidFill>
              <a:schemeClr val="accent4"/>
            </a:solidFill>
            <a:ln>
              <a:noFill/>
            </a:ln>
            <a:effectLst/>
          </c:spPr>
          <c:invertIfNegative val="0"/>
          <c:val>
            <c:numRef>
              <c:f>'CALCULS Eaux usées'!$E$141:$N$141</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415D-4607-A09F-9086462263CA}"/>
            </c:ext>
          </c:extLst>
        </c:ser>
        <c:ser>
          <c:idx val="5"/>
          <c:order val="3"/>
          <c:tx>
            <c:strRef>
              <c:f>'CALCULS Eaux usées'!$D$142</c:f>
              <c:strCache>
                <c:ptCount val="1"/>
                <c:pt idx="0">
                  <c:v>Acquisition</c:v>
                </c:pt>
              </c:strCache>
            </c:strRef>
          </c:tx>
          <c:spPr>
            <a:solidFill>
              <a:schemeClr val="accent2"/>
            </a:solidFill>
            <a:ln>
              <a:noFill/>
            </a:ln>
            <a:effectLst/>
          </c:spPr>
          <c:invertIfNegative val="0"/>
          <c:val>
            <c:numRef>
              <c:f>'CALCULS Eaux usées'!$E$142:$N$142</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415D-4607-A09F-9086462263CA}"/>
            </c:ext>
          </c:extLst>
        </c:ser>
        <c:ser>
          <c:idx val="6"/>
          <c:order val="4"/>
          <c:tx>
            <c:strRef>
              <c:f>'CALCULS Eaux usées'!$D$143</c:f>
              <c:strCache>
                <c:ptCount val="1"/>
                <c:pt idx="0">
                  <c:v>Disposition</c:v>
                </c:pt>
              </c:strCache>
            </c:strRef>
          </c:tx>
          <c:spPr>
            <a:solidFill>
              <a:schemeClr val="accent4">
                <a:lumMod val="50000"/>
              </a:schemeClr>
            </a:solidFill>
            <a:ln>
              <a:noFill/>
            </a:ln>
            <a:effectLst/>
          </c:spPr>
          <c:invertIfNegative val="0"/>
          <c:val>
            <c:numRef>
              <c:f>'CALCULS Eaux usées'!$E$143:$N$143</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415D-4607-A09F-9086462263CA}"/>
            </c:ext>
          </c:extLst>
        </c:ser>
        <c:dLbls>
          <c:showLegendKey val="0"/>
          <c:showVal val="0"/>
          <c:showCatName val="0"/>
          <c:showSerName val="0"/>
          <c:showPercent val="0"/>
          <c:showBubbleSize val="0"/>
        </c:dLbls>
        <c:gapWidth val="130"/>
        <c:overlap val="100"/>
        <c:axId val="1704784576"/>
        <c:axId val="1704796224"/>
      </c:barChart>
      <c:lineChart>
        <c:grouping val="standard"/>
        <c:varyColors val="0"/>
        <c:ser>
          <c:idx val="1"/>
          <c:order val="5"/>
          <c:tx>
            <c:strRef>
              <c:f>'CALCULS Eaux usées'!$D$138</c:f>
              <c:strCache>
                <c:ptCount val="1"/>
                <c:pt idx="0">
                  <c:v>Budget actuel</c:v>
                </c:pt>
              </c:strCache>
            </c:strRef>
          </c:tx>
          <c:spPr>
            <a:ln w="22225" cap="rnd">
              <a:solidFill>
                <a:schemeClr val="tx2">
                  <a:lumMod val="50000"/>
                </a:schemeClr>
              </a:solidFill>
              <a:round/>
            </a:ln>
            <a:effectLst/>
          </c:spPr>
          <c:marker>
            <c:symbol val="none"/>
          </c:marker>
          <c:val>
            <c:numRef>
              <c:f>'CALCULS Eaux usées'!$E$138:$N$138</c:f>
              <c:numCache>
                <c:formatCode>#\ ##0\ "$"</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5-415D-4607-A09F-9086462263CA}"/>
            </c:ext>
          </c:extLst>
        </c:ser>
        <c:dLbls>
          <c:showLegendKey val="0"/>
          <c:showVal val="0"/>
          <c:showCatName val="0"/>
          <c:showSerName val="0"/>
          <c:showPercent val="0"/>
          <c:showBubbleSize val="0"/>
        </c:dLbls>
        <c:marker val="1"/>
        <c:smooth val="0"/>
        <c:axId val="1704784576"/>
        <c:axId val="1704796224"/>
      </c:lineChart>
      <c:catAx>
        <c:axId val="1704784576"/>
        <c:scaling>
          <c:orientation val="minMax"/>
        </c:scaling>
        <c:delete val="0"/>
        <c:axPos val="b"/>
        <c:numFmt formatCode="General" sourceLinked="1"/>
        <c:majorTickMark val="none"/>
        <c:minorTickMark val="none"/>
        <c:tickLblPos val="nextTo"/>
        <c:spPr>
          <a:noFill/>
          <a:ln w="9525" cap="flat" cmpd="sng" algn="ctr">
            <a:solidFill>
              <a:schemeClr val="tx2">
                <a:lumMod val="50000"/>
              </a:schemeClr>
            </a:solidFill>
            <a:round/>
          </a:ln>
          <a:effectLst/>
        </c:spPr>
        <c:txPr>
          <a:bodyPr rot="-60000000" spcFirstLastPara="1" vertOverflow="ellipsis" vert="horz" wrap="square" anchor="ctr" anchorCtr="1"/>
          <a:lstStyle/>
          <a:p>
            <a:pPr>
              <a:defRPr sz="10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crossAx val="1704796224"/>
        <c:crosses val="autoZero"/>
        <c:auto val="1"/>
        <c:lblAlgn val="ctr"/>
        <c:lblOffset val="100"/>
        <c:noMultiLvlLbl val="0"/>
      </c:catAx>
      <c:valAx>
        <c:axId val="1704796224"/>
        <c:scaling>
          <c:orientation val="minMax"/>
        </c:scaling>
        <c:delete val="0"/>
        <c:axPos val="l"/>
        <c:majorGridlines>
          <c:spPr>
            <a:ln w="9525" cap="flat" cmpd="sng" algn="ctr">
              <a:solidFill>
                <a:schemeClr val="tx1">
                  <a:lumMod val="15000"/>
                  <a:lumOff val="85000"/>
                </a:schemeClr>
              </a:solidFill>
              <a:round/>
            </a:ln>
            <a:effectLst/>
          </c:spPr>
        </c:majorGridlines>
        <c:numFmt formatCode="#\ ##0\ &quot;$&quot;" sourceLinked="1"/>
        <c:majorTickMark val="none"/>
        <c:minorTickMark val="none"/>
        <c:tickLblPos val="nextTo"/>
        <c:spPr>
          <a:noFill/>
          <a:ln>
            <a:solidFill>
              <a:schemeClr val="tx2">
                <a:lumMod val="50000"/>
              </a:schemeClr>
            </a:solidFill>
          </a:ln>
          <a:effectLst/>
        </c:spPr>
        <c:txPr>
          <a:bodyPr rot="-60000000" spcFirstLastPara="1" vertOverflow="ellipsis" vert="horz" wrap="square" anchor="ctr" anchorCtr="1"/>
          <a:lstStyle/>
          <a:p>
            <a:pPr>
              <a:defRPr sz="10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crossAx val="1704784576"/>
        <c:crosses val="autoZero"/>
        <c:crossBetween val="between"/>
      </c:valAx>
      <c:spPr>
        <a:noFill/>
        <a:ln>
          <a:noFill/>
        </a:ln>
        <a:effectLst/>
      </c:spPr>
    </c:plotArea>
    <c:legend>
      <c:legendPos val="b"/>
      <c:layout>
        <c:manualLayout>
          <c:xMode val="edge"/>
          <c:yMode val="edge"/>
          <c:x val="2.1404422745833519E-2"/>
          <c:y val="0.86365237562703723"/>
          <c:w val="0.97218424740172971"/>
          <c:h val="0.1192265101137976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049891689303024E-2"/>
          <c:y val="0.12808480335306924"/>
          <c:w val="0.95685887517335444"/>
          <c:h val="0.53369875277218259"/>
        </c:manualLayout>
      </c:layout>
      <c:barChart>
        <c:barDir val="col"/>
        <c:grouping val="clustered"/>
        <c:varyColors val="0"/>
        <c:ser>
          <c:idx val="0"/>
          <c:order val="0"/>
          <c:tx>
            <c:strRef>
              <c:f>'CALCULS Eau potable'!$D$53</c:f>
              <c:strCache>
                <c:ptCount val="1"/>
                <c:pt idx="0">
                  <c:v>LINÉAIRE</c:v>
                </c:pt>
              </c:strCache>
            </c:strRef>
          </c:tx>
          <c:spPr>
            <a:solidFill>
              <a:schemeClr val="accent1"/>
            </a:solidFill>
            <a:ln>
              <a:noFill/>
            </a:ln>
            <a:effectLst/>
          </c:spPr>
          <c:invertIfNegative val="0"/>
          <c:dPt>
            <c:idx val="0"/>
            <c:invertIfNegative val="0"/>
            <c:bubble3D val="0"/>
            <c:spPr>
              <a:solidFill>
                <a:srgbClr val="007DDA"/>
              </a:solidFill>
              <a:ln>
                <a:noFill/>
              </a:ln>
              <a:effectLst/>
            </c:spPr>
            <c:extLst>
              <c:ext xmlns:c16="http://schemas.microsoft.com/office/drawing/2014/chart" uri="{C3380CC4-5D6E-409C-BE32-E72D297353CC}">
                <c16:uniqueId val="{00000001-C056-4BCD-9F3E-718FA86E5C3C}"/>
              </c:ext>
            </c:extLst>
          </c:dPt>
          <c:dPt>
            <c:idx val="1"/>
            <c:invertIfNegative val="0"/>
            <c:bubble3D val="0"/>
            <c:spPr>
              <a:solidFill>
                <a:srgbClr val="00B050"/>
              </a:solidFill>
              <a:ln>
                <a:noFill/>
              </a:ln>
              <a:effectLst/>
            </c:spPr>
            <c:extLst>
              <c:ext xmlns:c16="http://schemas.microsoft.com/office/drawing/2014/chart" uri="{C3380CC4-5D6E-409C-BE32-E72D297353CC}">
                <c16:uniqueId val="{00000003-C056-4BCD-9F3E-718FA86E5C3C}"/>
              </c:ext>
            </c:extLst>
          </c:dPt>
          <c:dPt>
            <c:idx val="2"/>
            <c:invertIfNegative val="0"/>
            <c:bubble3D val="0"/>
            <c:spPr>
              <a:solidFill>
                <a:srgbClr val="FFD347"/>
              </a:solidFill>
              <a:ln>
                <a:noFill/>
              </a:ln>
              <a:effectLst/>
            </c:spPr>
            <c:extLst>
              <c:ext xmlns:c16="http://schemas.microsoft.com/office/drawing/2014/chart" uri="{C3380CC4-5D6E-409C-BE32-E72D297353CC}">
                <c16:uniqueId val="{00000005-C056-4BCD-9F3E-718FA86E5C3C}"/>
              </c:ext>
            </c:extLst>
          </c:dPt>
          <c:dPt>
            <c:idx val="3"/>
            <c:invertIfNegative val="0"/>
            <c:bubble3D val="0"/>
            <c:spPr>
              <a:solidFill>
                <a:srgbClr val="F98007"/>
              </a:solidFill>
              <a:ln>
                <a:noFill/>
              </a:ln>
              <a:effectLst/>
            </c:spPr>
            <c:extLst>
              <c:ext xmlns:c16="http://schemas.microsoft.com/office/drawing/2014/chart" uri="{C3380CC4-5D6E-409C-BE32-E72D297353CC}">
                <c16:uniqueId val="{00000007-C056-4BCD-9F3E-718FA86E5C3C}"/>
              </c:ext>
            </c:extLst>
          </c:dPt>
          <c:dPt>
            <c:idx val="4"/>
            <c:invertIfNegative val="0"/>
            <c:bubble3D val="0"/>
            <c:spPr>
              <a:solidFill>
                <a:srgbClr val="C00000"/>
              </a:solidFill>
              <a:ln>
                <a:noFill/>
              </a:ln>
              <a:effectLst/>
            </c:spPr>
            <c:extLst>
              <c:ext xmlns:c16="http://schemas.microsoft.com/office/drawing/2014/chart" uri="{C3380CC4-5D6E-409C-BE32-E72D297353CC}">
                <c16:uniqueId val="{00000009-C056-4BCD-9F3E-718FA86E5C3C}"/>
              </c:ext>
            </c:extLst>
          </c:dPt>
          <c:dPt>
            <c:idx val="5"/>
            <c:invertIfNegative val="0"/>
            <c:bubble3D val="0"/>
            <c:spPr>
              <a:solidFill>
                <a:schemeClr val="accent3">
                  <a:lumMod val="75000"/>
                </a:schemeClr>
              </a:solidFill>
              <a:ln>
                <a:noFill/>
              </a:ln>
              <a:effectLst/>
            </c:spPr>
            <c:extLst>
              <c:ext xmlns:c16="http://schemas.microsoft.com/office/drawing/2014/chart" uri="{C3380CC4-5D6E-409C-BE32-E72D297353CC}">
                <c16:uniqueId val="{0000000B-C056-4BCD-9F3E-718FA86E5C3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 potable'!$E$52:$J$52</c:f>
              <c:strCache>
                <c:ptCount val="6"/>
                <c:pt idx="0">
                  <c:v>Très bon 
(A)</c:v>
                </c:pt>
                <c:pt idx="1">
                  <c:v>Bon 
(B)</c:v>
                </c:pt>
                <c:pt idx="2">
                  <c:v>Acceptable
(C)</c:v>
                </c:pt>
                <c:pt idx="3">
                  <c:v>Mauvais 
(D)</c:v>
                </c:pt>
                <c:pt idx="4">
                  <c:v>Très mauvais 
(E)</c:v>
                </c:pt>
                <c:pt idx="5">
                  <c:v>Inconnu</c:v>
                </c:pt>
              </c:strCache>
            </c:strRef>
          </c:cat>
          <c:val>
            <c:numRef>
              <c:f>'CALCULS Eau potable'!$E$53:$J$53</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C056-4BCD-9F3E-718FA86E5C3C}"/>
            </c:ext>
          </c:extLst>
        </c:ser>
        <c:dLbls>
          <c:showLegendKey val="0"/>
          <c:showVal val="0"/>
          <c:showCatName val="0"/>
          <c:showSerName val="0"/>
          <c:showPercent val="0"/>
          <c:showBubbleSize val="0"/>
        </c:dLbls>
        <c:gapWidth val="71"/>
        <c:overlap val="-27"/>
        <c:axId val="1704822352"/>
        <c:axId val="1704816528"/>
      </c:barChart>
      <c:catAx>
        <c:axId val="1704822352"/>
        <c:scaling>
          <c:orientation val="minMax"/>
        </c:scaling>
        <c:delete val="0"/>
        <c:axPos val="b"/>
        <c:numFmt formatCode="General" sourceLinked="1"/>
        <c:majorTickMark val="none"/>
        <c:minorTickMark val="none"/>
        <c:tickLblPos val="nextTo"/>
        <c:spPr>
          <a:noFill/>
          <a:ln w="9525" cap="flat" cmpd="sng" algn="ctr">
            <a:solidFill>
              <a:schemeClr val="tx2">
                <a:lumMod val="50000"/>
              </a:schemeClr>
            </a:solidFill>
            <a:round/>
          </a:ln>
          <a:effectLst/>
        </c:spPr>
        <c:txPr>
          <a:bodyPr rot="-60000000" spcFirstLastPara="1" vertOverflow="ellipsis" vert="horz" wrap="square" anchor="ctr" anchorCtr="1"/>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crossAx val="1704816528"/>
        <c:crosses val="autoZero"/>
        <c:auto val="1"/>
        <c:lblAlgn val="ctr"/>
        <c:lblOffset val="100"/>
        <c:noMultiLvlLbl val="0"/>
      </c:catAx>
      <c:valAx>
        <c:axId val="1704816528"/>
        <c:scaling>
          <c:orientation val="minMax"/>
          <c:max val="1"/>
        </c:scaling>
        <c:delete val="1"/>
        <c:axPos val="l"/>
        <c:majorGridlines>
          <c:spPr>
            <a:ln w="9525" cap="flat" cmpd="sng" algn="ctr">
              <a:solidFill>
                <a:schemeClr val="tx2">
                  <a:lumMod val="20000"/>
                  <a:lumOff val="80000"/>
                </a:schemeClr>
              </a:solidFill>
              <a:round/>
            </a:ln>
            <a:effectLst/>
          </c:spPr>
        </c:majorGridlines>
        <c:numFmt formatCode="0.0%" sourceLinked="1"/>
        <c:majorTickMark val="out"/>
        <c:minorTickMark val="none"/>
        <c:tickLblPos val="nextTo"/>
        <c:crossAx val="1704822352"/>
        <c:crosses val="autoZero"/>
        <c:crossBetween val="between"/>
        <c:majorUnit val="0.2"/>
        <c:minorUnit val="0.1"/>
      </c:valAx>
      <c:spPr>
        <a:solidFill>
          <a:srgbClr val="E7F0F9"/>
        </a:solidFill>
        <a:ln>
          <a:solidFill>
            <a:schemeClr val="tx2">
              <a:lumMod val="60000"/>
              <a:lumOff val="4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693929387858773E-2"/>
          <c:y val="2.2002200220022004E-2"/>
          <c:w val="0.93685987638641943"/>
          <c:h val="0.95850350389369643"/>
        </c:manualLayout>
      </c:layout>
      <c:doughnut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9DF3-41FB-8953-8C294B7077BA}"/>
              </c:ext>
            </c:extLst>
          </c:dPt>
          <c:dPt>
            <c:idx val="1"/>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3-9DF3-41FB-8953-8C294B7077B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DF3-41FB-8953-8C294B7077B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DF3-41FB-8953-8C294B7077BA}"/>
              </c:ext>
            </c:extLst>
          </c:dPt>
          <c:dPt>
            <c:idx val="4"/>
            <c:bubble3D val="0"/>
            <c:spPr>
              <a:solidFill>
                <a:schemeClr val="tx2">
                  <a:lumMod val="60000"/>
                  <a:lumOff val="40000"/>
                </a:schemeClr>
              </a:solidFill>
              <a:ln w="19050">
                <a:solidFill>
                  <a:schemeClr val="lt1"/>
                </a:solidFill>
              </a:ln>
              <a:effectLst/>
            </c:spPr>
            <c:extLst>
              <c:ext xmlns:c16="http://schemas.microsoft.com/office/drawing/2014/chart" uri="{C3380CC4-5D6E-409C-BE32-E72D297353CC}">
                <c16:uniqueId val="{00000009-9DF3-41FB-8953-8C294B7077B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9DF3-41FB-8953-8C294B7077B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9DF3-41FB-8953-8C294B7077BA}"/>
              </c:ext>
            </c:extLst>
          </c:dPt>
          <c:dPt>
            <c:idx val="7"/>
            <c:bubble3D val="0"/>
            <c:spPr>
              <a:solidFill>
                <a:srgbClr val="FF8181"/>
              </a:solidFill>
              <a:ln w="19050">
                <a:solidFill>
                  <a:schemeClr val="lt1"/>
                </a:solidFill>
              </a:ln>
              <a:effectLst/>
            </c:spPr>
            <c:extLst>
              <c:ext xmlns:c16="http://schemas.microsoft.com/office/drawing/2014/chart" uri="{C3380CC4-5D6E-409C-BE32-E72D297353CC}">
                <c16:uniqueId val="{0000000F-9DF3-41FB-8953-8C294B7077BA}"/>
              </c:ext>
            </c:extLst>
          </c:dPt>
          <c:dPt>
            <c:idx val="8"/>
            <c:bubble3D val="0"/>
            <c:spPr>
              <a:solidFill>
                <a:srgbClr val="FFCCCC"/>
              </a:solidFill>
              <a:ln w="19050">
                <a:solidFill>
                  <a:schemeClr val="lt1"/>
                </a:solidFill>
              </a:ln>
              <a:effectLst/>
            </c:spPr>
            <c:extLst>
              <c:ext xmlns:c16="http://schemas.microsoft.com/office/drawing/2014/chart" uri="{C3380CC4-5D6E-409C-BE32-E72D297353CC}">
                <c16:uniqueId val="{00000011-9DF3-41FB-8953-8C294B7077BA}"/>
              </c:ext>
            </c:extLst>
          </c:dPt>
          <c:dLbls>
            <c:dLbl>
              <c:idx val="4"/>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9-9DF3-41FB-8953-8C294B7077B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'CALCULS Eaux usées'!$M$236:$M$244</c:f>
              <c:numCache>
                <c:formatCode>#\ ##0\ "$"</c:formatCode>
                <c:ptCount val="9"/>
                <c:pt idx="0">
                  <c:v>0</c:v>
                </c:pt>
                <c:pt idx="1">
                  <c:v>0</c:v>
                </c:pt>
                <c:pt idx="4">
                  <c:v>0</c:v>
                </c:pt>
                <c:pt idx="7">
                  <c:v>0</c:v>
                </c:pt>
                <c:pt idx="8">
                  <c:v>0</c:v>
                </c:pt>
              </c:numCache>
            </c:numRef>
          </c:val>
          <c:extLst>
            <c:ext xmlns:c16="http://schemas.microsoft.com/office/drawing/2014/chart" uri="{C3380CC4-5D6E-409C-BE32-E72D297353CC}">
              <c16:uniqueId val="{00000012-9DF3-41FB-8953-8C294B7077BA}"/>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0391873162856577E-2"/>
          <c:y val="5.4827852400802853E-2"/>
          <c:w val="0.98835965620351618"/>
          <c:h val="0.89603828933148066"/>
        </c:manualLayout>
      </c:layout>
      <c:barChart>
        <c:barDir val="bar"/>
        <c:grouping val="percentStacked"/>
        <c:varyColors val="0"/>
        <c:ser>
          <c:idx val="0"/>
          <c:order val="0"/>
          <c:tx>
            <c:strRef>
              <c:f>'CALCULS Eaux usées'!$D$210</c:f>
              <c:strCache>
                <c:ptCount val="1"/>
                <c:pt idx="0">
                  <c:v>Exploitation</c:v>
                </c:pt>
              </c:strCache>
            </c:strRef>
          </c:tx>
          <c:spPr>
            <a:solidFill>
              <a:schemeClr val="accent1"/>
            </a:solidFill>
            <a:ln>
              <a:noFill/>
            </a:ln>
            <a:effectLst/>
          </c:spPr>
          <c:invertIfNegative val="0"/>
          <c:dPt>
            <c:idx val="0"/>
            <c:invertIfNegative val="0"/>
            <c:bubble3D val="0"/>
            <c:spPr>
              <a:solidFill>
                <a:srgbClr val="00B0F0"/>
              </a:solidFill>
              <a:ln>
                <a:noFill/>
              </a:ln>
              <a:effectLst/>
            </c:spPr>
            <c:extLst>
              <c:ext xmlns:c16="http://schemas.microsoft.com/office/drawing/2014/chart" uri="{C3380CC4-5D6E-409C-BE32-E72D297353CC}">
                <c16:uniqueId val="{00000001-0926-42CD-B38B-FE6671D4C12B}"/>
              </c:ext>
            </c:extLst>
          </c:dPt>
          <c:val>
            <c:numRef>
              <c:f>'CALCULS Eaux usées'!$O$210</c:f>
              <c:numCache>
                <c:formatCode>#\ ##0\ "$"</c:formatCode>
                <c:ptCount val="1"/>
                <c:pt idx="0">
                  <c:v>0</c:v>
                </c:pt>
              </c:numCache>
            </c:numRef>
          </c:val>
          <c:extLst>
            <c:ext xmlns:c16="http://schemas.microsoft.com/office/drawing/2014/chart" uri="{C3380CC4-5D6E-409C-BE32-E72D297353CC}">
              <c16:uniqueId val="{00000002-0926-42CD-B38B-FE6671D4C12B}"/>
            </c:ext>
          </c:extLst>
        </c:ser>
        <c:ser>
          <c:idx val="1"/>
          <c:order val="1"/>
          <c:tx>
            <c:strRef>
              <c:f>'CALCULS Eaux usées'!$D$211</c:f>
              <c:strCache>
                <c:ptCount val="1"/>
                <c:pt idx="0">
                  <c:v>Entretien</c:v>
                </c:pt>
              </c:strCache>
            </c:strRef>
          </c:tx>
          <c:spPr>
            <a:solidFill>
              <a:srgbClr val="0070C0"/>
            </a:solidFill>
            <a:ln>
              <a:noFill/>
            </a:ln>
            <a:effectLst/>
          </c:spPr>
          <c:invertIfNegative val="0"/>
          <c:val>
            <c:numRef>
              <c:f>'CALCULS Eaux usées'!$O$211</c:f>
              <c:numCache>
                <c:formatCode>#\ ##0\ "$"</c:formatCode>
                <c:ptCount val="1"/>
                <c:pt idx="0">
                  <c:v>0</c:v>
                </c:pt>
              </c:numCache>
            </c:numRef>
          </c:val>
          <c:extLst>
            <c:ext xmlns:c16="http://schemas.microsoft.com/office/drawing/2014/chart" uri="{C3380CC4-5D6E-409C-BE32-E72D297353CC}">
              <c16:uniqueId val="{00000004-0926-42CD-B38B-FE6671D4C12B}"/>
            </c:ext>
          </c:extLst>
        </c:ser>
        <c:ser>
          <c:idx val="2"/>
          <c:order val="2"/>
          <c:tx>
            <c:strRef>
              <c:f>'CALCULS Eaux usées'!$D$212</c:f>
              <c:strCache>
                <c:ptCount val="1"/>
                <c:pt idx="0">
                  <c:v>Renouvellement</c:v>
                </c:pt>
              </c:strCache>
            </c:strRef>
          </c:tx>
          <c:spPr>
            <a:solidFill>
              <a:schemeClr val="accent4"/>
            </a:solidFill>
            <a:ln>
              <a:noFill/>
            </a:ln>
            <a:effectLst/>
          </c:spPr>
          <c:invertIfNegative val="0"/>
          <c:val>
            <c:numRef>
              <c:f>'CALCULS Eaux usées'!$O$212</c:f>
              <c:numCache>
                <c:formatCode>#\ ##0\ "$"</c:formatCode>
                <c:ptCount val="1"/>
                <c:pt idx="0">
                  <c:v>0</c:v>
                </c:pt>
              </c:numCache>
            </c:numRef>
          </c:val>
          <c:extLst>
            <c:ext xmlns:c16="http://schemas.microsoft.com/office/drawing/2014/chart" uri="{C3380CC4-5D6E-409C-BE32-E72D297353CC}">
              <c16:uniqueId val="{00000006-0926-42CD-B38B-FE6671D4C12B}"/>
            </c:ext>
          </c:extLst>
        </c:ser>
        <c:ser>
          <c:idx val="3"/>
          <c:order val="3"/>
          <c:tx>
            <c:strRef>
              <c:f>'CALCULS Eaux usées'!$D$213</c:f>
              <c:strCache>
                <c:ptCount val="1"/>
                <c:pt idx="0">
                  <c:v>Acquisition</c:v>
                </c:pt>
              </c:strCache>
            </c:strRef>
          </c:tx>
          <c:spPr>
            <a:solidFill>
              <a:schemeClr val="accent2"/>
            </a:solidFill>
            <a:ln>
              <a:noFill/>
            </a:ln>
            <a:effectLst/>
          </c:spPr>
          <c:invertIfNegative val="0"/>
          <c:val>
            <c:numRef>
              <c:f>'CALCULS Eaux usées'!$O$213</c:f>
              <c:numCache>
                <c:formatCode>#\ ##0\ "$"</c:formatCode>
                <c:ptCount val="1"/>
                <c:pt idx="0">
                  <c:v>0</c:v>
                </c:pt>
              </c:numCache>
            </c:numRef>
          </c:val>
          <c:extLst>
            <c:ext xmlns:c16="http://schemas.microsoft.com/office/drawing/2014/chart" uri="{C3380CC4-5D6E-409C-BE32-E72D297353CC}">
              <c16:uniqueId val="{00000008-0926-42CD-B38B-FE6671D4C12B}"/>
            </c:ext>
          </c:extLst>
        </c:ser>
        <c:ser>
          <c:idx val="4"/>
          <c:order val="4"/>
          <c:tx>
            <c:strRef>
              <c:f>'CALCULS Eaux usées'!$D$214</c:f>
              <c:strCache>
                <c:ptCount val="1"/>
                <c:pt idx="0">
                  <c:v>Disposition</c:v>
                </c:pt>
              </c:strCache>
            </c:strRef>
          </c:tx>
          <c:spPr>
            <a:solidFill>
              <a:schemeClr val="accent4">
                <a:lumMod val="50000"/>
              </a:schemeClr>
            </a:solidFill>
            <a:ln>
              <a:noFill/>
            </a:ln>
            <a:effectLst/>
          </c:spPr>
          <c:invertIfNegative val="0"/>
          <c:val>
            <c:numRef>
              <c:f>'CALCULS Eaux usées'!$O$214</c:f>
              <c:numCache>
                <c:formatCode>#\ ##0\ "$"</c:formatCode>
                <c:ptCount val="1"/>
                <c:pt idx="0">
                  <c:v>0</c:v>
                </c:pt>
              </c:numCache>
            </c:numRef>
          </c:val>
          <c:extLst>
            <c:ext xmlns:c16="http://schemas.microsoft.com/office/drawing/2014/chart" uri="{C3380CC4-5D6E-409C-BE32-E72D297353CC}">
              <c16:uniqueId val="{0000000A-0926-42CD-B38B-FE6671D4C12B}"/>
            </c:ext>
          </c:extLst>
        </c:ser>
        <c:dLbls>
          <c:showLegendKey val="0"/>
          <c:showVal val="0"/>
          <c:showCatName val="0"/>
          <c:showSerName val="0"/>
          <c:showPercent val="0"/>
          <c:showBubbleSize val="0"/>
        </c:dLbls>
        <c:gapWidth val="78"/>
        <c:overlap val="100"/>
        <c:axId val="1866470080"/>
        <c:axId val="1866468832"/>
      </c:barChart>
      <c:catAx>
        <c:axId val="1866470080"/>
        <c:scaling>
          <c:orientation val="minMax"/>
        </c:scaling>
        <c:delete val="1"/>
        <c:axPos val="l"/>
        <c:numFmt formatCode="General" sourceLinked="1"/>
        <c:majorTickMark val="none"/>
        <c:minorTickMark val="none"/>
        <c:tickLblPos val="nextTo"/>
        <c:crossAx val="1866468832"/>
        <c:crosses val="autoZero"/>
        <c:auto val="1"/>
        <c:lblAlgn val="ctr"/>
        <c:lblOffset val="100"/>
        <c:noMultiLvlLbl val="0"/>
      </c:catAx>
      <c:valAx>
        <c:axId val="1866468832"/>
        <c:scaling>
          <c:orientation val="minMax"/>
        </c:scaling>
        <c:delete val="1"/>
        <c:axPos val="b"/>
        <c:numFmt formatCode="0%" sourceLinked="1"/>
        <c:majorTickMark val="none"/>
        <c:minorTickMark val="none"/>
        <c:tickLblPos val="nextTo"/>
        <c:crossAx val="18664700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accent1">
              <a:lumMod val="50000"/>
            </a:schemeClr>
          </a:solidFill>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655401220914772E-3"/>
          <c:y val="7.2076253626191467E-2"/>
          <c:w val="0.98996470946749637"/>
          <c:h val="0.87265460238522807"/>
        </c:manualLayout>
      </c:layout>
      <c:barChart>
        <c:barDir val="bar"/>
        <c:grouping val="percentStacked"/>
        <c:varyColors val="0"/>
        <c:ser>
          <c:idx val="0"/>
          <c:order val="0"/>
          <c:tx>
            <c:strRef>
              <c:f>'CALCULS Eaux usées'!$D$193</c:f>
              <c:strCache>
                <c:ptCount val="1"/>
                <c:pt idx="0">
                  <c:v>Exploitation</c:v>
                </c:pt>
              </c:strCache>
            </c:strRef>
          </c:tx>
          <c:spPr>
            <a:solidFill>
              <a:srgbClr val="00B0F0"/>
            </a:solidFill>
            <a:ln>
              <a:noFill/>
            </a:ln>
            <a:effectLst/>
          </c:spPr>
          <c:invertIfNegative val="0"/>
          <c:val>
            <c:numRef>
              <c:f>'CALCULS Eaux usées'!$O$193</c:f>
              <c:numCache>
                <c:formatCode>#\ ##0\ "$"</c:formatCode>
                <c:ptCount val="1"/>
                <c:pt idx="0">
                  <c:v>0</c:v>
                </c:pt>
              </c:numCache>
            </c:numRef>
          </c:val>
          <c:extLst>
            <c:ext xmlns:c16="http://schemas.microsoft.com/office/drawing/2014/chart" uri="{C3380CC4-5D6E-409C-BE32-E72D297353CC}">
              <c16:uniqueId val="{00000001-D914-4D78-A7B3-FD285DD7324D}"/>
            </c:ext>
          </c:extLst>
        </c:ser>
        <c:ser>
          <c:idx val="1"/>
          <c:order val="1"/>
          <c:tx>
            <c:strRef>
              <c:f>'CALCULS Eaux usées'!$D$194</c:f>
              <c:strCache>
                <c:ptCount val="1"/>
                <c:pt idx="0">
                  <c:v>Entretien</c:v>
                </c:pt>
              </c:strCache>
            </c:strRef>
          </c:tx>
          <c:spPr>
            <a:solidFill>
              <a:srgbClr val="0070C0"/>
            </a:solidFill>
            <a:ln>
              <a:noFill/>
            </a:ln>
            <a:effectLst/>
          </c:spPr>
          <c:invertIfNegative val="0"/>
          <c:val>
            <c:numRef>
              <c:f>'CALCULS Eaux usées'!$O$194</c:f>
              <c:numCache>
                <c:formatCode>#\ ##0\ "$"</c:formatCode>
                <c:ptCount val="1"/>
                <c:pt idx="0">
                  <c:v>0</c:v>
                </c:pt>
              </c:numCache>
            </c:numRef>
          </c:val>
          <c:extLst>
            <c:ext xmlns:c16="http://schemas.microsoft.com/office/drawing/2014/chart" uri="{C3380CC4-5D6E-409C-BE32-E72D297353CC}">
              <c16:uniqueId val="{00000003-D914-4D78-A7B3-FD285DD7324D}"/>
            </c:ext>
          </c:extLst>
        </c:ser>
        <c:ser>
          <c:idx val="2"/>
          <c:order val="2"/>
          <c:tx>
            <c:strRef>
              <c:f>'CALCULS Eaux usées'!$D$195</c:f>
              <c:strCache>
                <c:ptCount val="1"/>
                <c:pt idx="0">
                  <c:v>Renouvellement</c:v>
                </c:pt>
              </c:strCache>
            </c:strRef>
          </c:tx>
          <c:spPr>
            <a:solidFill>
              <a:schemeClr val="accent4"/>
            </a:solidFill>
            <a:ln>
              <a:noFill/>
            </a:ln>
            <a:effectLst/>
          </c:spPr>
          <c:invertIfNegative val="0"/>
          <c:val>
            <c:numRef>
              <c:f>'CALCULS Eaux usées'!$O$195</c:f>
              <c:numCache>
                <c:formatCode>#\ ##0\ "$"</c:formatCode>
                <c:ptCount val="1"/>
                <c:pt idx="0">
                  <c:v>0</c:v>
                </c:pt>
              </c:numCache>
            </c:numRef>
          </c:val>
          <c:extLst>
            <c:ext xmlns:c16="http://schemas.microsoft.com/office/drawing/2014/chart" uri="{C3380CC4-5D6E-409C-BE32-E72D297353CC}">
              <c16:uniqueId val="{00000005-D914-4D78-A7B3-FD285DD7324D}"/>
            </c:ext>
          </c:extLst>
        </c:ser>
        <c:ser>
          <c:idx val="3"/>
          <c:order val="3"/>
          <c:tx>
            <c:strRef>
              <c:f>'CALCULS Eaux usées'!$D$196</c:f>
              <c:strCache>
                <c:ptCount val="1"/>
                <c:pt idx="0">
                  <c:v>Acquisition</c:v>
                </c:pt>
              </c:strCache>
            </c:strRef>
          </c:tx>
          <c:spPr>
            <a:solidFill>
              <a:schemeClr val="accent2"/>
            </a:solidFill>
            <a:ln>
              <a:noFill/>
            </a:ln>
            <a:effectLst/>
          </c:spPr>
          <c:invertIfNegative val="0"/>
          <c:val>
            <c:numRef>
              <c:f>'CALCULS Eaux usées'!$O$196</c:f>
              <c:numCache>
                <c:formatCode>#\ ##0\ "$"</c:formatCode>
                <c:ptCount val="1"/>
                <c:pt idx="0">
                  <c:v>0</c:v>
                </c:pt>
              </c:numCache>
            </c:numRef>
          </c:val>
          <c:extLst>
            <c:ext xmlns:c16="http://schemas.microsoft.com/office/drawing/2014/chart" uri="{C3380CC4-5D6E-409C-BE32-E72D297353CC}">
              <c16:uniqueId val="{00000007-D914-4D78-A7B3-FD285DD7324D}"/>
            </c:ext>
          </c:extLst>
        </c:ser>
        <c:ser>
          <c:idx val="4"/>
          <c:order val="4"/>
          <c:tx>
            <c:strRef>
              <c:f>'CALCULS Eaux usées'!$D$197</c:f>
              <c:strCache>
                <c:ptCount val="1"/>
                <c:pt idx="0">
                  <c:v>Disposition</c:v>
                </c:pt>
              </c:strCache>
            </c:strRef>
          </c:tx>
          <c:spPr>
            <a:solidFill>
              <a:schemeClr val="accent4">
                <a:lumMod val="50000"/>
              </a:schemeClr>
            </a:solidFill>
            <a:ln>
              <a:noFill/>
            </a:ln>
            <a:effectLst/>
          </c:spPr>
          <c:invertIfNegative val="0"/>
          <c:val>
            <c:numRef>
              <c:f>'CALCULS Eaux usées'!$O$197</c:f>
              <c:numCache>
                <c:formatCode>#\ ##0\ "$"</c:formatCode>
                <c:ptCount val="1"/>
                <c:pt idx="0">
                  <c:v>0</c:v>
                </c:pt>
              </c:numCache>
            </c:numRef>
          </c:val>
          <c:extLst>
            <c:ext xmlns:c16="http://schemas.microsoft.com/office/drawing/2014/chart" uri="{C3380CC4-5D6E-409C-BE32-E72D297353CC}">
              <c16:uniqueId val="{00000009-D914-4D78-A7B3-FD285DD7324D}"/>
            </c:ext>
          </c:extLst>
        </c:ser>
        <c:dLbls>
          <c:showLegendKey val="0"/>
          <c:showVal val="0"/>
          <c:showCatName val="0"/>
          <c:showSerName val="0"/>
          <c:showPercent val="0"/>
          <c:showBubbleSize val="0"/>
        </c:dLbls>
        <c:gapWidth val="78"/>
        <c:overlap val="100"/>
        <c:axId val="1866470080"/>
        <c:axId val="1866468832"/>
      </c:barChart>
      <c:catAx>
        <c:axId val="1866470080"/>
        <c:scaling>
          <c:orientation val="minMax"/>
        </c:scaling>
        <c:delete val="1"/>
        <c:axPos val="l"/>
        <c:numFmt formatCode="General" sourceLinked="1"/>
        <c:majorTickMark val="none"/>
        <c:minorTickMark val="none"/>
        <c:tickLblPos val="nextTo"/>
        <c:crossAx val="1866468832"/>
        <c:crosses val="autoZero"/>
        <c:auto val="1"/>
        <c:lblAlgn val="ctr"/>
        <c:lblOffset val="100"/>
        <c:noMultiLvlLbl val="0"/>
      </c:catAx>
      <c:valAx>
        <c:axId val="1866468832"/>
        <c:scaling>
          <c:orientation val="minMax"/>
        </c:scaling>
        <c:delete val="1"/>
        <c:axPos val="b"/>
        <c:numFmt formatCode="0%" sourceLinked="1"/>
        <c:majorTickMark val="none"/>
        <c:minorTickMark val="none"/>
        <c:tickLblPos val="nextTo"/>
        <c:crossAx val="18664700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accent1">
              <a:lumMod val="50000"/>
            </a:schemeClr>
          </a:solidFill>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1508047343138711E-2"/>
          <c:y val="1.5676175723936148E-2"/>
          <c:w val="0.93147803694349529"/>
          <c:h val="0.98432382427606391"/>
        </c:manualLayout>
      </c:layout>
      <c:doughnutChart>
        <c:varyColors val="1"/>
        <c:ser>
          <c:idx val="0"/>
          <c:order val="0"/>
          <c:dPt>
            <c:idx val="0"/>
            <c:bubble3D val="0"/>
            <c:spPr>
              <a:solidFill>
                <a:srgbClr val="E4E4E0"/>
              </a:solidFill>
              <a:ln w="19050">
                <a:solidFill>
                  <a:schemeClr val="lt1"/>
                </a:solidFill>
              </a:ln>
              <a:effectLst/>
            </c:spPr>
            <c:extLst>
              <c:ext xmlns:c16="http://schemas.microsoft.com/office/drawing/2014/chart" uri="{C3380CC4-5D6E-409C-BE32-E72D297353CC}">
                <c16:uniqueId val="{00000001-77C6-4527-A437-25D589F6894B}"/>
              </c:ext>
            </c:extLst>
          </c:dPt>
          <c:dPt>
            <c:idx val="1"/>
            <c:bubble3D val="0"/>
            <c:spPr>
              <a:solidFill>
                <a:srgbClr val="ADACA1"/>
              </a:solidFill>
              <a:ln w="19050">
                <a:solidFill>
                  <a:schemeClr val="lt1"/>
                </a:solidFill>
              </a:ln>
              <a:effectLst/>
            </c:spPr>
            <c:extLst>
              <c:ext xmlns:c16="http://schemas.microsoft.com/office/drawing/2014/chart" uri="{C3380CC4-5D6E-409C-BE32-E72D297353CC}">
                <c16:uniqueId val="{00000003-77C6-4527-A437-25D589F6894B}"/>
              </c:ext>
            </c:extLst>
          </c:dPt>
          <c:dPt>
            <c:idx val="2"/>
            <c:bubble3D val="0"/>
            <c:spPr>
              <a:solidFill>
                <a:srgbClr val="737267"/>
              </a:solidFill>
              <a:ln w="19050">
                <a:solidFill>
                  <a:schemeClr val="lt1"/>
                </a:solidFill>
              </a:ln>
              <a:effectLst/>
            </c:spPr>
            <c:extLst>
              <c:ext xmlns:c16="http://schemas.microsoft.com/office/drawing/2014/chart" uri="{C3380CC4-5D6E-409C-BE32-E72D297353CC}">
                <c16:uniqueId val="{00000005-77C6-4527-A437-25D589F6894B}"/>
              </c:ext>
            </c:extLst>
          </c:dPt>
          <c:dPt>
            <c:idx val="3"/>
            <c:bubble3D val="0"/>
            <c:spPr>
              <a:solidFill>
                <a:srgbClr val="DEC98E"/>
              </a:solidFill>
              <a:ln w="19050">
                <a:solidFill>
                  <a:schemeClr val="lt1"/>
                </a:solidFill>
              </a:ln>
              <a:effectLst/>
            </c:spPr>
            <c:extLst>
              <c:ext xmlns:c16="http://schemas.microsoft.com/office/drawing/2014/chart" uri="{C3380CC4-5D6E-409C-BE32-E72D297353CC}">
                <c16:uniqueId val="{00000007-77C6-4527-A437-25D589F6894B}"/>
              </c:ext>
            </c:extLst>
          </c:dPt>
          <c:dPt>
            <c:idx val="4"/>
            <c:bubble3D val="0"/>
            <c:spPr>
              <a:solidFill>
                <a:srgbClr val="BF8F00"/>
              </a:solidFill>
              <a:ln w="19050">
                <a:solidFill>
                  <a:schemeClr val="lt1"/>
                </a:solidFill>
              </a:ln>
              <a:effectLst/>
            </c:spPr>
            <c:extLst>
              <c:ext xmlns:c16="http://schemas.microsoft.com/office/drawing/2014/chart" uri="{C3380CC4-5D6E-409C-BE32-E72D297353CC}">
                <c16:uniqueId val="{00000009-77C6-4527-A437-25D589F6894B}"/>
              </c:ext>
            </c:extLst>
          </c:dPt>
          <c:dPt>
            <c:idx val="5"/>
            <c:bubble3D val="0"/>
            <c:spPr>
              <a:solidFill>
                <a:srgbClr val="806000"/>
              </a:solidFill>
              <a:ln w="19050">
                <a:solidFill>
                  <a:schemeClr val="lt1"/>
                </a:solidFill>
              </a:ln>
              <a:effectLst/>
            </c:spPr>
            <c:extLst>
              <c:ext xmlns:c16="http://schemas.microsoft.com/office/drawing/2014/chart" uri="{C3380CC4-5D6E-409C-BE32-E72D297353CC}">
                <c16:uniqueId val="{0000000B-77C6-4527-A437-25D589F6894B}"/>
              </c:ext>
            </c:extLst>
          </c:dPt>
          <c:dLbls>
            <c:dLbl>
              <c:idx val="0"/>
              <c:layout>
                <c:manualLayout>
                  <c:x val="7.7973829913595676E-3"/>
                  <c:y val="-5.387580767009393E-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7C6-4527-A437-25D589F6894B}"/>
                </c:ext>
              </c:extLst>
            </c:dLbl>
            <c:dLbl>
              <c:idx val="2"/>
              <c:layout>
                <c:manualLayout>
                  <c:x val="3.118907743773143E-2"/>
                  <c:y val="-2.1621621621621623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7C6-4527-A437-25D589F6894B}"/>
                </c:ext>
              </c:extLst>
            </c:dLbl>
            <c:dLbl>
              <c:idx val="5"/>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B-77C6-4527-A437-25D589F6894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'CALCULS Eaux usées'!$D$21:$D$26</c:f>
              <c:strCache>
                <c:ptCount val="6"/>
                <c:pt idx="0">
                  <c:v>Collecte / Linéaire</c:v>
                </c:pt>
                <c:pt idx="1">
                  <c:v>Collecte / Ponctuel</c:v>
                </c:pt>
                <c:pt idx="2">
                  <c:v>Collecte / Autres actifs</c:v>
                </c:pt>
                <c:pt idx="3">
                  <c:v>Traitement / Linéaire</c:v>
                </c:pt>
                <c:pt idx="4">
                  <c:v>Traitement / Ponctuel</c:v>
                </c:pt>
                <c:pt idx="5">
                  <c:v>Traitement / Autres actifs</c:v>
                </c:pt>
              </c:strCache>
            </c:strRef>
          </c:cat>
          <c:val>
            <c:numRef>
              <c:f>'CALCULS Eaux usées'!$E$21:$E$26</c:f>
              <c:numCache>
                <c:formatCode>#\ ##0\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77C6-4527-A437-25D589F6894B}"/>
            </c:ext>
          </c:extLst>
        </c:ser>
        <c:dLbls>
          <c:showLegendKey val="0"/>
          <c:showVal val="0"/>
          <c:showCatName val="0"/>
          <c:showSerName val="0"/>
          <c:showPercent val="0"/>
          <c:showBubbleSize val="0"/>
          <c:showLeaderLines val="1"/>
        </c:dLbls>
        <c:firstSliceAng val="0"/>
        <c:holeSize val="51"/>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04978271158728E-2"/>
          <c:y val="0.10497512985701962"/>
          <c:w val="0.95685887517335444"/>
          <c:h val="0.54412862727823352"/>
        </c:manualLayout>
      </c:layout>
      <c:barChart>
        <c:barDir val="col"/>
        <c:grouping val="clustered"/>
        <c:varyColors val="0"/>
        <c:ser>
          <c:idx val="0"/>
          <c:order val="0"/>
          <c:tx>
            <c:strRef>
              <c:f>'CALCULS Eaux usées'!$D$53</c:f>
              <c:strCache>
                <c:ptCount val="1"/>
                <c:pt idx="0">
                  <c:v>LINÉAIRE</c:v>
                </c:pt>
              </c:strCache>
            </c:strRef>
          </c:tx>
          <c:spPr>
            <a:solidFill>
              <a:schemeClr val="accent1"/>
            </a:solidFill>
            <a:ln>
              <a:noFill/>
            </a:ln>
            <a:effectLst/>
          </c:spPr>
          <c:invertIfNegative val="0"/>
          <c:dPt>
            <c:idx val="0"/>
            <c:invertIfNegative val="0"/>
            <c:bubble3D val="0"/>
            <c:spPr>
              <a:solidFill>
                <a:srgbClr val="007DDA"/>
              </a:solidFill>
              <a:ln>
                <a:noFill/>
              </a:ln>
              <a:effectLst/>
            </c:spPr>
            <c:extLst>
              <c:ext xmlns:c16="http://schemas.microsoft.com/office/drawing/2014/chart" uri="{C3380CC4-5D6E-409C-BE32-E72D297353CC}">
                <c16:uniqueId val="{00000001-C87D-4BC1-8C4F-3AE5C34E380F}"/>
              </c:ext>
            </c:extLst>
          </c:dPt>
          <c:dPt>
            <c:idx val="1"/>
            <c:invertIfNegative val="0"/>
            <c:bubble3D val="0"/>
            <c:spPr>
              <a:solidFill>
                <a:srgbClr val="00B050"/>
              </a:solidFill>
              <a:ln>
                <a:noFill/>
              </a:ln>
              <a:effectLst/>
            </c:spPr>
            <c:extLst>
              <c:ext xmlns:c16="http://schemas.microsoft.com/office/drawing/2014/chart" uri="{C3380CC4-5D6E-409C-BE32-E72D297353CC}">
                <c16:uniqueId val="{00000003-C87D-4BC1-8C4F-3AE5C34E380F}"/>
              </c:ext>
            </c:extLst>
          </c:dPt>
          <c:dPt>
            <c:idx val="2"/>
            <c:invertIfNegative val="0"/>
            <c:bubble3D val="0"/>
            <c:spPr>
              <a:solidFill>
                <a:srgbClr val="FFD347"/>
              </a:solidFill>
              <a:ln>
                <a:noFill/>
              </a:ln>
              <a:effectLst/>
            </c:spPr>
            <c:extLst>
              <c:ext xmlns:c16="http://schemas.microsoft.com/office/drawing/2014/chart" uri="{C3380CC4-5D6E-409C-BE32-E72D297353CC}">
                <c16:uniqueId val="{00000005-C87D-4BC1-8C4F-3AE5C34E380F}"/>
              </c:ext>
            </c:extLst>
          </c:dPt>
          <c:dPt>
            <c:idx val="3"/>
            <c:invertIfNegative val="0"/>
            <c:bubble3D val="0"/>
            <c:spPr>
              <a:solidFill>
                <a:srgbClr val="F98007"/>
              </a:solidFill>
              <a:ln>
                <a:noFill/>
              </a:ln>
              <a:effectLst/>
            </c:spPr>
            <c:extLst>
              <c:ext xmlns:c16="http://schemas.microsoft.com/office/drawing/2014/chart" uri="{C3380CC4-5D6E-409C-BE32-E72D297353CC}">
                <c16:uniqueId val="{00000007-C87D-4BC1-8C4F-3AE5C34E380F}"/>
              </c:ext>
            </c:extLst>
          </c:dPt>
          <c:dPt>
            <c:idx val="4"/>
            <c:invertIfNegative val="0"/>
            <c:bubble3D val="0"/>
            <c:spPr>
              <a:solidFill>
                <a:srgbClr val="C00000"/>
              </a:solidFill>
              <a:ln>
                <a:noFill/>
              </a:ln>
              <a:effectLst/>
            </c:spPr>
            <c:extLst>
              <c:ext xmlns:c16="http://schemas.microsoft.com/office/drawing/2014/chart" uri="{C3380CC4-5D6E-409C-BE32-E72D297353CC}">
                <c16:uniqueId val="{00000009-C87D-4BC1-8C4F-3AE5C34E380F}"/>
              </c:ext>
            </c:extLst>
          </c:dPt>
          <c:dPt>
            <c:idx val="5"/>
            <c:invertIfNegative val="0"/>
            <c:bubble3D val="0"/>
            <c:spPr>
              <a:solidFill>
                <a:schemeClr val="accent3">
                  <a:lumMod val="75000"/>
                </a:schemeClr>
              </a:solidFill>
              <a:ln>
                <a:noFill/>
              </a:ln>
              <a:effectLst/>
            </c:spPr>
            <c:extLst>
              <c:ext xmlns:c16="http://schemas.microsoft.com/office/drawing/2014/chart" uri="{C3380CC4-5D6E-409C-BE32-E72D297353CC}">
                <c16:uniqueId val="{0000000B-C87D-4BC1-8C4F-3AE5C34E380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Eaux usées'!$E$52:$J$52</c:f>
              <c:strCache>
                <c:ptCount val="6"/>
                <c:pt idx="0">
                  <c:v>Très bon 
(A)</c:v>
                </c:pt>
                <c:pt idx="1">
                  <c:v>Bon 
(B)</c:v>
                </c:pt>
                <c:pt idx="2">
                  <c:v>Acceptable
(C)</c:v>
                </c:pt>
                <c:pt idx="3">
                  <c:v>Mauvais 
(D)</c:v>
                </c:pt>
                <c:pt idx="4">
                  <c:v>Très mauvais 
(E)</c:v>
                </c:pt>
                <c:pt idx="5">
                  <c:v>Inconnu</c:v>
                </c:pt>
              </c:strCache>
            </c:strRef>
          </c:cat>
          <c:val>
            <c:numRef>
              <c:f>'CALCULS Eaux usées'!$E$53:$J$53</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C87D-4BC1-8C4F-3AE5C34E380F}"/>
            </c:ext>
          </c:extLst>
        </c:ser>
        <c:dLbls>
          <c:showLegendKey val="0"/>
          <c:showVal val="0"/>
          <c:showCatName val="0"/>
          <c:showSerName val="0"/>
          <c:showPercent val="0"/>
          <c:showBubbleSize val="0"/>
        </c:dLbls>
        <c:gapWidth val="71"/>
        <c:overlap val="-27"/>
        <c:axId val="1704822352"/>
        <c:axId val="1704816528"/>
      </c:barChart>
      <c:catAx>
        <c:axId val="1704822352"/>
        <c:scaling>
          <c:orientation val="minMax"/>
        </c:scaling>
        <c:delete val="0"/>
        <c:axPos val="b"/>
        <c:numFmt formatCode="General" sourceLinked="1"/>
        <c:majorTickMark val="none"/>
        <c:minorTickMark val="none"/>
        <c:tickLblPos val="nextTo"/>
        <c:spPr>
          <a:noFill/>
          <a:ln w="9525" cap="flat" cmpd="sng" algn="ctr">
            <a:solidFill>
              <a:schemeClr val="tx2">
                <a:lumMod val="50000"/>
              </a:schemeClr>
            </a:solidFill>
            <a:round/>
          </a:ln>
          <a:effectLst/>
        </c:spPr>
        <c:txPr>
          <a:bodyPr rot="-60000000" spcFirstLastPara="1" vertOverflow="ellipsis" vert="horz" wrap="square" anchor="ctr" anchorCtr="1"/>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crossAx val="1704816528"/>
        <c:crosses val="autoZero"/>
        <c:auto val="1"/>
        <c:lblAlgn val="ctr"/>
        <c:lblOffset val="100"/>
        <c:noMultiLvlLbl val="0"/>
      </c:catAx>
      <c:valAx>
        <c:axId val="1704816528"/>
        <c:scaling>
          <c:orientation val="minMax"/>
          <c:max val="1"/>
        </c:scaling>
        <c:delete val="1"/>
        <c:axPos val="l"/>
        <c:majorGridlines>
          <c:spPr>
            <a:ln w="9525" cap="flat" cmpd="sng" algn="ctr">
              <a:solidFill>
                <a:srgbClr val="DCD1C6"/>
              </a:solidFill>
              <a:round/>
            </a:ln>
            <a:effectLst/>
          </c:spPr>
        </c:majorGridlines>
        <c:numFmt formatCode="0.0%" sourceLinked="1"/>
        <c:majorTickMark val="out"/>
        <c:minorTickMark val="none"/>
        <c:tickLblPos val="nextTo"/>
        <c:crossAx val="1704822352"/>
        <c:crosses val="autoZero"/>
        <c:crossBetween val="between"/>
        <c:majorUnit val="0.2"/>
        <c:minorUnit val="0.1"/>
      </c:valAx>
      <c:spPr>
        <a:solidFill>
          <a:srgbClr val="F6F3F0"/>
        </a:solidFill>
        <a:ln>
          <a:solidFill>
            <a:schemeClr val="tx2">
              <a:lumMod val="60000"/>
              <a:lumOff val="4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5154849838804796E-2"/>
          <c:y val="0.11344504141769035"/>
          <c:w val="0.95475389697351754"/>
          <c:h val="0.54912033723057341"/>
        </c:manualLayout>
      </c:layout>
      <c:barChart>
        <c:barDir val="col"/>
        <c:grouping val="clustered"/>
        <c:varyColors val="0"/>
        <c:ser>
          <c:idx val="0"/>
          <c:order val="0"/>
          <c:tx>
            <c:strRef>
              <c:f>'CALCULS Eaux usées'!$D$54</c:f>
              <c:strCache>
                <c:ptCount val="1"/>
                <c:pt idx="0">
                  <c:v>PONCTUEL</c:v>
                </c:pt>
              </c:strCache>
            </c:strRef>
          </c:tx>
          <c:spPr>
            <a:solidFill>
              <a:schemeClr val="accent1"/>
            </a:solidFill>
            <a:ln>
              <a:noFill/>
            </a:ln>
            <a:effectLst/>
          </c:spPr>
          <c:invertIfNegative val="0"/>
          <c:dPt>
            <c:idx val="0"/>
            <c:invertIfNegative val="0"/>
            <c:bubble3D val="0"/>
            <c:spPr>
              <a:solidFill>
                <a:srgbClr val="007DDA"/>
              </a:solidFill>
              <a:ln>
                <a:noFill/>
              </a:ln>
              <a:effectLst/>
            </c:spPr>
            <c:extLst>
              <c:ext xmlns:c16="http://schemas.microsoft.com/office/drawing/2014/chart" uri="{C3380CC4-5D6E-409C-BE32-E72D297353CC}">
                <c16:uniqueId val="{00000001-725D-4CA4-94F2-ED40303E44FA}"/>
              </c:ext>
            </c:extLst>
          </c:dPt>
          <c:dPt>
            <c:idx val="1"/>
            <c:invertIfNegative val="0"/>
            <c:bubble3D val="0"/>
            <c:spPr>
              <a:solidFill>
                <a:srgbClr val="00B050"/>
              </a:solidFill>
              <a:ln>
                <a:noFill/>
              </a:ln>
              <a:effectLst/>
            </c:spPr>
            <c:extLst>
              <c:ext xmlns:c16="http://schemas.microsoft.com/office/drawing/2014/chart" uri="{C3380CC4-5D6E-409C-BE32-E72D297353CC}">
                <c16:uniqueId val="{00000003-725D-4CA4-94F2-ED40303E44FA}"/>
              </c:ext>
            </c:extLst>
          </c:dPt>
          <c:dPt>
            <c:idx val="2"/>
            <c:invertIfNegative val="0"/>
            <c:bubble3D val="0"/>
            <c:spPr>
              <a:solidFill>
                <a:srgbClr val="FFD347"/>
              </a:solidFill>
              <a:ln>
                <a:noFill/>
              </a:ln>
              <a:effectLst/>
            </c:spPr>
            <c:extLst>
              <c:ext xmlns:c16="http://schemas.microsoft.com/office/drawing/2014/chart" uri="{C3380CC4-5D6E-409C-BE32-E72D297353CC}">
                <c16:uniqueId val="{00000005-725D-4CA4-94F2-ED40303E44FA}"/>
              </c:ext>
            </c:extLst>
          </c:dPt>
          <c:dPt>
            <c:idx val="3"/>
            <c:invertIfNegative val="0"/>
            <c:bubble3D val="0"/>
            <c:spPr>
              <a:solidFill>
                <a:srgbClr val="F98007"/>
              </a:solidFill>
              <a:ln>
                <a:noFill/>
              </a:ln>
              <a:effectLst/>
            </c:spPr>
            <c:extLst>
              <c:ext xmlns:c16="http://schemas.microsoft.com/office/drawing/2014/chart" uri="{C3380CC4-5D6E-409C-BE32-E72D297353CC}">
                <c16:uniqueId val="{00000007-725D-4CA4-94F2-ED40303E44FA}"/>
              </c:ext>
            </c:extLst>
          </c:dPt>
          <c:dPt>
            <c:idx val="4"/>
            <c:invertIfNegative val="0"/>
            <c:bubble3D val="0"/>
            <c:spPr>
              <a:solidFill>
                <a:srgbClr val="C00000"/>
              </a:solidFill>
              <a:ln>
                <a:noFill/>
              </a:ln>
              <a:effectLst/>
            </c:spPr>
            <c:extLst>
              <c:ext xmlns:c16="http://schemas.microsoft.com/office/drawing/2014/chart" uri="{C3380CC4-5D6E-409C-BE32-E72D297353CC}">
                <c16:uniqueId val="{00000009-725D-4CA4-94F2-ED40303E44FA}"/>
              </c:ext>
            </c:extLst>
          </c:dPt>
          <c:dPt>
            <c:idx val="5"/>
            <c:invertIfNegative val="0"/>
            <c:bubble3D val="0"/>
            <c:spPr>
              <a:solidFill>
                <a:schemeClr val="accent3">
                  <a:lumMod val="75000"/>
                </a:schemeClr>
              </a:solidFill>
              <a:ln>
                <a:noFill/>
              </a:ln>
              <a:effectLst/>
            </c:spPr>
            <c:extLst>
              <c:ext xmlns:c16="http://schemas.microsoft.com/office/drawing/2014/chart" uri="{C3380CC4-5D6E-409C-BE32-E72D297353CC}">
                <c16:uniqueId val="{0000000B-725D-4CA4-94F2-ED40303E44F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Eaux usées'!$E$52:$J$52</c:f>
              <c:strCache>
                <c:ptCount val="6"/>
                <c:pt idx="0">
                  <c:v>Très bon 
(A)</c:v>
                </c:pt>
                <c:pt idx="1">
                  <c:v>Bon 
(B)</c:v>
                </c:pt>
                <c:pt idx="2">
                  <c:v>Acceptable
(C)</c:v>
                </c:pt>
                <c:pt idx="3">
                  <c:v>Mauvais 
(D)</c:v>
                </c:pt>
                <c:pt idx="4">
                  <c:v>Très mauvais 
(E)</c:v>
                </c:pt>
                <c:pt idx="5">
                  <c:v>Inconnu</c:v>
                </c:pt>
              </c:strCache>
            </c:strRef>
          </c:cat>
          <c:val>
            <c:numRef>
              <c:f>'CALCULS Eaux usées'!$E$54:$J$54</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725D-4CA4-94F2-ED40303E44FA}"/>
            </c:ext>
          </c:extLst>
        </c:ser>
        <c:dLbls>
          <c:showLegendKey val="0"/>
          <c:showVal val="0"/>
          <c:showCatName val="0"/>
          <c:showSerName val="0"/>
          <c:showPercent val="0"/>
          <c:showBubbleSize val="0"/>
        </c:dLbls>
        <c:gapWidth val="71"/>
        <c:overlap val="-27"/>
        <c:axId val="1704822352"/>
        <c:axId val="1704816528"/>
      </c:barChart>
      <c:catAx>
        <c:axId val="1704822352"/>
        <c:scaling>
          <c:orientation val="minMax"/>
        </c:scaling>
        <c:delete val="0"/>
        <c:axPos val="b"/>
        <c:numFmt formatCode="General" sourceLinked="1"/>
        <c:majorTickMark val="none"/>
        <c:minorTickMark val="none"/>
        <c:tickLblPos val="nextTo"/>
        <c:spPr>
          <a:noFill/>
          <a:ln w="9525" cap="flat" cmpd="sng" algn="ctr">
            <a:solidFill>
              <a:schemeClr val="tx2">
                <a:lumMod val="50000"/>
              </a:schemeClr>
            </a:solidFill>
            <a:round/>
          </a:ln>
          <a:effectLst/>
        </c:spPr>
        <c:txPr>
          <a:bodyPr rot="-60000000" spcFirstLastPara="1" vertOverflow="ellipsis" vert="horz" wrap="square" anchor="ctr" anchorCtr="1"/>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crossAx val="1704816528"/>
        <c:crosses val="autoZero"/>
        <c:auto val="1"/>
        <c:lblAlgn val="ctr"/>
        <c:lblOffset val="100"/>
        <c:noMultiLvlLbl val="0"/>
      </c:catAx>
      <c:valAx>
        <c:axId val="1704816528"/>
        <c:scaling>
          <c:orientation val="minMax"/>
          <c:max val="1"/>
        </c:scaling>
        <c:delete val="1"/>
        <c:axPos val="l"/>
        <c:majorGridlines>
          <c:spPr>
            <a:ln w="9525" cap="flat" cmpd="sng" algn="ctr">
              <a:solidFill>
                <a:srgbClr val="DCD1C6"/>
              </a:solidFill>
              <a:round/>
            </a:ln>
            <a:effectLst/>
          </c:spPr>
        </c:majorGridlines>
        <c:numFmt formatCode="0.0%" sourceLinked="1"/>
        <c:majorTickMark val="out"/>
        <c:minorTickMark val="none"/>
        <c:tickLblPos val="nextTo"/>
        <c:crossAx val="1704822352"/>
        <c:crosses val="autoZero"/>
        <c:crossBetween val="between"/>
        <c:majorUnit val="0.2"/>
        <c:minorUnit val="0.1"/>
      </c:valAx>
      <c:spPr>
        <a:solidFill>
          <a:srgbClr val="F6F3F0"/>
        </a:solidFill>
        <a:ln>
          <a:solidFill>
            <a:schemeClr val="tx2">
              <a:lumMod val="60000"/>
              <a:lumOff val="4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2775949505217757E-2"/>
          <c:y val="0.11344504141769035"/>
          <c:w val="0.95713296231844114"/>
          <c:h val="0.53863316703732644"/>
        </c:manualLayout>
      </c:layout>
      <c:barChart>
        <c:barDir val="col"/>
        <c:grouping val="clustered"/>
        <c:varyColors val="0"/>
        <c:ser>
          <c:idx val="0"/>
          <c:order val="0"/>
          <c:tx>
            <c:strRef>
              <c:f>'CALCULS Eaux usées'!$D$55</c:f>
              <c:strCache>
                <c:ptCount val="1"/>
                <c:pt idx="0">
                  <c:v>LINÉAIRE</c:v>
                </c:pt>
              </c:strCache>
            </c:strRef>
          </c:tx>
          <c:spPr>
            <a:solidFill>
              <a:schemeClr val="accent1"/>
            </a:solidFill>
            <a:ln>
              <a:noFill/>
            </a:ln>
            <a:effectLst/>
          </c:spPr>
          <c:invertIfNegative val="0"/>
          <c:dPt>
            <c:idx val="0"/>
            <c:invertIfNegative val="0"/>
            <c:bubble3D val="0"/>
            <c:spPr>
              <a:solidFill>
                <a:srgbClr val="007DDA"/>
              </a:solidFill>
              <a:ln>
                <a:noFill/>
              </a:ln>
              <a:effectLst/>
            </c:spPr>
            <c:extLst>
              <c:ext xmlns:c16="http://schemas.microsoft.com/office/drawing/2014/chart" uri="{C3380CC4-5D6E-409C-BE32-E72D297353CC}">
                <c16:uniqueId val="{00000001-4712-4FCB-9C39-54D2608A71AA}"/>
              </c:ext>
            </c:extLst>
          </c:dPt>
          <c:dPt>
            <c:idx val="1"/>
            <c:invertIfNegative val="0"/>
            <c:bubble3D val="0"/>
            <c:spPr>
              <a:solidFill>
                <a:srgbClr val="00B050"/>
              </a:solidFill>
              <a:ln>
                <a:noFill/>
              </a:ln>
              <a:effectLst/>
            </c:spPr>
            <c:extLst>
              <c:ext xmlns:c16="http://schemas.microsoft.com/office/drawing/2014/chart" uri="{C3380CC4-5D6E-409C-BE32-E72D297353CC}">
                <c16:uniqueId val="{00000003-4712-4FCB-9C39-54D2608A71AA}"/>
              </c:ext>
            </c:extLst>
          </c:dPt>
          <c:dPt>
            <c:idx val="2"/>
            <c:invertIfNegative val="0"/>
            <c:bubble3D val="0"/>
            <c:spPr>
              <a:solidFill>
                <a:srgbClr val="FFD347"/>
              </a:solidFill>
              <a:ln>
                <a:noFill/>
              </a:ln>
              <a:effectLst/>
            </c:spPr>
            <c:extLst>
              <c:ext xmlns:c16="http://schemas.microsoft.com/office/drawing/2014/chart" uri="{C3380CC4-5D6E-409C-BE32-E72D297353CC}">
                <c16:uniqueId val="{00000005-4712-4FCB-9C39-54D2608A71AA}"/>
              </c:ext>
            </c:extLst>
          </c:dPt>
          <c:dPt>
            <c:idx val="3"/>
            <c:invertIfNegative val="0"/>
            <c:bubble3D val="0"/>
            <c:spPr>
              <a:solidFill>
                <a:srgbClr val="F98007"/>
              </a:solidFill>
              <a:ln>
                <a:noFill/>
              </a:ln>
              <a:effectLst/>
            </c:spPr>
            <c:extLst>
              <c:ext xmlns:c16="http://schemas.microsoft.com/office/drawing/2014/chart" uri="{C3380CC4-5D6E-409C-BE32-E72D297353CC}">
                <c16:uniqueId val="{00000007-4712-4FCB-9C39-54D2608A71AA}"/>
              </c:ext>
            </c:extLst>
          </c:dPt>
          <c:dPt>
            <c:idx val="4"/>
            <c:invertIfNegative val="0"/>
            <c:bubble3D val="0"/>
            <c:spPr>
              <a:solidFill>
                <a:srgbClr val="C00000"/>
              </a:solidFill>
              <a:ln>
                <a:noFill/>
              </a:ln>
              <a:effectLst/>
            </c:spPr>
            <c:extLst>
              <c:ext xmlns:c16="http://schemas.microsoft.com/office/drawing/2014/chart" uri="{C3380CC4-5D6E-409C-BE32-E72D297353CC}">
                <c16:uniqueId val="{00000009-4712-4FCB-9C39-54D2608A71AA}"/>
              </c:ext>
            </c:extLst>
          </c:dPt>
          <c:dPt>
            <c:idx val="5"/>
            <c:invertIfNegative val="0"/>
            <c:bubble3D val="0"/>
            <c:spPr>
              <a:solidFill>
                <a:schemeClr val="accent3">
                  <a:lumMod val="75000"/>
                </a:schemeClr>
              </a:solidFill>
              <a:ln>
                <a:noFill/>
              </a:ln>
              <a:effectLst/>
            </c:spPr>
            <c:extLst>
              <c:ext xmlns:c16="http://schemas.microsoft.com/office/drawing/2014/chart" uri="{C3380CC4-5D6E-409C-BE32-E72D297353CC}">
                <c16:uniqueId val="{0000000B-4712-4FCB-9C39-54D2608A71A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Eaux usées'!$E$52:$J$52</c:f>
              <c:strCache>
                <c:ptCount val="6"/>
                <c:pt idx="0">
                  <c:v>Très bon 
(A)</c:v>
                </c:pt>
                <c:pt idx="1">
                  <c:v>Bon 
(B)</c:v>
                </c:pt>
                <c:pt idx="2">
                  <c:v>Acceptable
(C)</c:v>
                </c:pt>
                <c:pt idx="3">
                  <c:v>Mauvais 
(D)</c:v>
                </c:pt>
                <c:pt idx="4">
                  <c:v>Très mauvais 
(E)</c:v>
                </c:pt>
                <c:pt idx="5">
                  <c:v>Inconnu</c:v>
                </c:pt>
              </c:strCache>
            </c:strRef>
          </c:cat>
          <c:val>
            <c:numRef>
              <c:f>'CALCULS Eaux usées'!$E$55:$J$55</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4712-4FCB-9C39-54D2608A71AA}"/>
            </c:ext>
          </c:extLst>
        </c:ser>
        <c:dLbls>
          <c:showLegendKey val="0"/>
          <c:showVal val="0"/>
          <c:showCatName val="0"/>
          <c:showSerName val="0"/>
          <c:showPercent val="0"/>
          <c:showBubbleSize val="0"/>
        </c:dLbls>
        <c:gapWidth val="71"/>
        <c:overlap val="-27"/>
        <c:axId val="1704822352"/>
        <c:axId val="1704816528"/>
      </c:barChart>
      <c:catAx>
        <c:axId val="1704822352"/>
        <c:scaling>
          <c:orientation val="minMax"/>
        </c:scaling>
        <c:delete val="0"/>
        <c:axPos val="b"/>
        <c:numFmt formatCode="General" sourceLinked="1"/>
        <c:majorTickMark val="none"/>
        <c:minorTickMark val="none"/>
        <c:tickLblPos val="nextTo"/>
        <c:spPr>
          <a:noFill/>
          <a:ln w="9525" cap="flat" cmpd="sng" algn="ctr">
            <a:solidFill>
              <a:schemeClr val="tx2">
                <a:lumMod val="50000"/>
              </a:schemeClr>
            </a:solidFill>
            <a:round/>
          </a:ln>
          <a:effectLst/>
        </c:spPr>
        <c:txPr>
          <a:bodyPr rot="-60000000" spcFirstLastPara="1" vertOverflow="ellipsis" vert="horz" wrap="square" anchor="ctr" anchorCtr="1"/>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crossAx val="1704816528"/>
        <c:crosses val="autoZero"/>
        <c:auto val="1"/>
        <c:lblAlgn val="ctr"/>
        <c:lblOffset val="100"/>
        <c:noMultiLvlLbl val="0"/>
      </c:catAx>
      <c:valAx>
        <c:axId val="1704816528"/>
        <c:scaling>
          <c:orientation val="minMax"/>
          <c:max val="1"/>
        </c:scaling>
        <c:delete val="1"/>
        <c:axPos val="l"/>
        <c:majorGridlines>
          <c:spPr>
            <a:ln w="9525" cap="flat" cmpd="sng" algn="ctr">
              <a:solidFill>
                <a:srgbClr val="DCD1C6"/>
              </a:solidFill>
              <a:round/>
            </a:ln>
            <a:effectLst/>
          </c:spPr>
        </c:majorGridlines>
        <c:numFmt formatCode="0.0%" sourceLinked="1"/>
        <c:majorTickMark val="out"/>
        <c:minorTickMark val="none"/>
        <c:tickLblPos val="nextTo"/>
        <c:crossAx val="1704822352"/>
        <c:crosses val="autoZero"/>
        <c:crossBetween val="between"/>
        <c:majorUnit val="0.2"/>
        <c:minorUnit val="0.1"/>
      </c:valAx>
      <c:spPr>
        <a:solidFill>
          <a:srgbClr val="F6F3F0"/>
        </a:solidFill>
        <a:ln>
          <a:solidFill>
            <a:schemeClr val="tx2">
              <a:lumMod val="60000"/>
              <a:lumOff val="4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0417769905415776E-2"/>
          <c:y val="0.11344504141769035"/>
          <c:w val="0.95949108595289656"/>
          <c:h val="0.5500176922329153"/>
        </c:manualLayout>
      </c:layout>
      <c:barChart>
        <c:barDir val="col"/>
        <c:grouping val="clustered"/>
        <c:varyColors val="0"/>
        <c:ser>
          <c:idx val="0"/>
          <c:order val="0"/>
          <c:tx>
            <c:strRef>
              <c:f>'CALCULS Eaux usées'!$D$56</c:f>
              <c:strCache>
                <c:ptCount val="1"/>
                <c:pt idx="0">
                  <c:v>PONCTUEL</c:v>
                </c:pt>
              </c:strCache>
            </c:strRef>
          </c:tx>
          <c:spPr>
            <a:solidFill>
              <a:srgbClr val="FFD347"/>
            </a:solidFill>
            <a:ln>
              <a:noFill/>
            </a:ln>
            <a:effectLst/>
          </c:spPr>
          <c:invertIfNegative val="0"/>
          <c:dPt>
            <c:idx val="0"/>
            <c:invertIfNegative val="0"/>
            <c:bubble3D val="0"/>
            <c:spPr>
              <a:solidFill>
                <a:srgbClr val="007DDA"/>
              </a:solidFill>
              <a:ln>
                <a:noFill/>
              </a:ln>
              <a:effectLst/>
            </c:spPr>
            <c:extLst>
              <c:ext xmlns:c16="http://schemas.microsoft.com/office/drawing/2014/chart" uri="{C3380CC4-5D6E-409C-BE32-E72D297353CC}">
                <c16:uniqueId val="{00000001-D066-407C-A5F4-0FF81838CD03}"/>
              </c:ext>
            </c:extLst>
          </c:dPt>
          <c:dPt>
            <c:idx val="1"/>
            <c:invertIfNegative val="0"/>
            <c:bubble3D val="0"/>
            <c:spPr>
              <a:solidFill>
                <a:srgbClr val="00B050"/>
              </a:solidFill>
              <a:ln>
                <a:noFill/>
              </a:ln>
              <a:effectLst/>
            </c:spPr>
            <c:extLst>
              <c:ext xmlns:c16="http://schemas.microsoft.com/office/drawing/2014/chart" uri="{C3380CC4-5D6E-409C-BE32-E72D297353CC}">
                <c16:uniqueId val="{00000003-D066-407C-A5F4-0FF81838CD03}"/>
              </c:ext>
            </c:extLst>
          </c:dPt>
          <c:dPt>
            <c:idx val="2"/>
            <c:invertIfNegative val="0"/>
            <c:bubble3D val="0"/>
            <c:spPr>
              <a:solidFill>
                <a:srgbClr val="FFD347"/>
              </a:solidFill>
              <a:ln>
                <a:noFill/>
              </a:ln>
              <a:effectLst/>
            </c:spPr>
            <c:extLst>
              <c:ext xmlns:c16="http://schemas.microsoft.com/office/drawing/2014/chart" uri="{C3380CC4-5D6E-409C-BE32-E72D297353CC}">
                <c16:uniqueId val="{00000005-D066-407C-A5F4-0FF81838CD03}"/>
              </c:ext>
            </c:extLst>
          </c:dPt>
          <c:dPt>
            <c:idx val="3"/>
            <c:invertIfNegative val="0"/>
            <c:bubble3D val="0"/>
            <c:spPr>
              <a:solidFill>
                <a:srgbClr val="F98007"/>
              </a:solidFill>
              <a:ln>
                <a:noFill/>
              </a:ln>
              <a:effectLst/>
            </c:spPr>
            <c:extLst>
              <c:ext xmlns:c16="http://schemas.microsoft.com/office/drawing/2014/chart" uri="{C3380CC4-5D6E-409C-BE32-E72D297353CC}">
                <c16:uniqueId val="{00000007-D066-407C-A5F4-0FF81838CD03}"/>
              </c:ext>
            </c:extLst>
          </c:dPt>
          <c:dPt>
            <c:idx val="4"/>
            <c:invertIfNegative val="0"/>
            <c:bubble3D val="0"/>
            <c:spPr>
              <a:solidFill>
                <a:srgbClr val="C00000"/>
              </a:solidFill>
              <a:ln>
                <a:noFill/>
              </a:ln>
              <a:effectLst/>
            </c:spPr>
            <c:extLst>
              <c:ext xmlns:c16="http://schemas.microsoft.com/office/drawing/2014/chart" uri="{C3380CC4-5D6E-409C-BE32-E72D297353CC}">
                <c16:uniqueId val="{00000009-D066-407C-A5F4-0FF81838CD03}"/>
              </c:ext>
            </c:extLst>
          </c:dPt>
          <c:dPt>
            <c:idx val="5"/>
            <c:invertIfNegative val="0"/>
            <c:bubble3D val="0"/>
            <c:spPr>
              <a:solidFill>
                <a:schemeClr val="accent3">
                  <a:lumMod val="75000"/>
                </a:schemeClr>
              </a:solidFill>
              <a:ln>
                <a:noFill/>
              </a:ln>
              <a:effectLst/>
            </c:spPr>
            <c:extLst>
              <c:ext xmlns:c16="http://schemas.microsoft.com/office/drawing/2014/chart" uri="{C3380CC4-5D6E-409C-BE32-E72D297353CC}">
                <c16:uniqueId val="{0000000B-D066-407C-A5F4-0FF81838CD0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Eaux usées'!$E$52:$J$52</c:f>
              <c:strCache>
                <c:ptCount val="6"/>
                <c:pt idx="0">
                  <c:v>Très bon 
(A)</c:v>
                </c:pt>
                <c:pt idx="1">
                  <c:v>Bon 
(B)</c:v>
                </c:pt>
                <c:pt idx="2">
                  <c:v>Acceptable
(C)</c:v>
                </c:pt>
                <c:pt idx="3">
                  <c:v>Mauvais 
(D)</c:v>
                </c:pt>
                <c:pt idx="4">
                  <c:v>Très mauvais 
(E)</c:v>
                </c:pt>
                <c:pt idx="5">
                  <c:v>Inconnu</c:v>
                </c:pt>
              </c:strCache>
            </c:strRef>
          </c:cat>
          <c:val>
            <c:numRef>
              <c:f>'CALCULS Eaux usées'!$E$56:$J$56</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D066-407C-A5F4-0FF81838CD03}"/>
            </c:ext>
          </c:extLst>
        </c:ser>
        <c:dLbls>
          <c:showLegendKey val="0"/>
          <c:showVal val="0"/>
          <c:showCatName val="0"/>
          <c:showSerName val="0"/>
          <c:showPercent val="0"/>
          <c:showBubbleSize val="0"/>
        </c:dLbls>
        <c:gapWidth val="71"/>
        <c:overlap val="-27"/>
        <c:axId val="1704822352"/>
        <c:axId val="1704816528"/>
      </c:barChart>
      <c:catAx>
        <c:axId val="1704822352"/>
        <c:scaling>
          <c:orientation val="minMax"/>
        </c:scaling>
        <c:delete val="0"/>
        <c:axPos val="b"/>
        <c:numFmt formatCode="General" sourceLinked="1"/>
        <c:majorTickMark val="none"/>
        <c:minorTickMark val="none"/>
        <c:tickLblPos val="nextTo"/>
        <c:spPr>
          <a:noFill/>
          <a:ln w="9525" cap="flat" cmpd="sng" algn="ctr">
            <a:solidFill>
              <a:schemeClr val="tx2">
                <a:lumMod val="50000"/>
              </a:schemeClr>
            </a:solidFill>
            <a:round/>
          </a:ln>
          <a:effectLst/>
        </c:spPr>
        <c:txPr>
          <a:bodyPr rot="-60000000" spcFirstLastPara="1" vertOverflow="ellipsis" vert="horz" wrap="square" anchor="ctr" anchorCtr="1"/>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crossAx val="1704816528"/>
        <c:crosses val="autoZero"/>
        <c:auto val="1"/>
        <c:lblAlgn val="ctr"/>
        <c:lblOffset val="100"/>
        <c:noMultiLvlLbl val="0"/>
      </c:catAx>
      <c:valAx>
        <c:axId val="1704816528"/>
        <c:scaling>
          <c:orientation val="minMax"/>
          <c:max val="1"/>
        </c:scaling>
        <c:delete val="1"/>
        <c:axPos val="l"/>
        <c:majorGridlines>
          <c:spPr>
            <a:ln w="9525" cap="flat" cmpd="sng" algn="ctr">
              <a:solidFill>
                <a:srgbClr val="DCD1C6"/>
              </a:solidFill>
              <a:round/>
            </a:ln>
            <a:effectLst/>
          </c:spPr>
        </c:majorGridlines>
        <c:numFmt formatCode="0.0%" sourceLinked="1"/>
        <c:majorTickMark val="out"/>
        <c:minorTickMark val="none"/>
        <c:tickLblPos val="nextTo"/>
        <c:crossAx val="1704822352"/>
        <c:crosses val="autoZero"/>
        <c:crossBetween val="between"/>
        <c:majorUnit val="0.2"/>
        <c:minorUnit val="0.1"/>
      </c:valAx>
      <c:spPr>
        <a:solidFill>
          <a:srgbClr val="F6F3F0"/>
        </a:solidFill>
        <a:ln>
          <a:solidFill>
            <a:schemeClr val="tx2">
              <a:lumMod val="60000"/>
              <a:lumOff val="4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819805108733138E-3"/>
          <c:y val="5.5761897687317385E-3"/>
          <c:w val="0.9898423167606325"/>
          <c:h val="0.98289620272286105"/>
        </c:manualLayout>
      </c:layout>
      <c:barChart>
        <c:barDir val="bar"/>
        <c:grouping val="clustered"/>
        <c:varyColors val="0"/>
        <c:ser>
          <c:idx val="0"/>
          <c:order val="0"/>
          <c:spPr>
            <a:solidFill>
              <a:srgbClr val="BC5DCF"/>
            </a:solidFill>
            <a:ln>
              <a:noFill/>
            </a:ln>
            <a:effectLst/>
          </c:spPr>
          <c:invertIfNegative val="0"/>
          <c:cat>
            <c:strRef>
              <c:f>'CALCULS Eaux usées'!$D$118:$D$123</c:f>
              <c:strCache>
                <c:ptCount val="6"/>
                <c:pt idx="0">
                  <c:v>Autre </c:v>
                </c:pt>
                <c:pt idx="1">
                  <c:v>Manque d'informations</c:v>
                </c:pt>
                <c:pt idx="2">
                  <c:v>Changements climatiques</c:v>
                </c:pt>
                <c:pt idx="3">
                  <c:v>Sous-financement</c:v>
                </c:pt>
                <c:pt idx="4">
                  <c:v>Dotation de personnel</c:v>
                </c:pt>
                <c:pt idx="5">
                  <c:v>Actifs critiques</c:v>
                </c:pt>
              </c:strCache>
            </c:strRef>
          </c:cat>
          <c:val>
            <c:numRef>
              <c:f>'CALCULS Eaux usées'!$I$118:$I$123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4AB2-4950-8F13-DCFCF39F01E0}"/>
            </c:ext>
          </c:extLst>
        </c:ser>
        <c:dLbls>
          <c:showLegendKey val="0"/>
          <c:showVal val="0"/>
          <c:showCatName val="0"/>
          <c:showSerName val="0"/>
          <c:showPercent val="0"/>
          <c:showBubbleSize val="0"/>
        </c:dLbls>
        <c:gapWidth val="102"/>
        <c:axId val="1034704655"/>
        <c:axId val="1034703823"/>
      </c:barChart>
      <c:catAx>
        <c:axId val="1034704655"/>
        <c:scaling>
          <c:orientation val="minMax"/>
        </c:scaling>
        <c:delete val="1"/>
        <c:axPos val="l"/>
        <c:numFmt formatCode="General" sourceLinked="1"/>
        <c:majorTickMark val="none"/>
        <c:minorTickMark val="none"/>
        <c:tickLblPos val="nextTo"/>
        <c:crossAx val="1034703823"/>
        <c:crosses val="autoZero"/>
        <c:auto val="1"/>
        <c:lblAlgn val="ctr"/>
        <c:lblOffset val="100"/>
        <c:noMultiLvlLbl val="0"/>
      </c:catAx>
      <c:valAx>
        <c:axId val="1034703823"/>
        <c:scaling>
          <c:orientation val="minMax"/>
          <c:max val="3"/>
        </c:scaling>
        <c:delete val="1"/>
        <c:axPos val="b"/>
        <c:numFmt formatCode="General" sourceLinked="1"/>
        <c:majorTickMark val="none"/>
        <c:minorTickMark val="none"/>
        <c:tickLblPos val="nextTo"/>
        <c:crossAx val="1034704655"/>
        <c:crosses val="autoZero"/>
        <c:crossBetween val="between"/>
        <c:majorUnit val="1"/>
      </c:valAx>
      <c:spPr>
        <a:noFill/>
        <a:ln>
          <a:solidFill>
            <a:schemeClr val="bg1"/>
          </a:solid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693929387858773E-2"/>
          <c:y val="2.2002200220022004E-2"/>
          <c:w val="0.87266770092400159"/>
          <c:h val="0.97799775028121483"/>
        </c:manualLayout>
      </c:layout>
      <c:doughnut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E85C-4F14-8EFD-F05BC62A4E75}"/>
              </c:ext>
            </c:extLst>
          </c:dPt>
          <c:dPt>
            <c:idx val="1"/>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3-E85C-4F14-8EFD-F05BC62A4E7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85C-4F14-8EFD-F05BC62A4E7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85C-4F14-8EFD-F05BC62A4E75}"/>
              </c:ext>
            </c:extLst>
          </c:dPt>
          <c:dPt>
            <c:idx val="4"/>
            <c:bubble3D val="0"/>
            <c:spPr>
              <a:solidFill>
                <a:schemeClr val="tx2">
                  <a:lumMod val="60000"/>
                  <a:lumOff val="40000"/>
                </a:schemeClr>
              </a:solidFill>
              <a:ln w="19050">
                <a:solidFill>
                  <a:schemeClr val="lt1"/>
                </a:solidFill>
              </a:ln>
              <a:effectLst/>
            </c:spPr>
            <c:extLst>
              <c:ext xmlns:c16="http://schemas.microsoft.com/office/drawing/2014/chart" uri="{C3380CC4-5D6E-409C-BE32-E72D297353CC}">
                <c16:uniqueId val="{00000009-E85C-4F14-8EFD-F05BC62A4E75}"/>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E85C-4F14-8EFD-F05BC62A4E75}"/>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E85C-4F14-8EFD-F05BC62A4E75}"/>
              </c:ext>
            </c:extLst>
          </c:dPt>
          <c:dPt>
            <c:idx val="7"/>
            <c:bubble3D val="0"/>
            <c:spPr>
              <a:solidFill>
                <a:srgbClr val="FF8181"/>
              </a:solidFill>
              <a:ln w="19050">
                <a:solidFill>
                  <a:schemeClr val="lt1"/>
                </a:solidFill>
              </a:ln>
              <a:effectLst/>
            </c:spPr>
            <c:extLst>
              <c:ext xmlns:c16="http://schemas.microsoft.com/office/drawing/2014/chart" uri="{C3380CC4-5D6E-409C-BE32-E72D297353CC}">
                <c16:uniqueId val="{0000000F-E85C-4F14-8EFD-F05BC62A4E75}"/>
              </c:ext>
            </c:extLst>
          </c:dPt>
          <c:dPt>
            <c:idx val="8"/>
            <c:bubble3D val="0"/>
            <c:spPr>
              <a:solidFill>
                <a:srgbClr val="FFCCCC"/>
              </a:solidFill>
              <a:ln w="19050">
                <a:solidFill>
                  <a:schemeClr val="lt1"/>
                </a:solidFill>
              </a:ln>
              <a:effectLst/>
            </c:spPr>
            <c:extLst>
              <c:ext xmlns:c16="http://schemas.microsoft.com/office/drawing/2014/chart" uri="{C3380CC4-5D6E-409C-BE32-E72D297353CC}">
                <c16:uniqueId val="{00000011-E85C-4F14-8EFD-F05BC62A4E75}"/>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E85C-4F14-8EFD-F05BC62A4E75}"/>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E85C-4F14-8EFD-F05BC62A4E75}"/>
              </c:ext>
            </c:extLst>
          </c:dPt>
          <c:dLbls>
            <c:dLbl>
              <c:idx val="4"/>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9-E85C-4F14-8EFD-F05BC62A4E7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'CALCULS Eau potable'!$L$236:$L$246</c:f>
              <c:numCache>
                <c:formatCode>General</c:formatCode>
                <c:ptCount val="11"/>
              </c:numCache>
            </c:numRef>
          </c:cat>
          <c:val>
            <c:numRef>
              <c:f>'CALCULS Eau potable'!$M$236:$M$246</c:f>
              <c:numCache>
                <c:formatCode>#\ ##0\ "$"</c:formatCode>
                <c:ptCount val="11"/>
                <c:pt idx="0">
                  <c:v>0</c:v>
                </c:pt>
                <c:pt idx="1">
                  <c:v>0</c:v>
                </c:pt>
                <c:pt idx="4">
                  <c:v>0</c:v>
                </c:pt>
                <c:pt idx="7">
                  <c:v>0</c:v>
                </c:pt>
                <c:pt idx="8">
                  <c:v>0</c:v>
                </c:pt>
              </c:numCache>
            </c:numRef>
          </c:val>
          <c:extLst>
            <c:ext xmlns:c16="http://schemas.microsoft.com/office/drawing/2014/chart" uri="{C3380CC4-5D6E-409C-BE32-E72D297353CC}">
              <c16:uniqueId val="{00000016-E85C-4F14-8EFD-F05BC62A4E75}"/>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5154849838804796E-2"/>
          <c:y val="0.12378115526256893"/>
          <c:w val="0.95475389697351754"/>
          <c:h val="0.50683676168385916"/>
        </c:manualLayout>
      </c:layout>
      <c:barChart>
        <c:barDir val="col"/>
        <c:grouping val="clustered"/>
        <c:varyColors val="0"/>
        <c:ser>
          <c:idx val="0"/>
          <c:order val="0"/>
          <c:tx>
            <c:strRef>
              <c:f>'CALCULS Eau potable'!$D$54</c:f>
              <c:strCache>
                <c:ptCount val="1"/>
                <c:pt idx="0">
                  <c:v>PONCTUEL</c:v>
                </c:pt>
              </c:strCache>
            </c:strRef>
          </c:tx>
          <c:spPr>
            <a:solidFill>
              <a:schemeClr val="accent1"/>
            </a:solidFill>
            <a:ln>
              <a:noFill/>
            </a:ln>
            <a:effectLst/>
          </c:spPr>
          <c:invertIfNegative val="0"/>
          <c:dPt>
            <c:idx val="0"/>
            <c:invertIfNegative val="0"/>
            <c:bubble3D val="0"/>
            <c:spPr>
              <a:solidFill>
                <a:srgbClr val="007DDA"/>
              </a:solidFill>
              <a:ln>
                <a:noFill/>
              </a:ln>
              <a:effectLst/>
            </c:spPr>
            <c:extLst>
              <c:ext xmlns:c16="http://schemas.microsoft.com/office/drawing/2014/chart" uri="{C3380CC4-5D6E-409C-BE32-E72D297353CC}">
                <c16:uniqueId val="{00000001-E1D7-4B0E-A93B-1C0E4C995F20}"/>
              </c:ext>
            </c:extLst>
          </c:dPt>
          <c:dPt>
            <c:idx val="1"/>
            <c:invertIfNegative val="0"/>
            <c:bubble3D val="0"/>
            <c:spPr>
              <a:solidFill>
                <a:srgbClr val="00B050"/>
              </a:solidFill>
              <a:ln>
                <a:noFill/>
              </a:ln>
              <a:effectLst/>
            </c:spPr>
            <c:extLst>
              <c:ext xmlns:c16="http://schemas.microsoft.com/office/drawing/2014/chart" uri="{C3380CC4-5D6E-409C-BE32-E72D297353CC}">
                <c16:uniqueId val="{00000003-E1D7-4B0E-A93B-1C0E4C995F20}"/>
              </c:ext>
            </c:extLst>
          </c:dPt>
          <c:dPt>
            <c:idx val="2"/>
            <c:invertIfNegative val="0"/>
            <c:bubble3D val="0"/>
            <c:spPr>
              <a:solidFill>
                <a:srgbClr val="FFD347"/>
              </a:solidFill>
              <a:ln>
                <a:noFill/>
              </a:ln>
              <a:effectLst/>
            </c:spPr>
            <c:extLst>
              <c:ext xmlns:c16="http://schemas.microsoft.com/office/drawing/2014/chart" uri="{C3380CC4-5D6E-409C-BE32-E72D297353CC}">
                <c16:uniqueId val="{00000005-E1D7-4B0E-A93B-1C0E4C995F20}"/>
              </c:ext>
            </c:extLst>
          </c:dPt>
          <c:dPt>
            <c:idx val="3"/>
            <c:invertIfNegative val="0"/>
            <c:bubble3D val="0"/>
            <c:spPr>
              <a:solidFill>
                <a:srgbClr val="F98007"/>
              </a:solidFill>
              <a:ln>
                <a:noFill/>
              </a:ln>
              <a:effectLst/>
            </c:spPr>
            <c:extLst>
              <c:ext xmlns:c16="http://schemas.microsoft.com/office/drawing/2014/chart" uri="{C3380CC4-5D6E-409C-BE32-E72D297353CC}">
                <c16:uniqueId val="{00000007-E1D7-4B0E-A93B-1C0E4C995F20}"/>
              </c:ext>
            </c:extLst>
          </c:dPt>
          <c:dPt>
            <c:idx val="4"/>
            <c:invertIfNegative val="0"/>
            <c:bubble3D val="0"/>
            <c:spPr>
              <a:solidFill>
                <a:srgbClr val="C00000"/>
              </a:solidFill>
              <a:ln>
                <a:noFill/>
              </a:ln>
              <a:effectLst/>
            </c:spPr>
            <c:extLst>
              <c:ext xmlns:c16="http://schemas.microsoft.com/office/drawing/2014/chart" uri="{C3380CC4-5D6E-409C-BE32-E72D297353CC}">
                <c16:uniqueId val="{00000009-E1D7-4B0E-A93B-1C0E4C995F20}"/>
              </c:ext>
            </c:extLst>
          </c:dPt>
          <c:dPt>
            <c:idx val="5"/>
            <c:invertIfNegative val="0"/>
            <c:bubble3D val="0"/>
            <c:spPr>
              <a:solidFill>
                <a:schemeClr val="accent3">
                  <a:lumMod val="75000"/>
                </a:schemeClr>
              </a:solidFill>
              <a:ln>
                <a:noFill/>
              </a:ln>
              <a:effectLst/>
            </c:spPr>
            <c:extLst>
              <c:ext xmlns:c16="http://schemas.microsoft.com/office/drawing/2014/chart" uri="{C3380CC4-5D6E-409C-BE32-E72D297353CC}">
                <c16:uniqueId val="{0000000B-E1D7-4B0E-A93B-1C0E4C995F2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 potable'!$E$52:$J$52</c:f>
              <c:strCache>
                <c:ptCount val="6"/>
                <c:pt idx="0">
                  <c:v>Très bon 
(A)</c:v>
                </c:pt>
                <c:pt idx="1">
                  <c:v>Bon 
(B)</c:v>
                </c:pt>
                <c:pt idx="2">
                  <c:v>Acceptable
(C)</c:v>
                </c:pt>
                <c:pt idx="3">
                  <c:v>Mauvais 
(D)</c:v>
                </c:pt>
                <c:pt idx="4">
                  <c:v>Très mauvais 
(E)</c:v>
                </c:pt>
                <c:pt idx="5">
                  <c:v>Inconnu</c:v>
                </c:pt>
              </c:strCache>
            </c:strRef>
          </c:cat>
          <c:val>
            <c:numRef>
              <c:f>'CALCULS Eau potable'!$E$54:$J$54</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E1D7-4B0E-A93B-1C0E4C995F20}"/>
            </c:ext>
          </c:extLst>
        </c:ser>
        <c:dLbls>
          <c:showLegendKey val="0"/>
          <c:showVal val="0"/>
          <c:showCatName val="0"/>
          <c:showSerName val="0"/>
          <c:showPercent val="0"/>
          <c:showBubbleSize val="0"/>
        </c:dLbls>
        <c:gapWidth val="71"/>
        <c:overlap val="-27"/>
        <c:axId val="1704822352"/>
        <c:axId val="1704816528"/>
      </c:barChart>
      <c:catAx>
        <c:axId val="1704822352"/>
        <c:scaling>
          <c:orientation val="minMax"/>
        </c:scaling>
        <c:delete val="0"/>
        <c:axPos val="b"/>
        <c:numFmt formatCode="General" sourceLinked="1"/>
        <c:majorTickMark val="none"/>
        <c:minorTickMark val="none"/>
        <c:tickLblPos val="nextTo"/>
        <c:spPr>
          <a:noFill/>
          <a:ln w="9525" cap="flat" cmpd="sng" algn="ctr">
            <a:solidFill>
              <a:schemeClr val="tx2">
                <a:lumMod val="50000"/>
              </a:schemeClr>
            </a:solidFill>
            <a:round/>
          </a:ln>
          <a:effectLst/>
        </c:spPr>
        <c:txPr>
          <a:bodyPr rot="-60000000" spcFirstLastPara="1" vertOverflow="ellipsis" vert="horz" wrap="square" anchor="ctr" anchorCtr="1"/>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crossAx val="1704816528"/>
        <c:crossesAt val="0"/>
        <c:auto val="1"/>
        <c:lblAlgn val="ctr"/>
        <c:lblOffset val="100"/>
        <c:noMultiLvlLbl val="0"/>
      </c:catAx>
      <c:valAx>
        <c:axId val="1704816528"/>
        <c:scaling>
          <c:orientation val="minMax"/>
          <c:max val="1"/>
          <c:min val="0"/>
        </c:scaling>
        <c:delete val="1"/>
        <c:axPos val="l"/>
        <c:majorGridlines>
          <c:spPr>
            <a:ln w="9525" cap="flat" cmpd="sng" algn="ctr">
              <a:solidFill>
                <a:schemeClr val="tx2">
                  <a:lumMod val="20000"/>
                  <a:lumOff val="80000"/>
                </a:schemeClr>
              </a:solidFill>
              <a:round/>
            </a:ln>
            <a:effectLst/>
          </c:spPr>
        </c:majorGridlines>
        <c:numFmt formatCode="0.0%" sourceLinked="1"/>
        <c:majorTickMark val="out"/>
        <c:minorTickMark val="none"/>
        <c:tickLblPos val="nextTo"/>
        <c:crossAx val="1704822352"/>
        <c:crosses val="autoZero"/>
        <c:crossBetween val="between"/>
        <c:majorUnit val="0.2"/>
        <c:minorUnit val="0.1"/>
      </c:valAx>
      <c:spPr>
        <a:solidFill>
          <a:srgbClr val="E7F0F9"/>
        </a:solidFill>
        <a:ln>
          <a:solidFill>
            <a:schemeClr val="tx2">
              <a:lumMod val="60000"/>
              <a:lumOff val="4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049981655518869E-2"/>
          <c:y val="0.11403076792932802"/>
          <c:w val="0.95685887517335444"/>
          <c:h val="0.59021236034490054"/>
        </c:manualLayout>
      </c:layout>
      <c:barChart>
        <c:barDir val="col"/>
        <c:grouping val="clustered"/>
        <c:varyColors val="0"/>
        <c:ser>
          <c:idx val="0"/>
          <c:order val="0"/>
          <c:tx>
            <c:strRef>
              <c:f>'CALCULS Eaux pluviales'!$D$53</c:f>
              <c:strCache>
                <c:ptCount val="1"/>
                <c:pt idx="0">
                  <c:v>LINÉAIRE</c:v>
                </c:pt>
              </c:strCache>
            </c:strRef>
          </c:tx>
          <c:spPr>
            <a:solidFill>
              <a:schemeClr val="accent1"/>
            </a:solidFill>
            <a:ln>
              <a:noFill/>
            </a:ln>
            <a:effectLst/>
          </c:spPr>
          <c:invertIfNegative val="0"/>
          <c:dPt>
            <c:idx val="0"/>
            <c:invertIfNegative val="0"/>
            <c:bubble3D val="0"/>
            <c:spPr>
              <a:solidFill>
                <a:srgbClr val="007DDA"/>
              </a:solidFill>
              <a:ln>
                <a:noFill/>
              </a:ln>
              <a:effectLst/>
            </c:spPr>
            <c:extLst>
              <c:ext xmlns:c16="http://schemas.microsoft.com/office/drawing/2014/chart" uri="{C3380CC4-5D6E-409C-BE32-E72D297353CC}">
                <c16:uniqueId val="{00000001-C661-4BCA-BE77-35468152A9F4}"/>
              </c:ext>
            </c:extLst>
          </c:dPt>
          <c:dPt>
            <c:idx val="1"/>
            <c:invertIfNegative val="0"/>
            <c:bubble3D val="0"/>
            <c:spPr>
              <a:solidFill>
                <a:srgbClr val="00B050"/>
              </a:solidFill>
              <a:ln>
                <a:noFill/>
              </a:ln>
              <a:effectLst/>
            </c:spPr>
            <c:extLst>
              <c:ext xmlns:c16="http://schemas.microsoft.com/office/drawing/2014/chart" uri="{C3380CC4-5D6E-409C-BE32-E72D297353CC}">
                <c16:uniqueId val="{00000003-C661-4BCA-BE77-35468152A9F4}"/>
              </c:ext>
            </c:extLst>
          </c:dPt>
          <c:dPt>
            <c:idx val="2"/>
            <c:invertIfNegative val="0"/>
            <c:bubble3D val="0"/>
            <c:spPr>
              <a:solidFill>
                <a:srgbClr val="FFD347"/>
              </a:solidFill>
              <a:ln>
                <a:noFill/>
              </a:ln>
              <a:effectLst/>
            </c:spPr>
            <c:extLst>
              <c:ext xmlns:c16="http://schemas.microsoft.com/office/drawing/2014/chart" uri="{C3380CC4-5D6E-409C-BE32-E72D297353CC}">
                <c16:uniqueId val="{00000005-C661-4BCA-BE77-35468152A9F4}"/>
              </c:ext>
            </c:extLst>
          </c:dPt>
          <c:dPt>
            <c:idx val="3"/>
            <c:invertIfNegative val="0"/>
            <c:bubble3D val="0"/>
            <c:spPr>
              <a:solidFill>
                <a:srgbClr val="F98007"/>
              </a:solidFill>
              <a:ln>
                <a:noFill/>
              </a:ln>
              <a:effectLst/>
            </c:spPr>
            <c:extLst>
              <c:ext xmlns:c16="http://schemas.microsoft.com/office/drawing/2014/chart" uri="{C3380CC4-5D6E-409C-BE32-E72D297353CC}">
                <c16:uniqueId val="{00000007-C661-4BCA-BE77-35468152A9F4}"/>
              </c:ext>
            </c:extLst>
          </c:dPt>
          <c:dPt>
            <c:idx val="4"/>
            <c:invertIfNegative val="0"/>
            <c:bubble3D val="0"/>
            <c:spPr>
              <a:solidFill>
                <a:srgbClr val="C00000"/>
              </a:solidFill>
              <a:ln>
                <a:noFill/>
              </a:ln>
              <a:effectLst/>
            </c:spPr>
            <c:extLst>
              <c:ext xmlns:c16="http://schemas.microsoft.com/office/drawing/2014/chart" uri="{C3380CC4-5D6E-409C-BE32-E72D297353CC}">
                <c16:uniqueId val="{00000009-C661-4BCA-BE77-35468152A9F4}"/>
              </c:ext>
            </c:extLst>
          </c:dPt>
          <c:dPt>
            <c:idx val="5"/>
            <c:invertIfNegative val="0"/>
            <c:bubble3D val="0"/>
            <c:spPr>
              <a:solidFill>
                <a:schemeClr val="accent3">
                  <a:lumMod val="75000"/>
                </a:schemeClr>
              </a:solidFill>
              <a:ln>
                <a:noFill/>
              </a:ln>
              <a:effectLst/>
            </c:spPr>
            <c:extLst>
              <c:ext xmlns:c16="http://schemas.microsoft.com/office/drawing/2014/chart" uri="{C3380CC4-5D6E-409C-BE32-E72D297353CC}">
                <c16:uniqueId val="{0000000B-C661-4BCA-BE77-35468152A9F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Eaux pluviales'!$E$52:$J$52</c:f>
              <c:strCache>
                <c:ptCount val="6"/>
                <c:pt idx="0">
                  <c:v>Très bon 
(A)</c:v>
                </c:pt>
                <c:pt idx="1">
                  <c:v>Bon 
(B)</c:v>
                </c:pt>
                <c:pt idx="2">
                  <c:v>Acceptable
(C)</c:v>
                </c:pt>
                <c:pt idx="3">
                  <c:v>Mauvais 
(D)</c:v>
                </c:pt>
                <c:pt idx="4">
                  <c:v>Très mauvais 
(E)</c:v>
                </c:pt>
                <c:pt idx="5">
                  <c:v>Inconnu</c:v>
                </c:pt>
              </c:strCache>
            </c:strRef>
          </c:cat>
          <c:val>
            <c:numRef>
              <c:f>'CALCULS Eaux pluviales'!$E$53:$J$53</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C661-4BCA-BE77-35468152A9F4}"/>
            </c:ext>
          </c:extLst>
        </c:ser>
        <c:dLbls>
          <c:showLegendKey val="0"/>
          <c:showVal val="0"/>
          <c:showCatName val="0"/>
          <c:showSerName val="0"/>
          <c:showPercent val="0"/>
          <c:showBubbleSize val="0"/>
        </c:dLbls>
        <c:gapWidth val="71"/>
        <c:overlap val="-27"/>
        <c:axId val="1704822352"/>
        <c:axId val="1704816528"/>
      </c:barChart>
      <c:catAx>
        <c:axId val="1704822352"/>
        <c:scaling>
          <c:orientation val="minMax"/>
        </c:scaling>
        <c:delete val="0"/>
        <c:axPos val="b"/>
        <c:numFmt formatCode="General" sourceLinked="1"/>
        <c:majorTickMark val="none"/>
        <c:minorTickMark val="none"/>
        <c:tickLblPos val="nextTo"/>
        <c:spPr>
          <a:noFill/>
          <a:ln w="9525" cap="flat" cmpd="sng" algn="ctr">
            <a:solidFill>
              <a:schemeClr val="tx2">
                <a:lumMod val="50000"/>
              </a:schemeClr>
            </a:solidFill>
            <a:round/>
          </a:ln>
          <a:effectLst/>
        </c:spPr>
        <c:txPr>
          <a:bodyPr rot="-60000000" spcFirstLastPara="1" vertOverflow="ellipsis" vert="horz" wrap="square" anchor="ctr" anchorCtr="1"/>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crossAx val="1704816528"/>
        <c:crosses val="autoZero"/>
        <c:auto val="1"/>
        <c:lblAlgn val="ctr"/>
        <c:lblOffset val="100"/>
        <c:noMultiLvlLbl val="0"/>
      </c:catAx>
      <c:valAx>
        <c:axId val="1704816528"/>
        <c:scaling>
          <c:orientation val="minMax"/>
          <c:max val="1"/>
        </c:scaling>
        <c:delete val="1"/>
        <c:axPos val="l"/>
        <c:majorGridlines>
          <c:spPr>
            <a:ln w="9525" cap="flat" cmpd="sng" algn="ctr">
              <a:solidFill>
                <a:srgbClr val="D8EBCD"/>
              </a:solidFill>
              <a:round/>
            </a:ln>
            <a:effectLst/>
          </c:spPr>
        </c:majorGridlines>
        <c:numFmt formatCode="0.0%" sourceLinked="1"/>
        <c:majorTickMark val="out"/>
        <c:minorTickMark val="none"/>
        <c:tickLblPos val="nextTo"/>
        <c:crossAx val="1704822352"/>
        <c:crosses val="autoZero"/>
        <c:crossBetween val="between"/>
        <c:majorUnit val="0.2"/>
        <c:minorUnit val="0.1"/>
      </c:valAx>
      <c:spPr>
        <a:solidFill>
          <a:srgbClr val="EEF6EE"/>
        </a:solidFill>
        <a:ln>
          <a:solidFill>
            <a:schemeClr val="tx2">
              <a:lumMod val="60000"/>
              <a:lumOff val="4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9294045330323244E-2"/>
          <c:y val="0.11344504141769035"/>
          <c:w val="0.96061470148199901"/>
          <c:h val="0.52325163579904632"/>
        </c:manualLayout>
      </c:layout>
      <c:barChart>
        <c:barDir val="col"/>
        <c:grouping val="clustered"/>
        <c:varyColors val="0"/>
        <c:ser>
          <c:idx val="0"/>
          <c:order val="0"/>
          <c:tx>
            <c:strRef>
              <c:f>'CALCULS Eaux pluviales'!$D$54</c:f>
              <c:strCache>
                <c:ptCount val="1"/>
                <c:pt idx="0">
                  <c:v>PONCTUEL</c:v>
                </c:pt>
              </c:strCache>
            </c:strRef>
          </c:tx>
          <c:spPr>
            <a:solidFill>
              <a:schemeClr val="accent1"/>
            </a:solidFill>
            <a:ln>
              <a:noFill/>
            </a:ln>
            <a:effectLst/>
          </c:spPr>
          <c:invertIfNegative val="0"/>
          <c:dPt>
            <c:idx val="0"/>
            <c:invertIfNegative val="0"/>
            <c:bubble3D val="0"/>
            <c:spPr>
              <a:solidFill>
                <a:srgbClr val="007DDA"/>
              </a:solidFill>
              <a:ln>
                <a:noFill/>
              </a:ln>
              <a:effectLst/>
            </c:spPr>
            <c:extLst>
              <c:ext xmlns:c16="http://schemas.microsoft.com/office/drawing/2014/chart" uri="{C3380CC4-5D6E-409C-BE32-E72D297353CC}">
                <c16:uniqueId val="{00000001-095E-4CEE-9147-639BC91C369A}"/>
              </c:ext>
            </c:extLst>
          </c:dPt>
          <c:dPt>
            <c:idx val="1"/>
            <c:invertIfNegative val="0"/>
            <c:bubble3D val="0"/>
            <c:spPr>
              <a:solidFill>
                <a:srgbClr val="00B050"/>
              </a:solidFill>
              <a:ln>
                <a:noFill/>
              </a:ln>
              <a:effectLst/>
            </c:spPr>
            <c:extLst>
              <c:ext xmlns:c16="http://schemas.microsoft.com/office/drawing/2014/chart" uri="{C3380CC4-5D6E-409C-BE32-E72D297353CC}">
                <c16:uniqueId val="{00000003-095E-4CEE-9147-639BC91C369A}"/>
              </c:ext>
            </c:extLst>
          </c:dPt>
          <c:dPt>
            <c:idx val="2"/>
            <c:invertIfNegative val="0"/>
            <c:bubble3D val="0"/>
            <c:spPr>
              <a:solidFill>
                <a:srgbClr val="FFD347"/>
              </a:solidFill>
              <a:ln>
                <a:noFill/>
              </a:ln>
              <a:effectLst/>
            </c:spPr>
            <c:extLst>
              <c:ext xmlns:c16="http://schemas.microsoft.com/office/drawing/2014/chart" uri="{C3380CC4-5D6E-409C-BE32-E72D297353CC}">
                <c16:uniqueId val="{00000005-095E-4CEE-9147-639BC91C369A}"/>
              </c:ext>
            </c:extLst>
          </c:dPt>
          <c:dPt>
            <c:idx val="3"/>
            <c:invertIfNegative val="0"/>
            <c:bubble3D val="0"/>
            <c:spPr>
              <a:solidFill>
                <a:srgbClr val="F98007"/>
              </a:solidFill>
              <a:ln>
                <a:noFill/>
              </a:ln>
              <a:effectLst/>
            </c:spPr>
            <c:extLst>
              <c:ext xmlns:c16="http://schemas.microsoft.com/office/drawing/2014/chart" uri="{C3380CC4-5D6E-409C-BE32-E72D297353CC}">
                <c16:uniqueId val="{00000007-095E-4CEE-9147-639BC91C369A}"/>
              </c:ext>
            </c:extLst>
          </c:dPt>
          <c:dPt>
            <c:idx val="4"/>
            <c:invertIfNegative val="0"/>
            <c:bubble3D val="0"/>
            <c:spPr>
              <a:solidFill>
                <a:srgbClr val="C00000"/>
              </a:solidFill>
              <a:ln>
                <a:noFill/>
              </a:ln>
              <a:effectLst/>
            </c:spPr>
            <c:extLst>
              <c:ext xmlns:c16="http://schemas.microsoft.com/office/drawing/2014/chart" uri="{C3380CC4-5D6E-409C-BE32-E72D297353CC}">
                <c16:uniqueId val="{00000009-095E-4CEE-9147-639BC91C369A}"/>
              </c:ext>
            </c:extLst>
          </c:dPt>
          <c:dPt>
            <c:idx val="5"/>
            <c:invertIfNegative val="0"/>
            <c:bubble3D val="0"/>
            <c:spPr>
              <a:solidFill>
                <a:schemeClr val="accent3">
                  <a:lumMod val="75000"/>
                </a:schemeClr>
              </a:solidFill>
              <a:ln>
                <a:noFill/>
              </a:ln>
              <a:effectLst/>
            </c:spPr>
            <c:extLst>
              <c:ext xmlns:c16="http://schemas.microsoft.com/office/drawing/2014/chart" uri="{C3380CC4-5D6E-409C-BE32-E72D297353CC}">
                <c16:uniqueId val="{0000000B-095E-4CEE-9147-639BC91C369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Eaux pluviales'!$E$52:$J$52</c:f>
              <c:strCache>
                <c:ptCount val="6"/>
                <c:pt idx="0">
                  <c:v>Très bon 
(A)</c:v>
                </c:pt>
                <c:pt idx="1">
                  <c:v>Bon 
(B)</c:v>
                </c:pt>
                <c:pt idx="2">
                  <c:v>Acceptable
(C)</c:v>
                </c:pt>
                <c:pt idx="3">
                  <c:v>Mauvais 
(D)</c:v>
                </c:pt>
                <c:pt idx="4">
                  <c:v>Très mauvais 
(E)</c:v>
                </c:pt>
                <c:pt idx="5">
                  <c:v>Inconnu</c:v>
                </c:pt>
              </c:strCache>
            </c:strRef>
          </c:cat>
          <c:val>
            <c:numRef>
              <c:f>'CALCULS Eaux pluviales'!$E$54:$J$54</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095E-4CEE-9147-639BC91C369A}"/>
            </c:ext>
          </c:extLst>
        </c:ser>
        <c:dLbls>
          <c:showLegendKey val="0"/>
          <c:showVal val="0"/>
          <c:showCatName val="0"/>
          <c:showSerName val="0"/>
          <c:showPercent val="0"/>
          <c:showBubbleSize val="0"/>
        </c:dLbls>
        <c:gapWidth val="71"/>
        <c:overlap val="-27"/>
        <c:axId val="1704822352"/>
        <c:axId val="1704816528"/>
      </c:barChart>
      <c:catAx>
        <c:axId val="1704822352"/>
        <c:scaling>
          <c:orientation val="minMax"/>
        </c:scaling>
        <c:delete val="0"/>
        <c:axPos val="b"/>
        <c:numFmt formatCode="General" sourceLinked="1"/>
        <c:majorTickMark val="none"/>
        <c:minorTickMark val="none"/>
        <c:tickLblPos val="nextTo"/>
        <c:spPr>
          <a:noFill/>
          <a:ln w="9525" cap="flat" cmpd="sng" algn="ctr">
            <a:solidFill>
              <a:schemeClr val="tx2">
                <a:lumMod val="50000"/>
              </a:schemeClr>
            </a:solidFill>
            <a:round/>
          </a:ln>
          <a:effectLst/>
        </c:spPr>
        <c:txPr>
          <a:bodyPr rot="-60000000" spcFirstLastPara="1" vertOverflow="ellipsis" vert="horz" wrap="square" anchor="ctr" anchorCtr="1"/>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crossAx val="1704816528"/>
        <c:crosses val="autoZero"/>
        <c:auto val="1"/>
        <c:lblAlgn val="ctr"/>
        <c:lblOffset val="100"/>
        <c:noMultiLvlLbl val="0"/>
      </c:catAx>
      <c:valAx>
        <c:axId val="1704816528"/>
        <c:scaling>
          <c:orientation val="minMax"/>
          <c:max val="1"/>
        </c:scaling>
        <c:delete val="1"/>
        <c:axPos val="l"/>
        <c:majorGridlines>
          <c:spPr>
            <a:ln w="9525" cap="flat" cmpd="sng" algn="ctr">
              <a:solidFill>
                <a:srgbClr val="D8EBCD"/>
              </a:solidFill>
              <a:round/>
            </a:ln>
            <a:effectLst/>
          </c:spPr>
        </c:majorGridlines>
        <c:numFmt formatCode="0.0%" sourceLinked="1"/>
        <c:majorTickMark val="out"/>
        <c:minorTickMark val="none"/>
        <c:tickLblPos val="nextTo"/>
        <c:crossAx val="1704822352"/>
        <c:crosses val="autoZero"/>
        <c:crossBetween val="between"/>
        <c:majorUnit val="0.2"/>
        <c:minorUnit val="0.1"/>
      </c:valAx>
      <c:spPr>
        <a:solidFill>
          <a:srgbClr val="EEF6EE"/>
        </a:solidFill>
        <a:ln>
          <a:solidFill>
            <a:schemeClr val="tx2">
              <a:lumMod val="60000"/>
              <a:lumOff val="4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2775949505217757E-2"/>
          <c:y val="0.11344504141769035"/>
          <c:w val="0.95713296231844114"/>
          <c:h val="0.55989423544279182"/>
        </c:manualLayout>
      </c:layout>
      <c:barChart>
        <c:barDir val="col"/>
        <c:grouping val="clustered"/>
        <c:varyColors val="0"/>
        <c:ser>
          <c:idx val="0"/>
          <c:order val="0"/>
          <c:tx>
            <c:strRef>
              <c:f>'CALCULS Eaux pluviales'!$D$55</c:f>
              <c:strCache>
                <c:ptCount val="1"/>
                <c:pt idx="0">
                  <c:v>LINÉAIRE</c:v>
                </c:pt>
              </c:strCache>
            </c:strRef>
          </c:tx>
          <c:spPr>
            <a:solidFill>
              <a:schemeClr val="accent1"/>
            </a:solidFill>
            <a:ln>
              <a:noFill/>
            </a:ln>
            <a:effectLst/>
          </c:spPr>
          <c:invertIfNegative val="0"/>
          <c:dPt>
            <c:idx val="0"/>
            <c:invertIfNegative val="0"/>
            <c:bubble3D val="0"/>
            <c:spPr>
              <a:solidFill>
                <a:srgbClr val="007DDA"/>
              </a:solidFill>
              <a:ln>
                <a:noFill/>
              </a:ln>
              <a:effectLst/>
            </c:spPr>
            <c:extLst>
              <c:ext xmlns:c16="http://schemas.microsoft.com/office/drawing/2014/chart" uri="{C3380CC4-5D6E-409C-BE32-E72D297353CC}">
                <c16:uniqueId val="{00000001-7965-46E5-9F38-2BC386D5B15E}"/>
              </c:ext>
            </c:extLst>
          </c:dPt>
          <c:dPt>
            <c:idx val="1"/>
            <c:invertIfNegative val="0"/>
            <c:bubble3D val="0"/>
            <c:spPr>
              <a:solidFill>
                <a:srgbClr val="00B050"/>
              </a:solidFill>
              <a:ln>
                <a:noFill/>
              </a:ln>
              <a:effectLst/>
            </c:spPr>
            <c:extLst>
              <c:ext xmlns:c16="http://schemas.microsoft.com/office/drawing/2014/chart" uri="{C3380CC4-5D6E-409C-BE32-E72D297353CC}">
                <c16:uniqueId val="{00000003-7965-46E5-9F38-2BC386D5B15E}"/>
              </c:ext>
            </c:extLst>
          </c:dPt>
          <c:dPt>
            <c:idx val="2"/>
            <c:invertIfNegative val="0"/>
            <c:bubble3D val="0"/>
            <c:spPr>
              <a:solidFill>
                <a:srgbClr val="FFD347"/>
              </a:solidFill>
              <a:ln>
                <a:noFill/>
              </a:ln>
              <a:effectLst/>
            </c:spPr>
            <c:extLst>
              <c:ext xmlns:c16="http://schemas.microsoft.com/office/drawing/2014/chart" uri="{C3380CC4-5D6E-409C-BE32-E72D297353CC}">
                <c16:uniqueId val="{00000005-7965-46E5-9F38-2BC386D5B15E}"/>
              </c:ext>
            </c:extLst>
          </c:dPt>
          <c:dPt>
            <c:idx val="3"/>
            <c:invertIfNegative val="0"/>
            <c:bubble3D val="0"/>
            <c:spPr>
              <a:solidFill>
                <a:srgbClr val="F98007"/>
              </a:solidFill>
              <a:ln>
                <a:noFill/>
              </a:ln>
              <a:effectLst/>
            </c:spPr>
            <c:extLst>
              <c:ext xmlns:c16="http://schemas.microsoft.com/office/drawing/2014/chart" uri="{C3380CC4-5D6E-409C-BE32-E72D297353CC}">
                <c16:uniqueId val="{00000007-7965-46E5-9F38-2BC386D5B15E}"/>
              </c:ext>
            </c:extLst>
          </c:dPt>
          <c:dPt>
            <c:idx val="4"/>
            <c:invertIfNegative val="0"/>
            <c:bubble3D val="0"/>
            <c:spPr>
              <a:solidFill>
                <a:srgbClr val="C00000"/>
              </a:solidFill>
              <a:ln>
                <a:noFill/>
              </a:ln>
              <a:effectLst/>
            </c:spPr>
            <c:extLst>
              <c:ext xmlns:c16="http://schemas.microsoft.com/office/drawing/2014/chart" uri="{C3380CC4-5D6E-409C-BE32-E72D297353CC}">
                <c16:uniqueId val="{00000009-7965-46E5-9F38-2BC386D5B15E}"/>
              </c:ext>
            </c:extLst>
          </c:dPt>
          <c:dPt>
            <c:idx val="5"/>
            <c:invertIfNegative val="0"/>
            <c:bubble3D val="0"/>
            <c:spPr>
              <a:solidFill>
                <a:schemeClr val="accent3">
                  <a:lumMod val="75000"/>
                </a:schemeClr>
              </a:solidFill>
              <a:ln>
                <a:noFill/>
              </a:ln>
              <a:effectLst/>
            </c:spPr>
            <c:extLst>
              <c:ext xmlns:c16="http://schemas.microsoft.com/office/drawing/2014/chart" uri="{C3380CC4-5D6E-409C-BE32-E72D297353CC}">
                <c16:uniqueId val="{0000000B-7965-46E5-9F38-2BC386D5B15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Eaux pluviales'!$E$52:$J$52</c:f>
              <c:strCache>
                <c:ptCount val="6"/>
                <c:pt idx="0">
                  <c:v>Très bon 
(A)</c:v>
                </c:pt>
                <c:pt idx="1">
                  <c:v>Bon 
(B)</c:v>
                </c:pt>
                <c:pt idx="2">
                  <c:v>Acceptable
(C)</c:v>
                </c:pt>
                <c:pt idx="3">
                  <c:v>Mauvais 
(D)</c:v>
                </c:pt>
                <c:pt idx="4">
                  <c:v>Très mauvais 
(E)</c:v>
                </c:pt>
                <c:pt idx="5">
                  <c:v>Inconnu</c:v>
                </c:pt>
              </c:strCache>
            </c:strRef>
          </c:cat>
          <c:val>
            <c:numRef>
              <c:f>'CALCULS Eaux pluviales'!$E$55:$J$55</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7965-46E5-9F38-2BC386D5B15E}"/>
            </c:ext>
          </c:extLst>
        </c:ser>
        <c:dLbls>
          <c:showLegendKey val="0"/>
          <c:showVal val="0"/>
          <c:showCatName val="0"/>
          <c:showSerName val="0"/>
          <c:showPercent val="0"/>
          <c:showBubbleSize val="0"/>
        </c:dLbls>
        <c:gapWidth val="71"/>
        <c:overlap val="-27"/>
        <c:axId val="1704822352"/>
        <c:axId val="1704816528"/>
      </c:barChart>
      <c:catAx>
        <c:axId val="1704822352"/>
        <c:scaling>
          <c:orientation val="minMax"/>
        </c:scaling>
        <c:delete val="0"/>
        <c:axPos val="b"/>
        <c:numFmt formatCode="General" sourceLinked="1"/>
        <c:majorTickMark val="none"/>
        <c:minorTickMark val="none"/>
        <c:tickLblPos val="nextTo"/>
        <c:spPr>
          <a:noFill/>
          <a:ln w="9525" cap="flat" cmpd="sng" algn="ctr">
            <a:solidFill>
              <a:schemeClr val="tx2">
                <a:lumMod val="50000"/>
              </a:schemeClr>
            </a:solidFill>
            <a:round/>
          </a:ln>
          <a:effectLst/>
        </c:spPr>
        <c:txPr>
          <a:bodyPr rot="-60000000" spcFirstLastPara="1" vertOverflow="ellipsis" vert="horz" wrap="square" anchor="ctr" anchorCtr="1"/>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crossAx val="1704816528"/>
        <c:crosses val="autoZero"/>
        <c:auto val="1"/>
        <c:lblAlgn val="ctr"/>
        <c:lblOffset val="100"/>
        <c:noMultiLvlLbl val="0"/>
      </c:catAx>
      <c:valAx>
        <c:axId val="1704816528"/>
        <c:scaling>
          <c:orientation val="minMax"/>
          <c:max val="1"/>
        </c:scaling>
        <c:delete val="1"/>
        <c:axPos val="l"/>
        <c:majorGridlines>
          <c:spPr>
            <a:ln w="9525" cap="flat" cmpd="sng" algn="ctr">
              <a:solidFill>
                <a:srgbClr val="D8EBCD"/>
              </a:solidFill>
              <a:round/>
            </a:ln>
            <a:effectLst/>
          </c:spPr>
        </c:majorGridlines>
        <c:numFmt formatCode="0.0%" sourceLinked="1"/>
        <c:majorTickMark val="out"/>
        <c:minorTickMark val="none"/>
        <c:tickLblPos val="nextTo"/>
        <c:crossAx val="1704822352"/>
        <c:crosses val="autoZero"/>
        <c:crossBetween val="between"/>
        <c:majorUnit val="0.2"/>
        <c:minorUnit val="0.1"/>
      </c:valAx>
      <c:spPr>
        <a:solidFill>
          <a:srgbClr val="EEF6EE"/>
        </a:solidFill>
        <a:ln>
          <a:solidFill>
            <a:schemeClr val="tx2">
              <a:lumMod val="60000"/>
              <a:lumOff val="4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322634890950919E-2"/>
          <c:y val="0.11344504141769035"/>
          <c:w val="0.95658622096736134"/>
          <c:h val="0.55989423544279182"/>
        </c:manualLayout>
      </c:layout>
      <c:barChart>
        <c:barDir val="col"/>
        <c:grouping val="clustered"/>
        <c:varyColors val="0"/>
        <c:ser>
          <c:idx val="0"/>
          <c:order val="0"/>
          <c:tx>
            <c:strRef>
              <c:f>'CALCULS Eaux pluviales'!$D$56</c:f>
              <c:strCache>
                <c:ptCount val="1"/>
                <c:pt idx="0">
                  <c:v>PONCTUEL</c:v>
                </c:pt>
              </c:strCache>
            </c:strRef>
          </c:tx>
          <c:spPr>
            <a:solidFill>
              <a:schemeClr val="accent1"/>
            </a:solidFill>
            <a:ln>
              <a:noFill/>
            </a:ln>
            <a:effectLst/>
          </c:spPr>
          <c:invertIfNegative val="0"/>
          <c:dPt>
            <c:idx val="0"/>
            <c:invertIfNegative val="0"/>
            <c:bubble3D val="0"/>
            <c:spPr>
              <a:solidFill>
                <a:srgbClr val="007DDA"/>
              </a:solidFill>
              <a:ln>
                <a:noFill/>
              </a:ln>
              <a:effectLst/>
            </c:spPr>
            <c:extLst>
              <c:ext xmlns:c16="http://schemas.microsoft.com/office/drawing/2014/chart" uri="{C3380CC4-5D6E-409C-BE32-E72D297353CC}">
                <c16:uniqueId val="{00000001-637C-420A-9452-4B5D08EB74FE}"/>
              </c:ext>
            </c:extLst>
          </c:dPt>
          <c:dPt>
            <c:idx val="1"/>
            <c:invertIfNegative val="0"/>
            <c:bubble3D val="0"/>
            <c:spPr>
              <a:solidFill>
                <a:srgbClr val="00B050"/>
              </a:solidFill>
              <a:ln>
                <a:noFill/>
              </a:ln>
              <a:effectLst/>
            </c:spPr>
            <c:extLst>
              <c:ext xmlns:c16="http://schemas.microsoft.com/office/drawing/2014/chart" uri="{C3380CC4-5D6E-409C-BE32-E72D297353CC}">
                <c16:uniqueId val="{00000003-637C-420A-9452-4B5D08EB74FE}"/>
              </c:ext>
            </c:extLst>
          </c:dPt>
          <c:dPt>
            <c:idx val="2"/>
            <c:invertIfNegative val="0"/>
            <c:bubble3D val="0"/>
            <c:spPr>
              <a:solidFill>
                <a:srgbClr val="FFD347"/>
              </a:solidFill>
              <a:ln>
                <a:noFill/>
              </a:ln>
              <a:effectLst/>
            </c:spPr>
            <c:extLst>
              <c:ext xmlns:c16="http://schemas.microsoft.com/office/drawing/2014/chart" uri="{C3380CC4-5D6E-409C-BE32-E72D297353CC}">
                <c16:uniqueId val="{00000005-637C-420A-9452-4B5D08EB74FE}"/>
              </c:ext>
            </c:extLst>
          </c:dPt>
          <c:dPt>
            <c:idx val="3"/>
            <c:invertIfNegative val="0"/>
            <c:bubble3D val="0"/>
            <c:spPr>
              <a:solidFill>
                <a:srgbClr val="F98007"/>
              </a:solidFill>
              <a:ln>
                <a:noFill/>
              </a:ln>
              <a:effectLst/>
            </c:spPr>
            <c:extLst>
              <c:ext xmlns:c16="http://schemas.microsoft.com/office/drawing/2014/chart" uri="{C3380CC4-5D6E-409C-BE32-E72D297353CC}">
                <c16:uniqueId val="{00000007-637C-420A-9452-4B5D08EB74FE}"/>
              </c:ext>
            </c:extLst>
          </c:dPt>
          <c:dPt>
            <c:idx val="4"/>
            <c:invertIfNegative val="0"/>
            <c:bubble3D val="0"/>
            <c:spPr>
              <a:solidFill>
                <a:srgbClr val="C00000"/>
              </a:solidFill>
              <a:ln>
                <a:noFill/>
              </a:ln>
              <a:effectLst/>
            </c:spPr>
            <c:extLst>
              <c:ext xmlns:c16="http://schemas.microsoft.com/office/drawing/2014/chart" uri="{C3380CC4-5D6E-409C-BE32-E72D297353CC}">
                <c16:uniqueId val="{00000009-637C-420A-9452-4B5D08EB74FE}"/>
              </c:ext>
            </c:extLst>
          </c:dPt>
          <c:dPt>
            <c:idx val="5"/>
            <c:invertIfNegative val="0"/>
            <c:bubble3D val="0"/>
            <c:spPr>
              <a:solidFill>
                <a:schemeClr val="accent3">
                  <a:lumMod val="75000"/>
                </a:schemeClr>
              </a:solidFill>
              <a:ln>
                <a:noFill/>
              </a:ln>
              <a:effectLst/>
            </c:spPr>
            <c:extLst>
              <c:ext xmlns:c16="http://schemas.microsoft.com/office/drawing/2014/chart" uri="{C3380CC4-5D6E-409C-BE32-E72D297353CC}">
                <c16:uniqueId val="{0000000B-637C-420A-9452-4B5D08EB74F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Eaux pluviales'!$E$52:$J$52</c:f>
              <c:strCache>
                <c:ptCount val="6"/>
                <c:pt idx="0">
                  <c:v>Très bon 
(A)</c:v>
                </c:pt>
                <c:pt idx="1">
                  <c:v>Bon 
(B)</c:v>
                </c:pt>
                <c:pt idx="2">
                  <c:v>Acceptable
(C)</c:v>
                </c:pt>
                <c:pt idx="3">
                  <c:v>Mauvais 
(D)</c:v>
                </c:pt>
                <c:pt idx="4">
                  <c:v>Très mauvais 
(E)</c:v>
                </c:pt>
                <c:pt idx="5">
                  <c:v>Inconnu</c:v>
                </c:pt>
              </c:strCache>
            </c:strRef>
          </c:cat>
          <c:val>
            <c:numRef>
              <c:f>'CALCULS Eaux pluviales'!$E$56:$J$56</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637C-420A-9452-4B5D08EB74FE}"/>
            </c:ext>
          </c:extLst>
        </c:ser>
        <c:dLbls>
          <c:showLegendKey val="0"/>
          <c:showVal val="0"/>
          <c:showCatName val="0"/>
          <c:showSerName val="0"/>
          <c:showPercent val="0"/>
          <c:showBubbleSize val="0"/>
        </c:dLbls>
        <c:gapWidth val="71"/>
        <c:overlap val="-27"/>
        <c:axId val="1704822352"/>
        <c:axId val="1704816528"/>
      </c:barChart>
      <c:catAx>
        <c:axId val="1704822352"/>
        <c:scaling>
          <c:orientation val="minMax"/>
        </c:scaling>
        <c:delete val="0"/>
        <c:axPos val="b"/>
        <c:numFmt formatCode="General" sourceLinked="1"/>
        <c:majorTickMark val="none"/>
        <c:minorTickMark val="none"/>
        <c:tickLblPos val="nextTo"/>
        <c:spPr>
          <a:noFill/>
          <a:ln w="9525" cap="flat" cmpd="sng" algn="ctr">
            <a:solidFill>
              <a:schemeClr val="tx2">
                <a:lumMod val="50000"/>
              </a:schemeClr>
            </a:solidFill>
            <a:round/>
          </a:ln>
          <a:effectLst/>
        </c:spPr>
        <c:txPr>
          <a:bodyPr rot="-60000000" spcFirstLastPara="1" vertOverflow="ellipsis" vert="horz" wrap="square" anchor="ctr" anchorCtr="1"/>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crossAx val="1704816528"/>
        <c:crosses val="autoZero"/>
        <c:auto val="1"/>
        <c:lblAlgn val="ctr"/>
        <c:lblOffset val="100"/>
        <c:noMultiLvlLbl val="0"/>
      </c:catAx>
      <c:valAx>
        <c:axId val="1704816528"/>
        <c:scaling>
          <c:orientation val="minMax"/>
          <c:max val="1"/>
        </c:scaling>
        <c:delete val="1"/>
        <c:axPos val="l"/>
        <c:majorGridlines>
          <c:spPr>
            <a:ln w="9525" cap="flat" cmpd="sng" algn="ctr">
              <a:solidFill>
                <a:srgbClr val="D8EBCD"/>
              </a:solidFill>
              <a:round/>
            </a:ln>
            <a:effectLst/>
          </c:spPr>
        </c:majorGridlines>
        <c:numFmt formatCode="0.0%" sourceLinked="1"/>
        <c:majorTickMark val="out"/>
        <c:minorTickMark val="none"/>
        <c:tickLblPos val="nextTo"/>
        <c:crossAx val="1704822352"/>
        <c:crosses val="autoZero"/>
        <c:crossBetween val="between"/>
        <c:majorUnit val="0.2"/>
        <c:minorUnit val="0.1"/>
      </c:valAx>
      <c:spPr>
        <a:solidFill>
          <a:srgbClr val="EEF6EE"/>
        </a:solidFill>
        <a:ln>
          <a:solidFill>
            <a:schemeClr val="tx2">
              <a:lumMod val="60000"/>
              <a:lumOff val="4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5111499951394958E-2"/>
          <c:y val="0"/>
          <c:w val="0.93550578399922235"/>
          <c:h val="1"/>
        </c:manualLayout>
      </c:layout>
      <c:doughnutChart>
        <c:varyColors val="1"/>
        <c:ser>
          <c:idx val="0"/>
          <c:order val="0"/>
          <c:dPt>
            <c:idx val="0"/>
            <c:bubble3D val="0"/>
            <c:spPr>
              <a:solidFill>
                <a:srgbClr val="C7D3D1"/>
              </a:solidFill>
              <a:ln w="19050">
                <a:solidFill>
                  <a:schemeClr val="lt1"/>
                </a:solidFill>
              </a:ln>
              <a:effectLst/>
            </c:spPr>
            <c:extLst>
              <c:ext xmlns:c16="http://schemas.microsoft.com/office/drawing/2014/chart" uri="{C3380CC4-5D6E-409C-BE32-E72D297353CC}">
                <c16:uniqueId val="{00000001-F59C-49D2-9639-94A4CC6888A3}"/>
              </c:ext>
            </c:extLst>
          </c:dPt>
          <c:dPt>
            <c:idx val="1"/>
            <c:bubble3D val="0"/>
            <c:spPr>
              <a:solidFill>
                <a:srgbClr val="87A19C"/>
              </a:solidFill>
              <a:ln w="19050">
                <a:solidFill>
                  <a:schemeClr val="lt1"/>
                </a:solidFill>
              </a:ln>
              <a:effectLst/>
            </c:spPr>
            <c:extLst>
              <c:ext xmlns:c16="http://schemas.microsoft.com/office/drawing/2014/chart" uri="{C3380CC4-5D6E-409C-BE32-E72D297353CC}">
                <c16:uniqueId val="{00000003-F59C-49D2-9639-94A4CC6888A3}"/>
              </c:ext>
            </c:extLst>
          </c:dPt>
          <c:dPt>
            <c:idx val="2"/>
            <c:bubble3D val="0"/>
            <c:spPr>
              <a:solidFill>
                <a:srgbClr val="3A4A47"/>
              </a:solidFill>
              <a:ln w="19050">
                <a:solidFill>
                  <a:schemeClr val="lt1"/>
                </a:solidFill>
              </a:ln>
              <a:effectLst/>
            </c:spPr>
            <c:extLst>
              <c:ext xmlns:c16="http://schemas.microsoft.com/office/drawing/2014/chart" uri="{C3380CC4-5D6E-409C-BE32-E72D297353CC}">
                <c16:uniqueId val="{00000005-F59C-49D2-9639-94A4CC6888A3}"/>
              </c:ext>
            </c:extLst>
          </c:dPt>
          <c:dPt>
            <c:idx val="3"/>
            <c:bubble3D val="0"/>
            <c:spPr>
              <a:solidFill>
                <a:srgbClr val="C6F2ED"/>
              </a:solidFill>
              <a:ln w="19050">
                <a:solidFill>
                  <a:schemeClr val="lt1"/>
                </a:solidFill>
              </a:ln>
              <a:effectLst/>
            </c:spPr>
            <c:extLst>
              <c:ext xmlns:c16="http://schemas.microsoft.com/office/drawing/2014/chart" uri="{C3380CC4-5D6E-409C-BE32-E72D297353CC}">
                <c16:uniqueId val="{00000007-F59C-49D2-9639-94A4CC6888A3}"/>
              </c:ext>
            </c:extLst>
          </c:dPt>
          <c:dPt>
            <c:idx val="4"/>
            <c:bubble3D val="0"/>
            <c:spPr>
              <a:solidFill>
                <a:srgbClr val="2BB3A3"/>
              </a:solidFill>
              <a:ln w="19050">
                <a:solidFill>
                  <a:schemeClr val="lt1"/>
                </a:solidFill>
              </a:ln>
              <a:effectLst/>
            </c:spPr>
            <c:extLst>
              <c:ext xmlns:c16="http://schemas.microsoft.com/office/drawing/2014/chart" uri="{C3380CC4-5D6E-409C-BE32-E72D297353CC}">
                <c16:uniqueId val="{00000009-F59C-49D2-9639-94A4CC6888A3}"/>
              </c:ext>
            </c:extLst>
          </c:dPt>
          <c:dPt>
            <c:idx val="5"/>
            <c:bubble3D val="0"/>
            <c:spPr>
              <a:solidFill>
                <a:srgbClr val="1B7369"/>
              </a:solidFill>
              <a:ln w="19050">
                <a:solidFill>
                  <a:schemeClr val="lt1"/>
                </a:solidFill>
              </a:ln>
              <a:effectLst/>
            </c:spPr>
            <c:extLst>
              <c:ext xmlns:c16="http://schemas.microsoft.com/office/drawing/2014/chart" uri="{C3380CC4-5D6E-409C-BE32-E72D297353CC}">
                <c16:uniqueId val="{0000000B-F59C-49D2-9639-94A4CC6888A3}"/>
              </c:ext>
            </c:extLst>
          </c:dPt>
          <c:dLbls>
            <c:dLbl>
              <c:idx val="0"/>
              <c:layout>
                <c:manualLayout>
                  <c:x val="7.7972693594327387E-3"/>
                  <c:y val="-4.324324324324324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59C-49D2-9639-94A4CC6888A3}"/>
                </c:ext>
              </c:extLst>
            </c:dLbl>
            <c:dLbl>
              <c:idx val="2"/>
              <c:layout>
                <c:manualLayout>
                  <c:x val="3.118907743773143E-2"/>
                  <c:y val="-2.1621621621621623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59C-49D2-9639-94A4CC6888A3}"/>
                </c:ext>
              </c:extLst>
            </c:dLbl>
            <c:dLbl>
              <c:idx val="5"/>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B-F59C-49D2-9639-94A4CC6888A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'CALCULS Eaux pluviales'!$D$21:$D$26</c:f>
              <c:strCache>
                <c:ptCount val="6"/>
                <c:pt idx="0">
                  <c:v>Collecte / Linéaire</c:v>
                </c:pt>
                <c:pt idx="1">
                  <c:v>Collecte / Ponctuel</c:v>
                </c:pt>
                <c:pt idx="2">
                  <c:v>Collecte / Autres actifs</c:v>
                </c:pt>
                <c:pt idx="3">
                  <c:v>Traitement / Linéaire</c:v>
                </c:pt>
                <c:pt idx="4">
                  <c:v>Traitement / Ponctuel</c:v>
                </c:pt>
                <c:pt idx="5">
                  <c:v>Traitement / Autres actifs</c:v>
                </c:pt>
              </c:strCache>
            </c:strRef>
          </c:cat>
          <c:val>
            <c:numRef>
              <c:f>'CALCULS Eaux pluviales'!$E$21:$E$26</c:f>
              <c:numCache>
                <c:formatCode>#\ ##0\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F59C-49D2-9639-94A4CC6888A3}"/>
            </c:ext>
          </c:extLst>
        </c:ser>
        <c:dLbls>
          <c:showLegendKey val="0"/>
          <c:showVal val="0"/>
          <c:showCatName val="0"/>
          <c:showSerName val="0"/>
          <c:showPercent val="0"/>
          <c:showBubbleSize val="0"/>
          <c:showLeaderLines val="1"/>
        </c:dLbls>
        <c:firstSliceAng val="0"/>
        <c:holeSize val="51"/>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819805108733138E-3"/>
          <c:y val="5.5761897687317385E-3"/>
          <c:w val="0.9898423167606325"/>
          <c:h val="0.96371191820917679"/>
        </c:manualLayout>
      </c:layout>
      <c:barChart>
        <c:barDir val="bar"/>
        <c:grouping val="clustered"/>
        <c:varyColors val="0"/>
        <c:ser>
          <c:idx val="0"/>
          <c:order val="0"/>
          <c:spPr>
            <a:solidFill>
              <a:srgbClr val="BC5DCF"/>
            </a:solidFill>
            <a:ln>
              <a:noFill/>
            </a:ln>
            <a:effectLst/>
          </c:spPr>
          <c:invertIfNegative val="0"/>
          <c:cat>
            <c:strRef>
              <c:f>'CALCULS Eaux pluviales'!$D$118:$D$123</c:f>
              <c:strCache>
                <c:ptCount val="6"/>
                <c:pt idx="0">
                  <c:v>Autre </c:v>
                </c:pt>
                <c:pt idx="1">
                  <c:v>Manque d'informations</c:v>
                </c:pt>
                <c:pt idx="2">
                  <c:v>Changements climatiques</c:v>
                </c:pt>
                <c:pt idx="3">
                  <c:v>Sous-financement</c:v>
                </c:pt>
                <c:pt idx="4">
                  <c:v>Dotation de personnel</c:v>
                </c:pt>
                <c:pt idx="5">
                  <c:v>Actifs critiques</c:v>
                </c:pt>
              </c:strCache>
            </c:strRef>
          </c:cat>
          <c:val>
            <c:numRef>
              <c:f>'CALCULS Eaux pluviales'!$I$118:$I$123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2A7A-45F9-98F3-705DA8912ECF}"/>
            </c:ext>
          </c:extLst>
        </c:ser>
        <c:dLbls>
          <c:showLegendKey val="0"/>
          <c:showVal val="0"/>
          <c:showCatName val="0"/>
          <c:showSerName val="0"/>
          <c:showPercent val="0"/>
          <c:showBubbleSize val="0"/>
        </c:dLbls>
        <c:gapWidth val="102"/>
        <c:axId val="1034704655"/>
        <c:axId val="1034703823"/>
      </c:barChart>
      <c:catAx>
        <c:axId val="1034704655"/>
        <c:scaling>
          <c:orientation val="minMax"/>
        </c:scaling>
        <c:delete val="1"/>
        <c:axPos val="l"/>
        <c:numFmt formatCode="General" sourceLinked="1"/>
        <c:majorTickMark val="none"/>
        <c:minorTickMark val="none"/>
        <c:tickLblPos val="nextTo"/>
        <c:crossAx val="1034703823"/>
        <c:crosses val="autoZero"/>
        <c:auto val="1"/>
        <c:lblAlgn val="ctr"/>
        <c:lblOffset val="100"/>
        <c:noMultiLvlLbl val="0"/>
      </c:catAx>
      <c:valAx>
        <c:axId val="1034703823"/>
        <c:scaling>
          <c:orientation val="minMax"/>
          <c:max val="3"/>
        </c:scaling>
        <c:delete val="1"/>
        <c:axPos val="b"/>
        <c:numFmt formatCode="General" sourceLinked="1"/>
        <c:majorTickMark val="none"/>
        <c:minorTickMark val="none"/>
        <c:tickLblPos val="nextTo"/>
        <c:crossAx val="1034704655"/>
        <c:crosses val="autoZero"/>
        <c:crossBetween val="between"/>
        <c:majorUnit val="1"/>
      </c:valAx>
      <c:spPr>
        <a:noFill/>
        <a:ln>
          <a:solidFill>
            <a:schemeClr val="bg1"/>
          </a:solid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95412300432523"/>
          <c:y val="6.3291139240506333E-2"/>
          <c:w val="0.83578104056560576"/>
          <c:h val="0.66937921648682808"/>
        </c:manualLayout>
      </c:layout>
      <c:barChart>
        <c:barDir val="col"/>
        <c:grouping val="stacked"/>
        <c:varyColors val="0"/>
        <c:ser>
          <c:idx val="0"/>
          <c:order val="0"/>
          <c:tx>
            <c:strRef>
              <c:f>'CALCULS Eaux pluviales'!$D$139</c:f>
              <c:strCache>
                <c:ptCount val="1"/>
                <c:pt idx="0">
                  <c:v>Exploitation</c:v>
                </c:pt>
              </c:strCache>
            </c:strRef>
          </c:tx>
          <c:spPr>
            <a:solidFill>
              <a:srgbClr val="00B0F0"/>
            </a:solidFill>
            <a:ln>
              <a:noFill/>
            </a:ln>
            <a:effectLst/>
          </c:spPr>
          <c:invertIfNegative val="0"/>
          <c:cat>
            <c:numRef>
              <c:f>'CALCULS Eaux pluviales'!$E$137:$N$137</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'CALCULS Eaux pluviales'!$E$139:$N$139</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281-4379-85D7-1FA1632010C8}"/>
            </c:ext>
          </c:extLst>
        </c:ser>
        <c:ser>
          <c:idx val="3"/>
          <c:order val="1"/>
          <c:tx>
            <c:strRef>
              <c:f>'CALCULS Eaux pluviales'!$D$140</c:f>
              <c:strCache>
                <c:ptCount val="1"/>
                <c:pt idx="0">
                  <c:v>Entretien</c:v>
                </c:pt>
              </c:strCache>
            </c:strRef>
          </c:tx>
          <c:spPr>
            <a:solidFill>
              <a:srgbClr val="0070C0"/>
            </a:solidFill>
            <a:ln>
              <a:noFill/>
            </a:ln>
            <a:effectLst/>
          </c:spPr>
          <c:invertIfNegative val="0"/>
          <c:cat>
            <c:numRef>
              <c:f>'CALCULS Eaux pluviales'!$E$137:$N$137</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'CALCULS Eaux pluviales'!$E$140:$N$140</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281-4379-85D7-1FA1632010C8}"/>
            </c:ext>
          </c:extLst>
        </c:ser>
        <c:ser>
          <c:idx val="4"/>
          <c:order val="2"/>
          <c:tx>
            <c:strRef>
              <c:f>'CALCULS Eaux pluviales'!$D$141</c:f>
              <c:strCache>
                <c:ptCount val="1"/>
                <c:pt idx="0">
                  <c:v>Renouvellement</c:v>
                </c:pt>
              </c:strCache>
            </c:strRef>
          </c:tx>
          <c:spPr>
            <a:solidFill>
              <a:schemeClr val="accent4"/>
            </a:solidFill>
            <a:ln>
              <a:noFill/>
            </a:ln>
            <a:effectLst/>
          </c:spPr>
          <c:invertIfNegative val="0"/>
          <c:val>
            <c:numRef>
              <c:f>'CALCULS Eaux pluviales'!$E$141:$N$141</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A281-4379-85D7-1FA1632010C8}"/>
            </c:ext>
          </c:extLst>
        </c:ser>
        <c:ser>
          <c:idx val="5"/>
          <c:order val="3"/>
          <c:tx>
            <c:strRef>
              <c:f>'CALCULS Eaux pluviales'!$D$142</c:f>
              <c:strCache>
                <c:ptCount val="1"/>
                <c:pt idx="0">
                  <c:v>Acquisition</c:v>
                </c:pt>
              </c:strCache>
            </c:strRef>
          </c:tx>
          <c:spPr>
            <a:solidFill>
              <a:schemeClr val="accent2"/>
            </a:solidFill>
            <a:ln>
              <a:noFill/>
            </a:ln>
            <a:effectLst/>
          </c:spPr>
          <c:invertIfNegative val="0"/>
          <c:val>
            <c:numRef>
              <c:f>'CALCULS Eaux pluviales'!$E$142:$N$142</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A281-4379-85D7-1FA1632010C8}"/>
            </c:ext>
          </c:extLst>
        </c:ser>
        <c:ser>
          <c:idx val="6"/>
          <c:order val="4"/>
          <c:tx>
            <c:strRef>
              <c:f>'CALCULS Eaux pluviales'!$D$143</c:f>
              <c:strCache>
                <c:ptCount val="1"/>
                <c:pt idx="0">
                  <c:v>Disposition</c:v>
                </c:pt>
              </c:strCache>
            </c:strRef>
          </c:tx>
          <c:spPr>
            <a:solidFill>
              <a:schemeClr val="accent4">
                <a:lumMod val="50000"/>
              </a:schemeClr>
            </a:solidFill>
            <a:ln>
              <a:noFill/>
            </a:ln>
            <a:effectLst/>
          </c:spPr>
          <c:invertIfNegative val="0"/>
          <c:val>
            <c:numRef>
              <c:f>'CALCULS Eaux pluviales'!$E$143:$N$143</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A281-4379-85D7-1FA1632010C8}"/>
            </c:ext>
          </c:extLst>
        </c:ser>
        <c:dLbls>
          <c:showLegendKey val="0"/>
          <c:showVal val="0"/>
          <c:showCatName val="0"/>
          <c:showSerName val="0"/>
          <c:showPercent val="0"/>
          <c:showBubbleSize val="0"/>
        </c:dLbls>
        <c:gapWidth val="130"/>
        <c:overlap val="100"/>
        <c:axId val="1704784576"/>
        <c:axId val="1704796224"/>
      </c:barChart>
      <c:lineChart>
        <c:grouping val="standard"/>
        <c:varyColors val="0"/>
        <c:ser>
          <c:idx val="1"/>
          <c:order val="5"/>
          <c:tx>
            <c:strRef>
              <c:f>'CALCULS Eaux pluviales'!$D$138</c:f>
              <c:strCache>
                <c:ptCount val="1"/>
                <c:pt idx="0">
                  <c:v>Budget actuel</c:v>
                </c:pt>
              </c:strCache>
            </c:strRef>
          </c:tx>
          <c:spPr>
            <a:ln w="22225" cap="rnd">
              <a:solidFill>
                <a:schemeClr val="tx2">
                  <a:lumMod val="50000"/>
                </a:schemeClr>
              </a:solidFill>
              <a:round/>
            </a:ln>
            <a:effectLst/>
          </c:spPr>
          <c:marker>
            <c:symbol val="none"/>
          </c:marker>
          <c:val>
            <c:numRef>
              <c:f>'CALCULS Eaux pluviales'!$E$138:$N$138</c:f>
              <c:numCache>
                <c:formatCode>#\ ##0\ "$"</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5-A281-4379-85D7-1FA1632010C8}"/>
            </c:ext>
          </c:extLst>
        </c:ser>
        <c:dLbls>
          <c:showLegendKey val="0"/>
          <c:showVal val="0"/>
          <c:showCatName val="0"/>
          <c:showSerName val="0"/>
          <c:showPercent val="0"/>
          <c:showBubbleSize val="0"/>
        </c:dLbls>
        <c:marker val="1"/>
        <c:smooth val="0"/>
        <c:axId val="1704784576"/>
        <c:axId val="1704796224"/>
      </c:lineChart>
      <c:catAx>
        <c:axId val="1704784576"/>
        <c:scaling>
          <c:orientation val="minMax"/>
        </c:scaling>
        <c:delete val="0"/>
        <c:axPos val="b"/>
        <c:numFmt formatCode="General" sourceLinked="1"/>
        <c:majorTickMark val="none"/>
        <c:minorTickMark val="none"/>
        <c:tickLblPos val="nextTo"/>
        <c:spPr>
          <a:noFill/>
          <a:ln w="9525" cap="flat" cmpd="sng" algn="ctr">
            <a:solidFill>
              <a:schemeClr val="tx2">
                <a:lumMod val="50000"/>
              </a:schemeClr>
            </a:solidFill>
            <a:round/>
          </a:ln>
          <a:effectLst/>
        </c:spPr>
        <c:txPr>
          <a:bodyPr rot="-60000000" spcFirstLastPara="1" vertOverflow="ellipsis" vert="horz" wrap="square" anchor="ctr" anchorCtr="1"/>
          <a:lstStyle/>
          <a:p>
            <a:pPr>
              <a:defRPr sz="10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crossAx val="1704796224"/>
        <c:crosses val="autoZero"/>
        <c:auto val="1"/>
        <c:lblAlgn val="ctr"/>
        <c:lblOffset val="100"/>
        <c:noMultiLvlLbl val="0"/>
      </c:catAx>
      <c:valAx>
        <c:axId val="1704796224"/>
        <c:scaling>
          <c:orientation val="minMax"/>
        </c:scaling>
        <c:delete val="0"/>
        <c:axPos val="l"/>
        <c:majorGridlines>
          <c:spPr>
            <a:ln w="9525" cap="flat" cmpd="sng" algn="ctr">
              <a:solidFill>
                <a:schemeClr val="tx1">
                  <a:lumMod val="15000"/>
                  <a:lumOff val="85000"/>
                </a:schemeClr>
              </a:solidFill>
              <a:round/>
            </a:ln>
            <a:effectLst/>
          </c:spPr>
        </c:majorGridlines>
        <c:numFmt formatCode="#\ ##0\ &quot;$&quot;" sourceLinked="1"/>
        <c:majorTickMark val="none"/>
        <c:minorTickMark val="none"/>
        <c:tickLblPos val="nextTo"/>
        <c:spPr>
          <a:noFill/>
          <a:ln>
            <a:solidFill>
              <a:schemeClr val="tx2">
                <a:lumMod val="50000"/>
              </a:schemeClr>
            </a:solidFill>
          </a:ln>
          <a:effectLst/>
        </c:spPr>
        <c:txPr>
          <a:bodyPr rot="-60000000" spcFirstLastPara="1" vertOverflow="ellipsis" vert="horz" wrap="square" anchor="ctr" anchorCtr="1"/>
          <a:lstStyle/>
          <a:p>
            <a:pPr>
              <a:defRPr sz="10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crossAx val="1704784576"/>
        <c:crosses val="autoZero"/>
        <c:crossBetween val="between"/>
      </c:valAx>
      <c:spPr>
        <a:noFill/>
        <a:ln>
          <a:noFill/>
        </a:ln>
        <a:effectLst/>
      </c:spPr>
    </c:plotArea>
    <c:legend>
      <c:legendPos val="b"/>
      <c:layout>
        <c:manualLayout>
          <c:xMode val="edge"/>
          <c:yMode val="edge"/>
          <c:x val="1.384304363084558E-2"/>
          <c:y val="0.84825080198308545"/>
          <c:w val="0.97218424740172971"/>
          <c:h val="0.1192265101137976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693929387858773E-2"/>
          <c:y val="2.2002200220022004E-2"/>
          <c:w val="0.93685987638641943"/>
          <c:h val="0.95850350389369643"/>
        </c:manualLayout>
      </c:layout>
      <c:doughnutChart>
        <c:varyColors val="1"/>
        <c:ser>
          <c:idx val="0"/>
          <c:order val="0"/>
          <c:dPt>
            <c:idx val="0"/>
            <c:bubble3D val="0"/>
            <c:spPr>
              <a:solidFill>
                <a:srgbClr val="70AD47"/>
              </a:solidFill>
              <a:ln w="19050">
                <a:solidFill>
                  <a:schemeClr val="lt1"/>
                </a:solidFill>
              </a:ln>
              <a:effectLst/>
            </c:spPr>
            <c:extLst>
              <c:ext xmlns:c16="http://schemas.microsoft.com/office/drawing/2014/chart" uri="{C3380CC4-5D6E-409C-BE32-E72D297353CC}">
                <c16:uniqueId val="{00000001-66CF-496A-9B2E-D082CD0AEDA1}"/>
              </c:ext>
            </c:extLst>
          </c:dPt>
          <c:dPt>
            <c:idx val="1"/>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3-66CF-496A-9B2E-D082CD0AEDA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6CF-496A-9B2E-D082CD0AEDA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6CF-496A-9B2E-D082CD0AEDA1}"/>
              </c:ext>
            </c:extLst>
          </c:dPt>
          <c:dPt>
            <c:idx val="4"/>
            <c:bubble3D val="0"/>
            <c:spPr>
              <a:solidFill>
                <a:srgbClr val="8497B0"/>
              </a:solidFill>
              <a:ln w="19050">
                <a:solidFill>
                  <a:schemeClr val="lt1"/>
                </a:solidFill>
              </a:ln>
              <a:effectLst/>
            </c:spPr>
            <c:extLst>
              <c:ext xmlns:c16="http://schemas.microsoft.com/office/drawing/2014/chart" uri="{C3380CC4-5D6E-409C-BE32-E72D297353CC}">
                <c16:uniqueId val="{00000009-66CF-496A-9B2E-D082CD0AEDA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66CF-496A-9B2E-D082CD0AEDA1}"/>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66CF-496A-9B2E-D082CD0AEDA1}"/>
              </c:ext>
            </c:extLst>
          </c:dPt>
          <c:dPt>
            <c:idx val="7"/>
            <c:bubble3D val="0"/>
            <c:spPr>
              <a:solidFill>
                <a:srgbClr val="FF8181"/>
              </a:solidFill>
              <a:ln w="19050">
                <a:solidFill>
                  <a:schemeClr val="lt1"/>
                </a:solidFill>
              </a:ln>
              <a:effectLst/>
            </c:spPr>
            <c:extLst>
              <c:ext xmlns:c16="http://schemas.microsoft.com/office/drawing/2014/chart" uri="{C3380CC4-5D6E-409C-BE32-E72D297353CC}">
                <c16:uniqueId val="{0000000F-66CF-496A-9B2E-D082CD0AEDA1}"/>
              </c:ext>
            </c:extLst>
          </c:dPt>
          <c:dPt>
            <c:idx val="8"/>
            <c:bubble3D val="0"/>
            <c:spPr>
              <a:solidFill>
                <a:srgbClr val="FFCCCC"/>
              </a:solidFill>
              <a:ln w="19050">
                <a:solidFill>
                  <a:schemeClr val="lt1"/>
                </a:solidFill>
              </a:ln>
              <a:effectLst/>
            </c:spPr>
            <c:extLst>
              <c:ext xmlns:c16="http://schemas.microsoft.com/office/drawing/2014/chart" uri="{C3380CC4-5D6E-409C-BE32-E72D297353CC}">
                <c16:uniqueId val="{00000011-C5DD-450A-B948-C5B64533B9E0}"/>
              </c:ext>
            </c:extLst>
          </c:dPt>
          <c:dLbls>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1-66CF-496A-9B2E-D082CD0AEDA1}"/>
                </c:ext>
              </c:extLst>
            </c:dLbl>
            <c:dLbl>
              <c:idx val="1"/>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3-66CF-496A-9B2E-D082CD0AEDA1}"/>
                </c:ext>
              </c:extLst>
            </c:dLbl>
            <c:dLbl>
              <c:idx val="4"/>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9-66CF-496A-9B2E-D082CD0AEDA1}"/>
                </c:ext>
              </c:extLst>
            </c:dLbl>
            <c:dLbl>
              <c:idx val="7"/>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F-66CF-496A-9B2E-D082CD0AEDA1}"/>
                </c:ext>
              </c:extLst>
            </c:dLbl>
            <c:dLbl>
              <c:idx val="8"/>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11-C5DD-450A-B948-C5B64533B9E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'CALCULS Eaux pluviales'!$M$236:$M$244</c:f>
              <c:numCache>
                <c:formatCode>#\ ##0\ "$"</c:formatCode>
                <c:ptCount val="9"/>
                <c:pt idx="0">
                  <c:v>0</c:v>
                </c:pt>
                <c:pt idx="1">
                  <c:v>0</c:v>
                </c:pt>
                <c:pt idx="4">
                  <c:v>0</c:v>
                </c:pt>
                <c:pt idx="7">
                  <c:v>0</c:v>
                </c:pt>
                <c:pt idx="8">
                  <c:v>0</c:v>
                </c:pt>
              </c:numCache>
            </c:numRef>
          </c:val>
          <c:extLst>
            <c:ext xmlns:c16="http://schemas.microsoft.com/office/drawing/2014/chart" uri="{C3380CC4-5D6E-409C-BE32-E72D297353CC}">
              <c16:uniqueId val="{00000016-66CF-496A-9B2E-D082CD0AEDA1}"/>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3956176826211327E-2"/>
          <c:y val="8.7642078656804512E-2"/>
          <c:w val="0.97248655715788335"/>
          <c:h val="0.91235792134319549"/>
        </c:manualLayout>
      </c:layout>
      <c:barChart>
        <c:barDir val="bar"/>
        <c:grouping val="percentStacked"/>
        <c:varyColors val="0"/>
        <c:ser>
          <c:idx val="0"/>
          <c:order val="0"/>
          <c:tx>
            <c:strRef>
              <c:f>'CALCULS Eaux pluviales'!$D$193</c:f>
              <c:strCache>
                <c:ptCount val="1"/>
                <c:pt idx="0">
                  <c:v>Exploitation</c:v>
                </c:pt>
              </c:strCache>
            </c:strRef>
          </c:tx>
          <c:spPr>
            <a:solidFill>
              <a:srgbClr val="00B0F0"/>
            </a:solidFill>
            <a:ln>
              <a:noFill/>
            </a:ln>
            <a:effectLst/>
          </c:spPr>
          <c:invertIfNegative val="0"/>
          <c:val>
            <c:numRef>
              <c:f>'CALCULS Eaux pluviales'!$O$193</c:f>
              <c:numCache>
                <c:formatCode>#\ ##0\ "$"</c:formatCode>
                <c:ptCount val="1"/>
                <c:pt idx="0">
                  <c:v>0</c:v>
                </c:pt>
              </c:numCache>
            </c:numRef>
          </c:val>
          <c:extLst>
            <c:ext xmlns:c16="http://schemas.microsoft.com/office/drawing/2014/chart" uri="{C3380CC4-5D6E-409C-BE32-E72D297353CC}">
              <c16:uniqueId val="{00000001-5734-4007-8118-DD056FE16CF2}"/>
            </c:ext>
          </c:extLst>
        </c:ser>
        <c:ser>
          <c:idx val="1"/>
          <c:order val="1"/>
          <c:tx>
            <c:strRef>
              <c:f>'CALCULS Eaux pluviales'!$D$194</c:f>
              <c:strCache>
                <c:ptCount val="1"/>
                <c:pt idx="0">
                  <c:v>Entretien</c:v>
                </c:pt>
              </c:strCache>
            </c:strRef>
          </c:tx>
          <c:spPr>
            <a:solidFill>
              <a:srgbClr val="0070C0"/>
            </a:solidFill>
            <a:ln>
              <a:noFill/>
            </a:ln>
            <a:effectLst/>
          </c:spPr>
          <c:invertIfNegative val="0"/>
          <c:val>
            <c:numRef>
              <c:f>'CALCULS Eaux pluviales'!$O$194</c:f>
              <c:numCache>
                <c:formatCode>#\ ##0\ "$"</c:formatCode>
                <c:ptCount val="1"/>
                <c:pt idx="0">
                  <c:v>0</c:v>
                </c:pt>
              </c:numCache>
            </c:numRef>
          </c:val>
          <c:extLst>
            <c:ext xmlns:c16="http://schemas.microsoft.com/office/drawing/2014/chart" uri="{C3380CC4-5D6E-409C-BE32-E72D297353CC}">
              <c16:uniqueId val="{00000003-5734-4007-8118-DD056FE16CF2}"/>
            </c:ext>
          </c:extLst>
        </c:ser>
        <c:ser>
          <c:idx val="2"/>
          <c:order val="2"/>
          <c:tx>
            <c:strRef>
              <c:f>'CALCULS Eaux pluviales'!$D$195</c:f>
              <c:strCache>
                <c:ptCount val="1"/>
                <c:pt idx="0">
                  <c:v>Renouvellement</c:v>
                </c:pt>
              </c:strCache>
            </c:strRef>
          </c:tx>
          <c:spPr>
            <a:solidFill>
              <a:schemeClr val="accent4"/>
            </a:solidFill>
            <a:ln>
              <a:noFill/>
            </a:ln>
            <a:effectLst/>
          </c:spPr>
          <c:invertIfNegative val="0"/>
          <c:val>
            <c:numRef>
              <c:f>'CALCULS Eaux pluviales'!$O$195</c:f>
              <c:numCache>
                <c:formatCode>#\ ##0\ "$"</c:formatCode>
                <c:ptCount val="1"/>
                <c:pt idx="0">
                  <c:v>0</c:v>
                </c:pt>
              </c:numCache>
            </c:numRef>
          </c:val>
          <c:extLst>
            <c:ext xmlns:c16="http://schemas.microsoft.com/office/drawing/2014/chart" uri="{C3380CC4-5D6E-409C-BE32-E72D297353CC}">
              <c16:uniqueId val="{00000005-5734-4007-8118-DD056FE16CF2}"/>
            </c:ext>
          </c:extLst>
        </c:ser>
        <c:ser>
          <c:idx val="3"/>
          <c:order val="3"/>
          <c:tx>
            <c:strRef>
              <c:f>'CALCULS Eaux pluviales'!$D$196</c:f>
              <c:strCache>
                <c:ptCount val="1"/>
                <c:pt idx="0">
                  <c:v>Acquisition</c:v>
                </c:pt>
              </c:strCache>
            </c:strRef>
          </c:tx>
          <c:spPr>
            <a:solidFill>
              <a:schemeClr val="accent2"/>
            </a:solidFill>
            <a:ln>
              <a:noFill/>
            </a:ln>
            <a:effectLst/>
          </c:spPr>
          <c:invertIfNegative val="0"/>
          <c:val>
            <c:numRef>
              <c:f>'CALCULS Eaux pluviales'!$O$196</c:f>
              <c:numCache>
                <c:formatCode>#\ ##0\ "$"</c:formatCode>
                <c:ptCount val="1"/>
                <c:pt idx="0">
                  <c:v>0</c:v>
                </c:pt>
              </c:numCache>
            </c:numRef>
          </c:val>
          <c:extLst>
            <c:ext xmlns:c16="http://schemas.microsoft.com/office/drawing/2014/chart" uri="{C3380CC4-5D6E-409C-BE32-E72D297353CC}">
              <c16:uniqueId val="{00000007-5734-4007-8118-DD056FE16CF2}"/>
            </c:ext>
          </c:extLst>
        </c:ser>
        <c:ser>
          <c:idx val="4"/>
          <c:order val="4"/>
          <c:tx>
            <c:strRef>
              <c:f>'CALCULS Eaux pluviales'!$D$197</c:f>
              <c:strCache>
                <c:ptCount val="1"/>
                <c:pt idx="0">
                  <c:v>Disposition</c:v>
                </c:pt>
              </c:strCache>
            </c:strRef>
          </c:tx>
          <c:spPr>
            <a:solidFill>
              <a:schemeClr val="accent4">
                <a:lumMod val="50000"/>
              </a:schemeClr>
            </a:solidFill>
            <a:ln>
              <a:noFill/>
            </a:ln>
            <a:effectLst/>
          </c:spPr>
          <c:invertIfNegative val="0"/>
          <c:val>
            <c:numRef>
              <c:f>'CALCULS Eaux pluviales'!$O$197</c:f>
              <c:numCache>
                <c:formatCode>#\ ##0\ "$"</c:formatCode>
                <c:ptCount val="1"/>
                <c:pt idx="0">
                  <c:v>0</c:v>
                </c:pt>
              </c:numCache>
            </c:numRef>
          </c:val>
          <c:extLst>
            <c:ext xmlns:c16="http://schemas.microsoft.com/office/drawing/2014/chart" uri="{C3380CC4-5D6E-409C-BE32-E72D297353CC}">
              <c16:uniqueId val="{00000009-5734-4007-8118-DD056FE16CF2}"/>
            </c:ext>
          </c:extLst>
        </c:ser>
        <c:dLbls>
          <c:showLegendKey val="0"/>
          <c:showVal val="0"/>
          <c:showCatName val="0"/>
          <c:showSerName val="0"/>
          <c:showPercent val="0"/>
          <c:showBubbleSize val="0"/>
        </c:dLbls>
        <c:gapWidth val="78"/>
        <c:overlap val="100"/>
        <c:axId val="1866470080"/>
        <c:axId val="1866468832"/>
      </c:barChart>
      <c:catAx>
        <c:axId val="1866470080"/>
        <c:scaling>
          <c:orientation val="minMax"/>
        </c:scaling>
        <c:delete val="1"/>
        <c:axPos val="l"/>
        <c:numFmt formatCode="General" sourceLinked="1"/>
        <c:majorTickMark val="none"/>
        <c:minorTickMark val="none"/>
        <c:tickLblPos val="nextTo"/>
        <c:crossAx val="1866468832"/>
        <c:crosses val="autoZero"/>
        <c:auto val="1"/>
        <c:lblAlgn val="ctr"/>
        <c:lblOffset val="100"/>
        <c:noMultiLvlLbl val="0"/>
      </c:catAx>
      <c:valAx>
        <c:axId val="1866468832"/>
        <c:scaling>
          <c:orientation val="minMax"/>
        </c:scaling>
        <c:delete val="1"/>
        <c:axPos val="b"/>
        <c:numFmt formatCode="0%" sourceLinked="1"/>
        <c:majorTickMark val="none"/>
        <c:minorTickMark val="none"/>
        <c:tickLblPos val="nextTo"/>
        <c:crossAx val="18664700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accent1">
              <a:lumMod val="50000"/>
            </a:schemeClr>
          </a:solidFill>
        </a:defRPr>
      </a:pPr>
      <a:endParaRPr lang="fr-FR"/>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2518864829396321E-3"/>
          <c:y val="7.2934606578433009E-2"/>
          <c:w val="0.99175935039370078"/>
          <c:h val="0.91565533031775281"/>
        </c:manualLayout>
      </c:layout>
      <c:barChart>
        <c:barDir val="bar"/>
        <c:grouping val="percentStacked"/>
        <c:varyColors val="0"/>
        <c:ser>
          <c:idx val="0"/>
          <c:order val="0"/>
          <c:tx>
            <c:strRef>
              <c:f>'CALCULS Eaux pluviales'!$D$210</c:f>
              <c:strCache>
                <c:ptCount val="1"/>
                <c:pt idx="0">
                  <c:v>Exploitation</c:v>
                </c:pt>
              </c:strCache>
            </c:strRef>
          </c:tx>
          <c:spPr>
            <a:solidFill>
              <a:schemeClr val="accent1"/>
            </a:solidFill>
            <a:ln>
              <a:noFill/>
            </a:ln>
            <a:effectLst/>
          </c:spPr>
          <c:invertIfNegative val="0"/>
          <c:dPt>
            <c:idx val="0"/>
            <c:invertIfNegative val="0"/>
            <c:bubble3D val="0"/>
            <c:spPr>
              <a:solidFill>
                <a:srgbClr val="00B0F0"/>
              </a:solidFill>
              <a:ln>
                <a:noFill/>
              </a:ln>
              <a:effectLst/>
            </c:spPr>
            <c:extLst>
              <c:ext xmlns:c16="http://schemas.microsoft.com/office/drawing/2014/chart" uri="{C3380CC4-5D6E-409C-BE32-E72D297353CC}">
                <c16:uniqueId val="{00000001-B10C-4F0F-970A-F39D194AEE1A}"/>
              </c:ext>
            </c:extLst>
          </c:dPt>
          <c:val>
            <c:numRef>
              <c:f>'CALCULS Eaux pluviales'!$O$210</c:f>
              <c:numCache>
                <c:formatCode>#\ ##0\ "$"</c:formatCode>
                <c:ptCount val="1"/>
                <c:pt idx="0">
                  <c:v>0</c:v>
                </c:pt>
              </c:numCache>
            </c:numRef>
          </c:val>
          <c:extLst>
            <c:ext xmlns:c16="http://schemas.microsoft.com/office/drawing/2014/chart" uri="{C3380CC4-5D6E-409C-BE32-E72D297353CC}">
              <c16:uniqueId val="{00000002-B10C-4F0F-970A-F39D194AEE1A}"/>
            </c:ext>
          </c:extLst>
        </c:ser>
        <c:ser>
          <c:idx val="1"/>
          <c:order val="1"/>
          <c:tx>
            <c:strRef>
              <c:f>'CALCULS Eaux pluviales'!$D$211</c:f>
              <c:strCache>
                <c:ptCount val="1"/>
                <c:pt idx="0">
                  <c:v>Entretien</c:v>
                </c:pt>
              </c:strCache>
            </c:strRef>
          </c:tx>
          <c:spPr>
            <a:solidFill>
              <a:srgbClr val="0070C0"/>
            </a:solidFill>
            <a:ln>
              <a:noFill/>
            </a:ln>
            <a:effectLst/>
          </c:spPr>
          <c:invertIfNegative val="0"/>
          <c:val>
            <c:numRef>
              <c:f>'CALCULS Eaux pluviales'!$O$211</c:f>
              <c:numCache>
                <c:formatCode>#\ ##0\ "$"</c:formatCode>
                <c:ptCount val="1"/>
                <c:pt idx="0">
                  <c:v>0</c:v>
                </c:pt>
              </c:numCache>
            </c:numRef>
          </c:val>
          <c:extLst>
            <c:ext xmlns:c16="http://schemas.microsoft.com/office/drawing/2014/chart" uri="{C3380CC4-5D6E-409C-BE32-E72D297353CC}">
              <c16:uniqueId val="{00000004-B10C-4F0F-970A-F39D194AEE1A}"/>
            </c:ext>
          </c:extLst>
        </c:ser>
        <c:ser>
          <c:idx val="2"/>
          <c:order val="2"/>
          <c:tx>
            <c:strRef>
              <c:f>'CALCULS Eaux pluviales'!$D$212</c:f>
              <c:strCache>
                <c:ptCount val="1"/>
                <c:pt idx="0">
                  <c:v>Renouvellement</c:v>
                </c:pt>
              </c:strCache>
            </c:strRef>
          </c:tx>
          <c:spPr>
            <a:solidFill>
              <a:schemeClr val="accent4"/>
            </a:solidFill>
            <a:ln>
              <a:noFill/>
            </a:ln>
            <a:effectLst/>
          </c:spPr>
          <c:invertIfNegative val="0"/>
          <c:val>
            <c:numRef>
              <c:f>'CALCULS Eaux pluviales'!$O$212</c:f>
              <c:numCache>
                <c:formatCode>#\ ##0\ "$"</c:formatCode>
                <c:ptCount val="1"/>
                <c:pt idx="0">
                  <c:v>0</c:v>
                </c:pt>
              </c:numCache>
            </c:numRef>
          </c:val>
          <c:extLst>
            <c:ext xmlns:c16="http://schemas.microsoft.com/office/drawing/2014/chart" uri="{C3380CC4-5D6E-409C-BE32-E72D297353CC}">
              <c16:uniqueId val="{00000006-B10C-4F0F-970A-F39D194AEE1A}"/>
            </c:ext>
          </c:extLst>
        </c:ser>
        <c:ser>
          <c:idx val="3"/>
          <c:order val="3"/>
          <c:tx>
            <c:strRef>
              <c:f>'CALCULS Eaux pluviales'!$D$213</c:f>
              <c:strCache>
                <c:ptCount val="1"/>
                <c:pt idx="0">
                  <c:v>Acquisition</c:v>
                </c:pt>
              </c:strCache>
            </c:strRef>
          </c:tx>
          <c:spPr>
            <a:solidFill>
              <a:schemeClr val="accent2"/>
            </a:solidFill>
            <a:ln>
              <a:noFill/>
            </a:ln>
            <a:effectLst/>
          </c:spPr>
          <c:invertIfNegative val="0"/>
          <c:val>
            <c:numRef>
              <c:f>'CALCULS Eaux pluviales'!$O$213</c:f>
              <c:numCache>
                <c:formatCode>#\ ##0\ "$"</c:formatCode>
                <c:ptCount val="1"/>
                <c:pt idx="0">
                  <c:v>0</c:v>
                </c:pt>
              </c:numCache>
            </c:numRef>
          </c:val>
          <c:extLst>
            <c:ext xmlns:c16="http://schemas.microsoft.com/office/drawing/2014/chart" uri="{C3380CC4-5D6E-409C-BE32-E72D297353CC}">
              <c16:uniqueId val="{00000008-B10C-4F0F-970A-F39D194AEE1A}"/>
            </c:ext>
          </c:extLst>
        </c:ser>
        <c:ser>
          <c:idx val="4"/>
          <c:order val="4"/>
          <c:tx>
            <c:strRef>
              <c:f>'CALCULS Eaux pluviales'!$D$214</c:f>
              <c:strCache>
                <c:ptCount val="1"/>
                <c:pt idx="0">
                  <c:v>Disposition</c:v>
                </c:pt>
              </c:strCache>
            </c:strRef>
          </c:tx>
          <c:spPr>
            <a:solidFill>
              <a:schemeClr val="accent4">
                <a:lumMod val="50000"/>
              </a:schemeClr>
            </a:solidFill>
            <a:ln>
              <a:noFill/>
            </a:ln>
            <a:effectLst/>
          </c:spPr>
          <c:invertIfNegative val="0"/>
          <c:val>
            <c:numRef>
              <c:f>'CALCULS Eaux pluviales'!$O$214</c:f>
              <c:numCache>
                <c:formatCode>#\ ##0\ "$"</c:formatCode>
                <c:ptCount val="1"/>
                <c:pt idx="0">
                  <c:v>0</c:v>
                </c:pt>
              </c:numCache>
            </c:numRef>
          </c:val>
          <c:extLst>
            <c:ext xmlns:c16="http://schemas.microsoft.com/office/drawing/2014/chart" uri="{C3380CC4-5D6E-409C-BE32-E72D297353CC}">
              <c16:uniqueId val="{0000000A-B10C-4F0F-970A-F39D194AEE1A}"/>
            </c:ext>
          </c:extLst>
        </c:ser>
        <c:dLbls>
          <c:showLegendKey val="0"/>
          <c:showVal val="0"/>
          <c:showCatName val="0"/>
          <c:showSerName val="0"/>
          <c:showPercent val="0"/>
          <c:showBubbleSize val="0"/>
        </c:dLbls>
        <c:gapWidth val="78"/>
        <c:overlap val="100"/>
        <c:axId val="1866470080"/>
        <c:axId val="1866468832"/>
      </c:barChart>
      <c:catAx>
        <c:axId val="1866470080"/>
        <c:scaling>
          <c:orientation val="minMax"/>
        </c:scaling>
        <c:delete val="1"/>
        <c:axPos val="l"/>
        <c:numFmt formatCode="General" sourceLinked="1"/>
        <c:majorTickMark val="none"/>
        <c:minorTickMark val="none"/>
        <c:tickLblPos val="nextTo"/>
        <c:crossAx val="1866468832"/>
        <c:crosses val="autoZero"/>
        <c:auto val="1"/>
        <c:lblAlgn val="ctr"/>
        <c:lblOffset val="100"/>
        <c:noMultiLvlLbl val="0"/>
      </c:catAx>
      <c:valAx>
        <c:axId val="1866468832"/>
        <c:scaling>
          <c:orientation val="minMax"/>
        </c:scaling>
        <c:delete val="1"/>
        <c:axPos val="b"/>
        <c:numFmt formatCode="0%" sourceLinked="1"/>
        <c:majorTickMark val="none"/>
        <c:minorTickMark val="none"/>
        <c:tickLblPos val="nextTo"/>
        <c:crossAx val="18664700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accent1">
              <a:lumMod val="50000"/>
            </a:schemeClr>
          </a:solidFill>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2775949505217757E-2"/>
          <c:y val="0.11344504141769035"/>
          <c:w val="0.95713305067635779"/>
          <c:h val="0.52891482952643765"/>
        </c:manualLayout>
      </c:layout>
      <c:barChart>
        <c:barDir val="col"/>
        <c:grouping val="clustered"/>
        <c:varyColors val="0"/>
        <c:ser>
          <c:idx val="0"/>
          <c:order val="0"/>
          <c:tx>
            <c:strRef>
              <c:f>'CALCULS Eau potable'!$D$55</c:f>
              <c:strCache>
                <c:ptCount val="1"/>
                <c:pt idx="0">
                  <c:v>LINÉAIRE</c:v>
                </c:pt>
              </c:strCache>
            </c:strRef>
          </c:tx>
          <c:spPr>
            <a:solidFill>
              <a:schemeClr val="accent1"/>
            </a:solidFill>
            <a:ln>
              <a:noFill/>
            </a:ln>
            <a:effectLst/>
          </c:spPr>
          <c:invertIfNegative val="0"/>
          <c:dPt>
            <c:idx val="0"/>
            <c:invertIfNegative val="0"/>
            <c:bubble3D val="0"/>
            <c:spPr>
              <a:solidFill>
                <a:srgbClr val="007DDA"/>
              </a:solidFill>
              <a:ln>
                <a:noFill/>
              </a:ln>
              <a:effectLst/>
            </c:spPr>
            <c:extLst>
              <c:ext xmlns:c16="http://schemas.microsoft.com/office/drawing/2014/chart" uri="{C3380CC4-5D6E-409C-BE32-E72D297353CC}">
                <c16:uniqueId val="{00000001-610A-4FCF-95E8-A9FBF513A396}"/>
              </c:ext>
            </c:extLst>
          </c:dPt>
          <c:dPt>
            <c:idx val="1"/>
            <c:invertIfNegative val="0"/>
            <c:bubble3D val="0"/>
            <c:spPr>
              <a:solidFill>
                <a:srgbClr val="00B050"/>
              </a:solidFill>
              <a:ln>
                <a:noFill/>
              </a:ln>
              <a:effectLst/>
            </c:spPr>
            <c:extLst>
              <c:ext xmlns:c16="http://schemas.microsoft.com/office/drawing/2014/chart" uri="{C3380CC4-5D6E-409C-BE32-E72D297353CC}">
                <c16:uniqueId val="{00000003-610A-4FCF-95E8-A9FBF513A396}"/>
              </c:ext>
            </c:extLst>
          </c:dPt>
          <c:dPt>
            <c:idx val="2"/>
            <c:invertIfNegative val="0"/>
            <c:bubble3D val="0"/>
            <c:spPr>
              <a:solidFill>
                <a:srgbClr val="FFD347"/>
              </a:solidFill>
              <a:ln>
                <a:noFill/>
              </a:ln>
              <a:effectLst/>
            </c:spPr>
            <c:extLst>
              <c:ext xmlns:c16="http://schemas.microsoft.com/office/drawing/2014/chart" uri="{C3380CC4-5D6E-409C-BE32-E72D297353CC}">
                <c16:uniqueId val="{00000005-610A-4FCF-95E8-A9FBF513A396}"/>
              </c:ext>
            </c:extLst>
          </c:dPt>
          <c:dPt>
            <c:idx val="3"/>
            <c:invertIfNegative val="0"/>
            <c:bubble3D val="0"/>
            <c:spPr>
              <a:solidFill>
                <a:srgbClr val="F98007"/>
              </a:solidFill>
              <a:ln>
                <a:noFill/>
              </a:ln>
              <a:effectLst/>
            </c:spPr>
            <c:extLst>
              <c:ext xmlns:c16="http://schemas.microsoft.com/office/drawing/2014/chart" uri="{C3380CC4-5D6E-409C-BE32-E72D297353CC}">
                <c16:uniqueId val="{00000007-610A-4FCF-95E8-A9FBF513A396}"/>
              </c:ext>
            </c:extLst>
          </c:dPt>
          <c:dPt>
            <c:idx val="4"/>
            <c:invertIfNegative val="0"/>
            <c:bubble3D val="0"/>
            <c:spPr>
              <a:solidFill>
                <a:srgbClr val="C00000"/>
              </a:solidFill>
              <a:ln>
                <a:noFill/>
              </a:ln>
              <a:effectLst/>
            </c:spPr>
            <c:extLst>
              <c:ext xmlns:c16="http://schemas.microsoft.com/office/drawing/2014/chart" uri="{C3380CC4-5D6E-409C-BE32-E72D297353CC}">
                <c16:uniqueId val="{00000009-610A-4FCF-95E8-A9FBF513A396}"/>
              </c:ext>
            </c:extLst>
          </c:dPt>
          <c:dPt>
            <c:idx val="5"/>
            <c:invertIfNegative val="0"/>
            <c:bubble3D val="0"/>
            <c:spPr>
              <a:solidFill>
                <a:schemeClr val="accent3">
                  <a:lumMod val="75000"/>
                </a:schemeClr>
              </a:solidFill>
              <a:ln>
                <a:noFill/>
              </a:ln>
              <a:effectLst/>
            </c:spPr>
            <c:extLst>
              <c:ext xmlns:c16="http://schemas.microsoft.com/office/drawing/2014/chart" uri="{C3380CC4-5D6E-409C-BE32-E72D297353CC}">
                <c16:uniqueId val="{0000000B-610A-4FCF-95E8-A9FBF513A396}"/>
              </c:ext>
            </c:extLst>
          </c:dPt>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 potable'!$E$52:$J$52</c:f>
              <c:strCache>
                <c:ptCount val="6"/>
                <c:pt idx="0">
                  <c:v>Très bon 
(A)</c:v>
                </c:pt>
                <c:pt idx="1">
                  <c:v>Bon 
(B)</c:v>
                </c:pt>
                <c:pt idx="2">
                  <c:v>Acceptable
(C)</c:v>
                </c:pt>
                <c:pt idx="3">
                  <c:v>Mauvais 
(D)</c:v>
                </c:pt>
                <c:pt idx="4">
                  <c:v>Très mauvais 
(E)</c:v>
                </c:pt>
                <c:pt idx="5">
                  <c:v>Inconnu</c:v>
                </c:pt>
              </c:strCache>
            </c:strRef>
          </c:cat>
          <c:val>
            <c:numRef>
              <c:f>'CALCULS Eau potable'!$E$55:$J$55</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610A-4FCF-95E8-A9FBF513A396}"/>
            </c:ext>
          </c:extLst>
        </c:ser>
        <c:dLbls>
          <c:showLegendKey val="0"/>
          <c:showVal val="0"/>
          <c:showCatName val="0"/>
          <c:showSerName val="0"/>
          <c:showPercent val="0"/>
          <c:showBubbleSize val="0"/>
        </c:dLbls>
        <c:gapWidth val="71"/>
        <c:overlap val="-27"/>
        <c:axId val="1704822352"/>
        <c:axId val="1704816528"/>
      </c:barChart>
      <c:catAx>
        <c:axId val="1704822352"/>
        <c:scaling>
          <c:orientation val="minMax"/>
        </c:scaling>
        <c:delete val="0"/>
        <c:axPos val="b"/>
        <c:numFmt formatCode="General" sourceLinked="1"/>
        <c:majorTickMark val="none"/>
        <c:minorTickMark val="none"/>
        <c:tickLblPos val="nextTo"/>
        <c:spPr>
          <a:noFill/>
          <a:ln w="9525" cap="flat" cmpd="sng" algn="ctr">
            <a:solidFill>
              <a:schemeClr val="tx2">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ahnschrift Light SemiCondensed" panose="020B0502040204020203" pitchFamily="34" charset="0"/>
                <a:ea typeface="+mn-ea"/>
                <a:cs typeface="+mn-cs"/>
              </a:defRPr>
            </a:pPr>
            <a:endParaRPr lang="fr-FR"/>
          </a:p>
        </c:txPr>
        <c:crossAx val="1704816528"/>
        <c:crosses val="autoZero"/>
        <c:auto val="1"/>
        <c:lblAlgn val="ctr"/>
        <c:lblOffset val="100"/>
        <c:noMultiLvlLbl val="0"/>
      </c:catAx>
      <c:valAx>
        <c:axId val="1704816528"/>
        <c:scaling>
          <c:orientation val="minMax"/>
          <c:max val="1"/>
        </c:scaling>
        <c:delete val="1"/>
        <c:axPos val="l"/>
        <c:majorGridlines>
          <c:spPr>
            <a:ln w="9525" cap="flat" cmpd="sng" algn="ctr">
              <a:solidFill>
                <a:schemeClr val="tx2">
                  <a:lumMod val="20000"/>
                  <a:lumOff val="80000"/>
                </a:schemeClr>
              </a:solidFill>
              <a:round/>
            </a:ln>
            <a:effectLst/>
          </c:spPr>
        </c:majorGridlines>
        <c:numFmt formatCode="0.0%" sourceLinked="1"/>
        <c:majorTickMark val="out"/>
        <c:minorTickMark val="none"/>
        <c:tickLblPos val="nextTo"/>
        <c:crossAx val="1704822352"/>
        <c:crosses val="autoZero"/>
        <c:crossBetween val="between"/>
        <c:majorUnit val="0.2"/>
        <c:minorUnit val="0.1"/>
      </c:valAx>
      <c:spPr>
        <a:solidFill>
          <a:srgbClr val="E7F0F9"/>
        </a:solidFill>
        <a:ln>
          <a:solidFill>
            <a:schemeClr val="tx2">
              <a:lumMod val="60000"/>
              <a:lumOff val="4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Bahnschrift Light SemiCondensed" panose="020B0502040204020203" pitchFamily="34" charset="0"/>
        </a:defRPr>
      </a:pPr>
      <a:endParaRPr lang="fr-FR"/>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192179367409581E-2"/>
          <c:y val="0.16531245733011701"/>
          <c:w val="0.88754704390764727"/>
          <c:h val="0.61711589519518151"/>
        </c:manualLayout>
      </c:layout>
      <c:barChart>
        <c:barDir val="col"/>
        <c:grouping val="stacked"/>
        <c:varyColors val="0"/>
        <c:ser>
          <c:idx val="0"/>
          <c:order val="0"/>
          <c:spPr>
            <a:solidFill>
              <a:schemeClr val="accent1"/>
            </a:solidFill>
            <a:ln>
              <a:noFill/>
            </a:ln>
            <a:effectLst/>
          </c:spPr>
          <c:invertIfNegative val="0"/>
          <c:dPt>
            <c:idx val="0"/>
            <c:invertIfNegative val="0"/>
            <c:bubble3D val="0"/>
            <c:spPr>
              <a:solidFill>
                <a:schemeClr val="bg1"/>
              </a:solidFill>
              <a:ln>
                <a:solidFill>
                  <a:schemeClr val="accent5">
                    <a:lumMod val="75000"/>
                  </a:schemeClr>
                </a:solidFill>
              </a:ln>
              <a:effectLst/>
            </c:spPr>
            <c:extLst>
              <c:ext xmlns:c16="http://schemas.microsoft.com/office/drawing/2014/chart" uri="{C3380CC4-5D6E-409C-BE32-E72D297353CC}">
                <c16:uniqueId val="{00000001-F28A-425F-94FF-CE77F1261D0B}"/>
              </c:ext>
            </c:extLst>
          </c:dPt>
          <c:dPt>
            <c:idx val="1"/>
            <c:invertIfNegative val="0"/>
            <c:bubble3D val="0"/>
            <c:spPr>
              <a:solidFill>
                <a:schemeClr val="accent5">
                  <a:lumMod val="75000"/>
                </a:schemeClr>
              </a:solidFill>
              <a:ln>
                <a:solidFill>
                  <a:schemeClr val="accent5">
                    <a:lumMod val="75000"/>
                  </a:schemeClr>
                </a:solidFill>
              </a:ln>
              <a:effectLst/>
            </c:spPr>
            <c:extLst>
              <c:ext xmlns:c16="http://schemas.microsoft.com/office/drawing/2014/chart" uri="{C3380CC4-5D6E-409C-BE32-E72D297353CC}">
                <c16:uniqueId val="{00000003-F28A-425F-94FF-CE77F1261D0B}"/>
              </c:ext>
            </c:extLst>
          </c:dPt>
          <c:dPt>
            <c:idx val="2"/>
            <c:invertIfNegative val="0"/>
            <c:bubble3D val="0"/>
            <c:spPr>
              <a:solidFill>
                <a:schemeClr val="accent5">
                  <a:lumMod val="75000"/>
                </a:schemeClr>
              </a:solidFill>
              <a:ln>
                <a:solidFill>
                  <a:schemeClr val="accent5">
                    <a:lumMod val="75000"/>
                  </a:schemeClr>
                </a:solidFill>
              </a:ln>
              <a:effectLst/>
            </c:spPr>
            <c:extLst>
              <c:ext xmlns:c16="http://schemas.microsoft.com/office/drawing/2014/chart" uri="{C3380CC4-5D6E-409C-BE32-E72D297353CC}">
                <c16:uniqueId val="{00000005-F28A-425F-94FF-CE77F1261D0B}"/>
              </c:ext>
            </c:extLst>
          </c:dPt>
          <c:dPt>
            <c:idx val="3"/>
            <c:invertIfNegative val="0"/>
            <c:bubble3D val="0"/>
            <c:spPr>
              <a:solidFill>
                <a:schemeClr val="bg1"/>
              </a:solidFill>
              <a:ln>
                <a:solidFill>
                  <a:schemeClr val="accent5">
                    <a:lumMod val="75000"/>
                  </a:schemeClr>
                </a:solidFill>
              </a:ln>
              <a:effectLst/>
            </c:spPr>
            <c:extLst>
              <c:ext xmlns:c16="http://schemas.microsoft.com/office/drawing/2014/chart" uri="{C3380CC4-5D6E-409C-BE32-E72D297353CC}">
                <c16:uniqueId val="{00000007-F28A-425F-94FF-CE77F1261D0B}"/>
              </c:ext>
            </c:extLst>
          </c:dPt>
          <c:dLbls>
            <c:dLbl>
              <c:idx val="0"/>
              <c:layout>
                <c:manualLayout>
                  <c:x val="-1.1299435028248588E-2"/>
                  <c:y val="0.123314065510597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8A-425F-94FF-CE77F1261D0B}"/>
                </c:ext>
              </c:extLst>
            </c:dLbl>
            <c:dLbl>
              <c:idx val="1"/>
              <c:layout>
                <c:manualLayout>
                  <c:x val="1.977401129943503E-2"/>
                  <c:y val="0.34296785156190734"/>
                </c:manualLayout>
              </c:layout>
              <c:spPr>
                <a:noFill/>
                <a:ln>
                  <a:noFill/>
                </a:ln>
                <a:effectLst/>
              </c:spPr>
              <c:txPr>
                <a:bodyPr rot="0" spcFirstLastPara="1" vertOverflow="ellipsis" vert="horz" wrap="square" lIns="38100" tIns="19050" rIns="38100" bIns="19050" anchor="b" anchorCtr="0">
                  <a:no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24206214689265537"/>
                      <c:h val="0.22208122828577065"/>
                    </c:manualLayout>
                  </c15:layout>
                </c:ext>
                <c:ext xmlns:c16="http://schemas.microsoft.com/office/drawing/2014/chart" uri="{C3380CC4-5D6E-409C-BE32-E72D297353CC}">
                  <c16:uniqueId val="{00000003-F28A-425F-94FF-CE77F1261D0B}"/>
                </c:ext>
              </c:extLst>
            </c:dLbl>
            <c:dLbl>
              <c:idx val="2"/>
              <c:layout>
                <c:manualLayout>
                  <c:x val="5.6497175141242938E-3"/>
                  <c:y val="9.2486155993506597E-2"/>
                </c:manualLayout>
              </c:layout>
              <c:spPr>
                <a:noFill/>
                <a:ln>
                  <a:noFill/>
                </a:ln>
                <a:effectLst/>
              </c:spPr>
              <c:txPr>
                <a:bodyPr rot="0" spcFirstLastPara="1" vertOverflow="ellipsis" vert="horz" wrap="square" lIns="38100" tIns="19050" rIns="38100" bIns="19050" anchor="b" anchorCtr="0">
                  <a:no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25053672316384179"/>
                      <c:h val="0.23749548647459531"/>
                    </c:manualLayout>
                  </c15:layout>
                </c:ext>
                <c:ext xmlns:c16="http://schemas.microsoft.com/office/drawing/2014/chart" uri="{C3380CC4-5D6E-409C-BE32-E72D297353CC}">
                  <c16:uniqueId val="{00000005-F28A-425F-94FF-CE77F1261D0B}"/>
                </c:ext>
              </c:extLst>
            </c:dLbl>
            <c:dLbl>
              <c:idx val="3"/>
              <c:layout>
                <c:manualLayout>
                  <c:x val="8.4746874860980332E-3"/>
                  <c:y val="0.10790011075205194"/>
                </c:manualLayout>
              </c:layout>
              <c:spPr>
                <a:noFill/>
                <a:ln>
                  <a:noFill/>
                </a:ln>
                <a:effectLst/>
              </c:spPr>
              <c:txPr>
                <a:bodyPr rot="0" spcFirstLastPara="1" vertOverflow="ellipsis" vert="horz" wrap="square" lIns="38100" tIns="19050" rIns="38100" bIns="19050" anchor="b" anchorCtr="0">
                  <a:sp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19025423728813556"/>
                      <c:h val="0.21741811175337183"/>
                    </c:manualLayout>
                  </c15:layout>
                </c:ext>
                <c:ext xmlns:c16="http://schemas.microsoft.com/office/drawing/2014/chart" uri="{C3380CC4-5D6E-409C-BE32-E72D297353CC}">
                  <c16:uniqueId val="{00000007-F28A-425F-94FF-CE77F1261D0B}"/>
                </c:ext>
              </c:extLst>
            </c:dLbl>
            <c:spPr>
              <a:noFill/>
              <a:ln>
                <a:noFill/>
              </a:ln>
              <a:effectLst/>
            </c:spPr>
            <c:txPr>
              <a:bodyPr rot="0" spcFirstLastPara="1" vertOverflow="ellipsis" vert="horz" wrap="square" lIns="38100" tIns="19050" rIns="38100" bIns="19050" anchor="b" anchorCtr="0">
                <a:sp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cat>
            <c:strRef>
              <c:f>'CALCULS Eaux pluviales'!$D$276:$D$279</c:f>
              <c:strCache>
                <c:ptCount val="4"/>
                <c:pt idx="0">
                  <c:v>Budget planifié</c:v>
                </c:pt>
                <c:pt idx="1">
                  <c:v>Coûts prévisionnels</c:v>
                </c:pt>
                <c:pt idx="2">
                  <c:v>Coûts prévisionnels</c:v>
                </c:pt>
                <c:pt idx="3">
                  <c:v>Budget planifié</c:v>
                </c:pt>
              </c:strCache>
            </c:strRef>
          </c:cat>
          <c:val>
            <c:numRef>
              <c:f>'CALCULS Eaux pluviales'!$E$276:$E$279</c:f>
              <c:numCache>
                <c:formatCode>"$"#,##0_);[Red]\("$"#,##0\)</c:formatCode>
                <c:ptCount val="4"/>
                <c:pt idx="0">
                  <c:v>0</c:v>
                </c:pt>
                <c:pt idx="1">
                  <c:v>0</c:v>
                </c:pt>
                <c:pt idx="2">
                  <c:v>0</c:v>
                </c:pt>
                <c:pt idx="3">
                  <c:v>0</c:v>
                </c:pt>
              </c:numCache>
            </c:numRef>
          </c:val>
          <c:extLst>
            <c:ext xmlns:c16="http://schemas.microsoft.com/office/drawing/2014/chart" uri="{C3380CC4-5D6E-409C-BE32-E72D297353CC}">
              <c16:uniqueId val="{00000008-F28A-425F-94FF-CE77F1261D0B}"/>
            </c:ext>
          </c:extLst>
        </c:ser>
        <c:ser>
          <c:idx val="1"/>
          <c:order val="1"/>
          <c:tx>
            <c:strRef>
              <c:f>'CALCULS Eaux pluviales'!$F$275</c:f>
              <c:strCache>
                <c:ptCount val="1"/>
                <c:pt idx="0">
                  <c:v>Déficit de financement</c:v>
                </c:pt>
              </c:strCache>
            </c:strRef>
          </c:tx>
          <c:spPr>
            <a:solidFill>
              <a:srgbClr val="C00000"/>
            </a:solidFill>
            <a:ln>
              <a:solidFill>
                <a:srgbClr val="C00000"/>
              </a:solidFill>
            </a:ln>
            <a:effectLst/>
          </c:spPr>
          <c:invertIfNegative val="0"/>
          <c:dLbls>
            <c:dLbl>
              <c:idx val="0"/>
              <c:layout>
                <c:manualLayout>
                  <c:x val="5.123904533119801E-2"/>
                  <c:y val="-0.52977470301761409"/>
                </c:manualLayout>
              </c:layout>
              <c:spPr>
                <a:noFill/>
                <a:ln>
                  <a:noFill/>
                </a:ln>
                <a:effectLst/>
              </c:spPr>
              <c:txPr>
                <a:bodyPr rot="0" spcFirstLastPara="1" vertOverflow="ellipsis" vert="horz" wrap="square" lIns="38100" tIns="19050" rIns="38100" bIns="19050" anchor="t" anchorCtr="0">
                  <a:no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3074049112505004"/>
                      <c:h val="0.2535809324412483"/>
                    </c:manualLayout>
                  </c15:layout>
                </c:ext>
                <c:ext xmlns:c16="http://schemas.microsoft.com/office/drawing/2014/chart" uri="{C3380CC4-5D6E-409C-BE32-E72D297353CC}">
                  <c16:uniqueId val="{00000009-F28A-425F-94FF-CE77F1261D0B}"/>
                </c:ext>
              </c:extLst>
            </c:dLbl>
            <c:dLbl>
              <c:idx val="1"/>
              <c:delete val="1"/>
              <c:extLst>
                <c:ext xmlns:c15="http://schemas.microsoft.com/office/drawing/2012/chart" uri="{CE6537A1-D6FC-4f65-9D91-7224C49458BB}"/>
                <c:ext xmlns:c16="http://schemas.microsoft.com/office/drawing/2014/chart" uri="{C3380CC4-5D6E-409C-BE32-E72D297353CC}">
                  <c16:uniqueId val="{0000000A-F28A-425F-94FF-CE77F1261D0B}"/>
                </c:ext>
              </c:extLst>
            </c:dLbl>
            <c:dLbl>
              <c:idx val="2"/>
              <c:delete val="1"/>
              <c:extLst>
                <c:ext xmlns:c15="http://schemas.microsoft.com/office/drawing/2012/chart" uri="{CE6537A1-D6FC-4f65-9D91-7224C49458BB}"/>
                <c:ext xmlns:c16="http://schemas.microsoft.com/office/drawing/2014/chart" uri="{C3380CC4-5D6E-409C-BE32-E72D297353CC}">
                  <c16:uniqueId val="{0000000B-F28A-425F-94FF-CE77F1261D0B}"/>
                </c:ext>
              </c:extLst>
            </c:dLbl>
            <c:dLbl>
              <c:idx val="3"/>
              <c:layout>
                <c:manualLayout>
                  <c:x val="-5.8991058321099694E-2"/>
                  <c:y val="-0.71170725046652406"/>
                </c:manualLayout>
              </c:layout>
              <c:spPr>
                <a:noFill/>
                <a:ln>
                  <a:noFill/>
                </a:ln>
                <a:effectLst/>
              </c:spPr>
              <c:txPr>
                <a:bodyPr rot="0" spcFirstLastPara="1" vertOverflow="ellipsis" vert="horz" wrap="square" lIns="38100" tIns="19050" rIns="38100" bIns="19050" anchor="t" anchorCtr="0">
                  <a:no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3218483918323769"/>
                      <c:h val="0.25175367529925813"/>
                    </c:manualLayout>
                  </c15:layout>
                </c:ext>
                <c:ext xmlns:c16="http://schemas.microsoft.com/office/drawing/2014/chart" uri="{C3380CC4-5D6E-409C-BE32-E72D297353CC}">
                  <c16:uniqueId val="{0000000C-F28A-425F-94FF-CE77F1261D0B}"/>
                </c:ext>
              </c:extLst>
            </c:dLbl>
            <c:spPr>
              <a:noFill/>
              <a:ln>
                <a:noFill/>
              </a:ln>
              <a:effectLst/>
            </c:spPr>
            <c:txPr>
              <a:bodyPr rot="0" spcFirstLastPara="1" vertOverflow="ellipsis" vert="horz" wrap="square" lIns="38100" tIns="19050" rIns="38100" bIns="19050" anchor="t" anchorCtr="1">
                <a:spAutoFit/>
              </a:bodyPr>
              <a:lstStyle/>
              <a:p>
                <a:pP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'CALCULS Eaux pluviales'!$D$276:$D$279</c:f>
              <c:strCache>
                <c:ptCount val="4"/>
                <c:pt idx="0">
                  <c:v>Budget planifié</c:v>
                </c:pt>
                <c:pt idx="1">
                  <c:v>Coûts prévisionnels</c:v>
                </c:pt>
                <c:pt idx="2">
                  <c:v>Coûts prévisionnels</c:v>
                </c:pt>
                <c:pt idx="3">
                  <c:v>Budget planifié</c:v>
                </c:pt>
              </c:strCache>
            </c:strRef>
          </c:cat>
          <c:val>
            <c:numRef>
              <c:f>'CALCULS Eaux pluviales'!$F$276:$F$279</c:f>
              <c:numCache>
                <c:formatCode>General</c:formatCode>
                <c:ptCount val="4"/>
                <c:pt idx="0" formatCode="&quot;$&quot;#,##0_);[Red]\(&quot;$&quot;#,##0\)">
                  <c:v>0</c:v>
                </c:pt>
                <c:pt idx="1">
                  <c:v>0</c:v>
                </c:pt>
                <c:pt idx="2">
                  <c:v>0</c:v>
                </c:pt>
                <c:pt idx="3" formatCode="&quot;$&quot;#,##0_);[Red]\(&quot;$&quot;#,##0\)">
                  <c:v>0</c:v>
                </c:pt>
              </c:numCache>
            </c:numRef>
          </c:val>
          <c:extLst>
            <c:ext xmlns:c16="http://schemas.microsoft.com/office/drawing/2014/chart" uri="{C3380CC4-5D6E-409C-BE32-E72D297353CC}">
              <c16:uniqueId val="{0000000D-F28A-425F-94FF-CE77F1261D0B}"/>
            </c:ext>
          </c:extLst>
        </c:ser>
        <c:dLbls>
          <c:showLegendKey val="0"/>
          <c:showVal val="0"/>
          <c:showCatName val="0"/>
          <c:showSerName val="0"/>
          <c:showPercent val="0"/>
          <c:showBubbleSize val="0"/>
        </c:dLbls>
        <c:gapWidth val="16"/>
        <c:overlap val="100"/>
        <c:axId val="1692711760"/>
        <c:axId val="1692710096"/>
      </c:barChart>
      <c:catAx>
        <c:axId val="1692711760"/>
        <c:scaling>
          <c:orientation val="minMax"/>
        </c:scaling>
        <c:delete val="1"/>
        <c:axPos val="b"/>
        <c:numFmt formatCode="General" sourceLinked="1"/>
        <c:majorTickMark val="none"/>
        <c:minorTickMark val="none"/>
        <c:tickLblPos val="low"/>
        <c:crossAx val="1692710096"/>
        <c:crosses val="autoZero"/>
        <c:auto val="1"/>
        <c:lblAlgn val="ctr"/>
        <c:lblOffset val="100"/>
        <c:noMultiLvlLbl val="0"/>
      </c:catAx>
      <c:valAx>
        <c:axId val="1692710096"/>
        <c:scaling>
          <c:orientation val="minMax"/>
        </c:scaling>
        <c:delete val="1"/>
        <c:axPos val="l"/>
        <c:numFmt formatCode="&quot;$&quot;#,##0_);[Red]\(&quot;$&quot;#,##0\)" sourceLinked="1"/>
        <c:majorTickMark val="none"/>
        <c:minorTickMark val="none"/>
        <c:tickLblPos val="nextTo"/>
        <c:crossAx val="1692711760"/>
        <c:crosses val="autoZero"/>
        <c:crossBetween val="between"/>
      </c:valAx>
      <c:spPr>
        <a:noFill/>
        <a:ln>
          <a:noFill/>
        </a:ln>
        <a:effectLst/>
      </c:spPr>
    </c:plotArea>
    <c:plotVisOnly val="1"/>
    <c:dispBlanksAs val="gap"/>
    <c:showDLblsOverMax val="0"/>
  </c:chart>
  <c:spPr>
    <a:solidFill>
      <a:srgbClr val="FFFFFF">
        <a:alpha val="0"/>
      </a:srgb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41588076780075E-2"/>
          <c:y val="0.16759445766953548"/>
          <c:w val="0.85735801498162401"/>
          <c:h val="0.61479582494048712"/>
        </c:manualLayout>
      </c:layout>
      <c:barChart>
        <c:barDir val="col"/>
        <c:grouping val="stacked"/>
        <c:varyColors val="0"/>
        <c:ser>
          <c:idx val="0"/>
          <c:order val="0"/>
          <c:spPr>
            <a:solidFill>
              <a:schemeClr val="accent1"/>
            </a:solidFill>
            <a:ln>
              <a:solidFill>
                <a:schemeClr val="accent5">
                  <a:lumMod val="75000"/>
                </a:schemeClr>
              </a:solidFill>
            </a:ln>
            <a:effectLst/>
          </c:spPr>
          <c:invertIfNegative val="0"/>
          <c:dPt>
            <c:idx val="0"/>
            <c:invertIfNegative val="0"/>
            <c:bubble3D val="0"/>
            <c:spPr>
              <a:solidFill>
                <a:schemeClr val="bg1"/>
              </a:solidFill>
              <a:ln>
                <a:solidFill>
                  <a:schemeClr val="accent5">
                    <a:lumMod val="75000"/>
                  </a:schemeClr>
                </a:solidFill>
              </a:ln>
              <a:effectLst/>
            </c:spPr>
            <c:extLst>
              <c:ext xmlns:c16="http://schemas.microsoft.com/office/drawing/2014/chart" uri="{C3380CC4-5D6E-409C-BE32-E72D297353CC}">
                <c16:uniqueId val="{00000001-C4F8-47C3-A458-D6DB0B28955B}"/>
              </c:ext>
            </c:extLst>
          </c:dPt>
          <c:dPt>
            <c:idx val="1"/>
            <c:invertIfNegative val="0"/>
            <c:bubble3D val="0"/>
            <c:spPr>
              <a:solidFill>
                <a:srgbClr val="EEB500"/>
              </a:solidFill>
              <a:ln>
                <a:solidFill>
                  <a:schemeClr val="accent5">
                    <a:lumMod val="75000"/>
                  </a:schemeClr>
                </a:solidFill>
              </a:ln>
              <a:effectLst/>
            </c:spPr>
            <c:extLst>
              <c:ext xmlns:c16="http://schemas.microsoft.com/office/drawing/2014/chart" uri="{C3380CC4-5D6E-409C-BE32-E72D297353CC}">
                <c16:uniqueId val="{00000003-C4F8-47C3-A458-D6DB0B28955B}"/>
              </c:ext>
            </c:extLst>
          </c:dPt>
          <c:dPt>
            <c:idx val="2"/>
            <c:invertIfNegative val="0"/>
            <c:bubble3D val="0"/>
            <c:spPr>
              <a:solidFill>
                <a:srgbClr val="EEB500"/>
              </a:solidFill>
              <a:ln>
                <a:solidFill>
                  <a:schemeClr val="accent5">
                    <a:lumMod val="75000"/>
                  </a:schemeClr>
                </a:solidFill>
              </a:ln>
              <a:effectLst/>
            </c:spPr>
            <c:extLst>
              <c:ext xmlns:c16="http://schemas.microsoft.com/office/drawing/2014/chart" uri="{C3380CC4-5D6E-409C-BE32-E72D297353CC}">
                <c16:uniqueId val="{00000005-C4F8-47C3-A458-D6DB0B28955B}"/>
              </c:ext>
            </c:extLst>
          </c:dPt>
          <c:dPt>
            <c:idx val="3"/>
            <c:invertIfNegative val="0"/>
            <c:bubble3D val="0"/>
            <c:spPr>
              <a:solidFill>
                <a:schemeClr val="bg1"/>
              </a:solidFill>
              <a:ln>
                <a:solidFill>
                  <a:schemeClr val="accent5">
                    <a:lumMod val="75000"/>
                  </a:schemeClr>
                </a:solidFill>
              </a:ln>
              <a:effectLst/>
            </c:spPr>
            <c:extLst>
              <c:ext xmlns:c16="http://schemas.microsoft.com/office/drawing/2014/chart" uri="{C3380CC4-5D6E-409C-BE32-E72D297353CC}">
                <c16:uniqueId val="{00000007-C4F8-47C3-A458-D6DB0B28955B}"/>
              </c:ext>
            </c:extLst>
          </c:dPt>
          <c:dLbls>
            <c:dLbl>
              <c:idx val="0"/>
              <c:layout>
                <c:manualLayout>
                  <c:x val="-8.6956501892844484E-3"/>
                  <c:y val="0.10077519379844947"/>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C4F8-47C3-A458-D6DB0B28955B}"/>
                </c:ext>
              </c:extLst>
            </c:dLbl>
            <c:dLbl>
              <c:idx val="1"/>
              <c:layout>
                <c:manualLayout>
                  <c:x val="0"/>
                  <c:y val="9.3023561008362329E-2"/>
                </c:manualLayout>
              </c:layout>
              <c:spPr>
                <a:noFill/>
                <a:ln>
                  <a:noFill/>
                </a:ln>
                <a:effectLst/>
              </c:spPr>
              <c:txPr>
                <a:bodyPr rot="0" spcFirstLastPara="1" vertOverflow="ellipsis" vert="horz" wrap="square" lIns="38100" tIns="19050" rIns="38100" bIns="19050" anchor="b" anchorCtr="0">
                  <a:no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23098545452802591"/>
                      <c:h val="0.24662821217115299"/>
                    </c:manualLayout>
                  </c15:layout>
                </c:ext>
                <c:ext xmlns:c16="http://schemas.microsoft.com/office/drawing/2014/chart" uri="{C3380CC4-5D6E-409C-BE32-E72D297353CC}">
                  <c16:uniqueId val="{00000003-C4F8-47C3-A458-D6DB0B28955B}"/>
                </c:ext>
              </c:extLst>
            </c:dLbl>
            <c:dLbl>
              <c:idx val="2"/>
              <c:layout>
                <c:manualLayout>
                  <c:x val="8.6956501892844484E-3"/>
                  <c:y val="8.5271623023866205E-2"/>
                </c:manualLayout>
              </c:layout>
              <c:spPr>
                <a:noFill/>
                <a:ln>
                  <a:noFill/>
                </a:ln>
                <a:effectLst/>
              </c:spPr>
              <c:txPr>
                <a:bodyPr rot="0" spcFirstLastPara="1" vertOverflow="ellipsis" vert="horz" wrap="square" lIns="38100" tIns="19050" rIns="38100" bIns="19050" anchor="b" anchorCtr="0">
                  <a:no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23968110471731036"/>
                      <c:h val="0.26213208814014521"/>
                    </c:manualLayout>
                  </c15:layout>
                </c:ext>
                <c:ext xmlns:c16="http://schemas.microsoft.com/office/drawing/2014/chart" uri="{C3380CC4-5D6E-409C-BE32-E72D297353CC}">
                  <c16:uniqueId val="{00000005-C4F8-47C3-A458-D6DB0B28955B}"/>
                </c:ext>
              </c:extLst>
            </c:dLbl>
            <c:dLbl>
              <c:idx val="3"/>
              <c:layout>
                <c:manualLayout>
                  <c:x val="1.1411614421633135E-7"/>
                  <c:y val="0.10077549899285845"/>
                </c:manualLayout>
              </c:layout>
              <c:spPr>
                <a:noFill/>
                <a:ln>
                  <a:noFill/>
                </a:ln>
                <a:effectLst/>
              </c:spPr>
              <c:txPr>
                <a:bodyPr rot="0" spcFirstLastPara="1" vertOverflow="ellipsis" vert="horz" wrap="square" lIns="38100" tIns="19050" rIns="38100" bIns="19050" anchor="b" anchorCtr="0">
                  <a:sp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separator>
</c:separator>
              <c:extLst>
                <c:ext xmlns:c15="http://schemas.microsoft.com/office/drawing/2012/chart" uri="{CE6537A1-D6FC-4f65-9D91-7224C49458BB}">
                  <c15:layout>
                    <c:manualLayout>
                      <c:w val="0.20971009706490992"/>
                      <c:h val="0.21868217054263561"/>
                    </c:manualLayout>
                  </c15:layout>
                </c:ext>
                <c:ext xmlns:c16="http://schemas.microsoft.com/office/drawing/2014/chart" uri="{C3380CC4-5D6E-409C-BE32-E72D297353CC}">
                  <c16:uniqueId val="{00000007-C4F8-47C3-A458-D6DB0B28955B}"/>
                </c:ext>
              </c:extLst>
            </c:dLbl>
            <c:spPr>
              <a:noFill/>
              <a:ln>
                <a:noFill/>
              </a:ln>
              <a:effectLst/>
            </c:spPr>
            <c:txPr>
              <a:bodyPr rot="0" spcFirstLastPara="1" vertOverflow="ellipsis" vert="horz" wrap="square" lIns="38100" tIns="19050" rIns="38100" bIns="19050" anchor="b" anchorCtr="0">
                <a:sp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cat>
            <c:strRef>
              <c:f>'CALCULS Eaux pluviales'!$D$295:$D$298</c:f>
              <c:strCache>
                <c:ptCount val="4"/>
                <c:pt idx="0">
                  <c:v>Budget planifié</c:v>
                </c:pt>
                <c:pt idx="1">
                  <c:v>Coûts prévisionnels</c:v>
                </c:pt>
                <c:pt idx="2">
                  <c:v>Coûts prévisionnels</c:v>
                </c:pt>
                <c:pt idx="3">
                  <c:v>Budget planifié</c:v>
                </c:pt>
              </c:strCache>
            </c:strRef>
          </c:cat>
          <c:val>
            <c:numRef>
              <c:f>'CALCULS Eaux pluviales'!$E$295:$E$298</c:f>
              <c:numCache>
                <c:formatCode>"$"#,##0_);[Red]\("$"#,##0\)</c:formatCode>
                <c:ptCount val="4"/>
                <c:pt idx="0">
                  <c:v>0</c:v>
                </c:pt>
                <c:pt idx="1">
                  <c:v>0</c:v>
                </c:pt>
                <c:pt idx="2">
                  <c:v>0</c:v>
                </c:pt>
                <c:pt idx="3">
                  <c:v>0</c:v>
                </c:pt>
              </c:numCache>
            </c:numRef>
          </c:val>
          <c:extLst>
            <c:ext xmlns:c16="http://schemas.microsoft.com/office/drawing/2014/chart" uri="{C3380CC4-5D6E-409C-BE32-E72D297353CC}">
              <c16:uniqueId val="{00000008-C4F8-47C3-A458-D6DB0B28955B}"/>
            </c:ext>
          </c:extLst>
        </c:ser>
        <c:ser>
          <c:idx val="1"/>
          <c:order val="1"/>
          <c:tx>
            <c:strRef>
              <c:f>'CALCULS Eaux pluviales'!$F$294</c:f>
              <c:strCache>
                <c:ptCount val="1"/>
                <c:pt idx="0">
                  <c:v>Déficit de financement</c:v>
                </c:pt>
              </c:strCache>
            </c:strRef>
          </c:tx>
          <c:spPr>
            <a:solidFill>
              <a:srgbClr val="C00000"/>
            </a:solidFill>
            <a:ln>
              <a:solidFill>
                <a:srgbClr val="C00000"/>
              </a:solidFill>
            </a:ln>
            <a:effectLst/>
          </c:spPr>
          <c:invertIfNegative val="0"/>
          <c:dLbls>
            <c:dLbl>
              <c:idx val="0"/>
              <c:layout>
                <c:manualLayout>
                  <c:x val="5.333811403900169E-2"/>
                  <c:y val="-0.75812195567534479"/>
                </c:manualLayout>
              </c:layout>
              <c:spPr>
                <a:noFill/>
                <a:ln>
                  <a:noFill/>
                </a:ln>
                <a:effectLst/>
              </c:spPr>
              <c:txPr>
                <a:bodyPr rot="0" spcFirstLastPara="1" vertOverflow="ellipsis" vert="horz" wrap="square" lIns="38100" tIns="19050" rIns="38100" bIns="19050" anchor="t" anchorCtr="0">
                  <a:no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30051915998649775"/>
                      <c:h val="0.21893869474543337"/>
                    </c:manualLayout>
                  </c15:layout>
                </c:ext>
                <c:ext xmlns:c16="http://schemas.microsoft.com/office/drawing/2014/chart" uri="{C3380CC4-5D6E-409C-BE32-E72D297353CC}">
                  <c16:uniqueId val="{00000009-C4F8-47C3-A458-D6DB0B28955B}"/>
                </c:ext>
              </c:extLst>
            </c:dLbl>
            <c:dLbl>
              <c:idx val="1"/>
              <c:delete val="1"/>
              <c:extLst>
                <c:ext xmlns:c15="http://schemas.microsoft.com/office/drawing/2012/chart" uri="{CE6537A1-D6FC-4f65-9D91-7224C49458BB}"/>
                <c:ext xmlns:c16="http://schemas.microsoft.com/office/drawing/2014/chart" uri="{C3380CC4-5D6E-409C-BE32-E72D297353CC}">
                  <c16:uniqueId val="{0000000A-C4F8-47C3-A458-D6DB0B28955B}"/>
                </c:ext>
              </c:extLst>
            </c:dLbl>
            <c:dLbl>
              <c:idx val="2"/>
              <c:delete val="1"/>
              <c:extLst>
                <c:ext xmlns:c15="http://schemas.microsoft.com/office/drawing/2012/chart" uri="{CE6537A1-D6FC-4f65-9D91-7224C49458BB}"/>
                <c:ext xmlns:c16="http://schemas.microsoft.com/office/drawing/2014/chart" uri="{C3380CC4-5D6E-409C-BE32-E72D297353CC}">
                  <c16:uniqueId val="{0000000B-C4F8-47C3-A458-D6DB0B28955B}"/>
                </c:ext>
              </c:extLst>
            </c:dLbl>
            <c:dLbl>
              <c:idx val="3"/>
              <c:layout>
                <c:manualLayout>
                  <c:x val="-2.8873210345039396E-2"/>
                  <c:y val="-0.75326283342489164"/>
                </c:manualLayout>
              </c:layout>
              <c:spPr>
                <a:noFill/>
                <a:ln>
                  <a:noFill/>
                </a:ln>
                <a:effectLst/>
              </c:spPr>
              <c:txPr>
                <a:bodyPr rot="0" spcFirstLastPara="1" vertOverflow="ellipsis" vert="horz" wrap="square" lIns="38100" tIns="19050" rIns="38100" bIns="19050" anchor="t" anchorCtr="0">
                  <a:no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31107832681083492"/>
                      <c:h val="0.23400461705272599"/>
                    </c:manualLayout>
                  </c15:layout>
                </c:ext>
                <c:ext xmlns:c16="http://schemas.microsoft.com/office/drawing/2014/chart" uri="{C3380CC4-5D6E-409C-BE32-E72D297353CC}">
                  <c16:uniqueId val="{0000000C-C4F8-47C3-A458-D6DB0B28955B}"/>
                </c:ext>
              </c:extLst>
            </c:dLbl>
            <c:spPr>
              <a:noFill/>
              <a:ln>
                <a:noFill/>
              </a:ln>
              <a:effectLst/>
            </c:spPr>
            <c:txPr>
              <a:bodyPr rot="0" spcFirstLastPara="1" vertOverflow="ellipsis" vert="horz" wrap="square" lIns="38100" tIns="19050" rIns="38100" bIns="19050" anchor="t" anchorCtr="1">
                <a:spAutoFit/>
              </a:bodyPr>
              <a:lstStyle/>
              <a:p>
                <a:pPr>
                  <a:defRPr sz="1050" b="0" i="0" u="none" strike="noStrike" kern="1200" baseline="0">
                    <a:solidFill>
                      <a:schemeClr val="tx1">
                        <a:lumMod val="75000"/>
                        <a:lumOff val="25000"/>
                      </a:schemeClr>
                    </a:solidFill>
                    <a:latin typeface="Bahnschrift Light Condensed" panose="020B0502040204020203" pitchFamily="34" charset="0"/>
                    <a:ea typeface="+mn-ea"/>
                    <a:cs typeface="+mn-cs"/>
                  </a:defRPr>
                </a:pPr>
                <a:endParaRPr lang="fr-FR"/>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'CALCULS Eaux pluviales'!$D$295:$D$298</c:f>
              <c:strCache>
                <c:ptCount val="4"/>
                <c:pt idx="0">
                  <c:v>Budget planifié</c:v>
                </c:pt>
                <c:pt idx="1">
                  <c:v>Coûts prévisionnels</c:v>
                </c:pt>
                <c:pt idx="2">
                  <c:v>Coûts prévisionnels</c:v>
                </c:pt>
                <c:pt idx="3">
                  <c:v>Budget planifié</c:v>
                </c:pt>
              </c:strCache>
            </c:strRef>
          </c:cat>
          <c:val>
            <c:numRef>
              <c:f>'CALCULS Eaux pluviales'!$F$295:$F$298</c:f>
              <c:numCache>
                <c:formatCode>General</c:formatCode>
                <c:ptCount val="4"/>
                <c:pt idx="0" formatCode="&quot;$&quot;#,##0_);[Red]\(&quot;$&quot;#,##0\)">
                  <c:v>0</c:v>
                </c:pt>
                <c:pt idx="1">
                  <c:v>0</c:v>
                </c:pt>
                <c:pt idx="2">
                  <c:v>0</c:v>
                </c:pt>
                <c:pt idx="3" formatCode="&quot;$&quot;#,##0_);[Red]\(&quot;$&quot;#,##0\)">
                  <c:v>0</c:v>
                </c:pt>
              </c:numCache>
            </c:numRef>
          </c:val>
          <c:extLst>
            <c:ext xmlns:c16="http://schemas.microsoft.com/office/drawing/2014/chart" uri="{C3380CC4-5D6E-409C-BE32-E72D297353CC}">
              <c16:uniqueId val="{0000000D-C4F8-47C3-A458-D6DB0B28955B}"/>
            </c:ext>
          </c:extLst>
        </c:ser>
        <c:dLbls>
          <c:showLegendKey val="0"/>
          <c:showVal val="0"/>
          <c:showCatName val="0"/>
          <c:showSerName val="0"/>
          <c:showPercent val="0"/>
          <c:showBubbleSize val="0"/>
        </c:dLbls>
        <c:gapWidth val="16"/>
        <c:overlap val="100"/>
        <c:axId val="1692711760"/>
        <c:axId val="1692710096"/>
      </c:barChart>
      <c:catAx>
        <c:axId val="1692711760"/>
        <c:scaling>
          <c:orientation val="minMax"/>
        </c:scaling>
        <c:delete val="1"/>
        <c:axPos val="b"/>
        <c:numFmt formatCode="General" sourceLinked="1"/>
        <c:majorTickMark val="none"/>
        <c:minorTickMark val="none"/>
        <c:tickLblPos val="low"/>
        <c:crossAx val="1692710096"/>
        <c:crosses val="autoZero"/>
        <c:auto val="1"/>
        <c:lblAlgn val="ctr"/>
        <c:lblOffset val="100"/>
        <c:noMultiLvlLbl val="0"/>
      </c:catAx>
      <c:valAx>
        <c:axId val="1692710096"/>
        <c:scaling>
          <c:orientation val="minMax"/>
        </c:scaling>
        <c:delete val="1"/>
        <c:axPos val="l"/>
        <c:numFmt formatCode="&quot;$&quot;#,##0_);[Red]\(&quot;$&quot;#,##0\)" sourceLinked="1"/>
        <c:majorTickMark val="none"/>
        <c:minorTickMark val="none"/>
        <c:tickLblPos val="nextTo"/>
        <c:crossAx val="1692711760"/>
        <c:crosses val="autoZero"/>
        <c:crossBetween val="between"/>
      </c:valAx>
      <c:spPr>
        <a:noFill/>
        <a:ln>
          <a:noFill/>
        </a:ln>
        <a:effectLst/>
      </c:spPr>
    </c:plotArea>
    <c:plotVisOnly val="1"/>
    <c:dispBlanksAs val="gap"/>
    <c:showDLblsOverMax val="0"/>
  </c:chart>
  <c:spPr>
    <a:solidFill>
      <a:srgbClr val="FFFFFF">
        <a:alpha val="0"/>
      </a:srgb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740143432701434E-2"/>
          <c:y val="0.16661662906171812"/>
          <c:w val="0.83404487342308009"/>
          <c:h val="0.6135580420868445"/>
        </c:manualLayout>
      </c:layout>
      <c:barChart>
        <c:barDir val="col"/>
        <c:grouping val="stacked"/>
        <c:varyColors val="0"/>
        <c:ser>
          <c:idx val="0"/>
          <c:order val="0"/>
          <c:spPr>
            <a:solidFill>
              <a:schemeClr val="bg1"/>
            </a:solidFill>
            <a:ln>
              <a:solidFill>
                <a:schemeClr val="accent5">
                  <a:lumMod val="75000"/>
                </a:schemeClr>
              </a:solidFill>
            </a:ln>
            <a:effectLst/>
          </c:spPr>
          <c:invertIfNegative val="0"/>
          <c:dPt>
            <c:idx val="1"/>
            <c:invertIfNegative val="0"/>
            <c:bubble3D val="0"/>
            <c:spPr>
              <a:solidFill>
                <a:schemeClr val="accent2">
                  <a:lumMod val="75000"/>
                </a:schemeClr>
              </a:solidFill>
              <a:ln>
                <a:solidFill>
                  <a:schemeClr val="accent5">
                    <a:lumMod val="75000"/>
                  </a:schemeClr>
                </a:solidFill>
              </a:ln>
              <a:effectLst/>
            </c:spPr>
            <c:extLst>
              <c:ext xmlns:c16="http://schemas.microsoft.com/office/drawing/2014/chart" uri="{C3380CC4-5D6E-409C-BE32-E72D297353CC}">
                <c16:uniqueId val="{00000001-C0D4-47C4-8CA4-191D1FAD4BC3}"/>
              </c:ext>
            </c:extLst>
          </c:dPt>
          <c:dPt>
            <c:idx val="2"/>
            <c:invertIfNegative val="0"/>
            <c:bubble3D val="0"/>
            <c:spPr>
              <a:solidFill>
                <a:schemeClr val="accent2">
                  <a:lumMod val="75000"/>
                </a:schemeClr>
              </a:solidFill>
              <a:ln>
                <a:solidFill>
                  <a:schemeClr val="accent5">
                    <a:lumMod val="75000"/>
                  </a:schemeClr>
                </a:solidFill>
              </a:ln>
              <a:effectLst/>
            </c:spPr>
            <c:extLst>
              <c:ext xmlns:c16="http://schemas.microsoft.com/office/drawing/2014/chart" uri="{C3380CC4-5D6E-409C-BE32-E72D297353CC}">
                <c16:uniqueId val="{00000003-C0D4-47C4-8CA4-191D1FAD4BC3}"/>
              </c:ext>
            </c:extLst>
          </c:dPt>
          <c:dLbls>
            <c:dLbl>
              <c:idx val="0"/>
              <c:layout>
                <c:manualLayout>
                  <c:x val="0"/>
                  <c:y val="0.2573099415204678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08AB-490E-ADC0-9F0E4FD14C3E}"/>
                </c:ext>
              </c:extLst>
            </c:dLbl>
            <c:dLbl>
              <c:idx val="1"/>
              <c:layout>
                <c:manualLayout>
                  <c:x val="8.6022634267490759E-3"/>
                  <c:y val="0.3586744639376217"/>
                </c:manualLayout>
              </c:layout>
              <c:spPr>
                <a:noFill/>
                <a:ln>
                  <a:noFill/>
                </a:ln>
                <a:effectLst/>
              </c:spPr>
              <c:txPr>
                <a:bodyPr rot="0" spcFirstLastPara="1" vertOverflow="ellipsis" vert="horz" wrap="square" lIns="38100" tIns="19050" rIns="38100" bIns="19050" anchor="b" anchorCtr="0">
                  <a:no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2256344086021505"/>
                      <c:h val="0.24027321146260225"/>
                    </c:manualLayout>
                  </c15:layout>
                </c:ext>
                <c:ext xmlns:c16="http://schemas.microsoft.com/office/drawing/2014/chart" uri="{C3380CC4-5D6E-409C-BE32-E72D297353CC}">
                  <c16:uniqueId val="{00000001-C0D4-47C4-8CA4-191D1FAD4BC3}"/>
                </c:ext>
              </c:extLst>
            </c:dLbl>
            <c:dLbl>
              <c:idx val="2"/>
              <c:layout>
                <c:manualLayout>
                  <c:x val="-5.2568090458921263E-17"/>
                  <c:y val="0.10136482939632546"/>
                </c:manualLayout>
              </c:layout>
              <c:spPr>
                <a:noFill/>
                <a:ln>
                  <a:noFill/>
                </a:ln>
                <a:effectLst/>
              </c:spPr>
              <c:txPr>
                <a:bodyPr rot="0" spcFirstLastPara="1" vertOverflow="ellipsis" vert="horz" wrap="square" lIns="38100" tIns="19050" rIns="38100" bIns="19050" anchor="b" anchorCtr="0">
                  <a:no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26864516129032256"/>
                      <c:h val="0.23247594050743653"/>
                    </c:manualLayout>
                  </c15:layout>
                </c:ext>
                <c:ext xmlns:c16="http://schemas.microsoft.com/office/drawing/2014/chart" uri="{C3380CC4-5D6E-409C-BE32-E72D297353CC}">
                  <c16:uniqueId val="{00000003-C0D4-47C4-8CA4-191D1FAD4BC3}"/>
                </c:ext>
              </c:extLst>
            </c:dLbl>
            <c:dLbl>
              <c:idx val="3"/>
              <c:layout>
                <c:manualLayout>
                  <c:x val="2.8673835125447925E-2"/>
                  <c:y val="0.10916179337231968"/>
                </c:manualLayout>
              </c:layout>
              <c:spPr>
                <a:noFill/>
                <a:ln>
                  <a:noFill/>
                </a:ln>
                <a:effectLst/>
              </c:spPr>
              <c:txPr>
                <a:bodyPr rot="0" spcFirstLastPara="1" vertOverflow="ellipsis" vert="horz" wrap="square" lIns="38100" tIns="19050" rIns="38100" bIns="19050" anchor="b" anchorCtr="0">
                  <a:sp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8AB-490E-ADC0-9F0E4FD14C3E}"/>
                </c:ext>
              </c:extLst>
            </c:dLbl>
            <c:spPr>
              <a:noFill/>
              <a:ln>
                <a:noFill/>
              </a:ln>
              <a:effectLst/>
            </c:spPr>
            <c:txPr>
              <a:bodyPr rot="0" spcFirstLastPara="1" vertOverflow="ellipsis" vert="horz" wrap="square" lIns="38100" tIns="19050" rIns="38100" bIns="19050" anchor="b" anchorCtr="0">
                <a:sp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cat>
            <c:strRef>
              <c:f>'CALCULS Eaux pluviales'!$D$314:$D$317</c:f>
              <c:strCache>
                <c:ptCount val="4"/>
                <c:pt idx="0">
                  <c:v>Budget planifié</c:v>
                </c:pt>
                <c:pt idx="1">
                  <c:v>Coûts prévisionnels</c:v>
                </c:pt>
                <c:pt idx="2">
                  <c:v>Coûts prévisionnels</c:v>
                </c:pt>
                <c:pt idx="3">
                  <c:v>Budget planifié</c:v>
                </c:pt>
              </c:strCache>
            </c:strRef>
          </c:cat>
          <c:val>
            <c:numRef>
              <c:f>'CALCULS Eaux pluviales'!$E$314:$E$317</c:f>
              <c:numCache>
                <c:formatCode>"$"#,##0_);[Red]\("$"#,##0\)</c:formatCode>
                <c:ptCount val="4"/>
                <c:pt idx="0">
                  <c:v>0</c:v>
                </c:pt>
                <c:pt idx="1">
                  <c:v>0</c:v>
                </c:pt>
                <c:pt idx="2">
                  <c:v>0</c:v>
                </c:pt>
                <c:pt idx="3">
                  <c:v>0</c:v>
                </c:pt>
              </c:numCache>
            </c:numRef>
          </c:val>
          <c:extLst>
            <c:ext xmlns:c16="http://schemas.microsoft.com/office/drawing/2014/chart" uri="{C3380CC4-5D6E-409C-BE32-E72D297353CC}">
              <c16:uniqueId val="{00000004-C0D4-47C4-8CA4-191D1FAD4BC3}"/>
            </c:ext>
          </c:extLst>
        </c:ser>
        <c:ser>
          <c:idx val="1"/>
          <c:order val="1"/>
          <c:tx>
            <c:strRef>
              <c:f>'CALCULS Eaux pluviales'!$F$313</c:f>
              <c:strCache>
                <c:ptCount val="1"/>
                <c:pt idx="0">
                  <c:v>Déficit de financement</c:v>
                </c:pt>
              </c:strCache>
            </c:strRef>
          </c:tx>
          <c:spPr>
            <a:solidFill>
              <a:srgbClr val="C00000"/>
            </a:solidFill>
            <a:ln>
              <a:solidFill>
                <a:srgbClr val="C00000"/>
              </a:solidFill>
            </a:ln>
            <a:effectLst/>
          </c:spPr>
          <c:invertIfNegative val="0"/>
          <c:dLbls>
            <c:dLbl>
              <c:idx val="0"/>
              <c:layout>
                <c:manualLayout>
                  <c:x val="4.559309118618237E-2"/>
                  <c:y val="-0.23565071909870916"/>
                </c:manualLayout>
              </c:layout>
              <c:spPr>
                <a:noFill/>
                <a:ln>
                  <a:noFill/>
                </a:ln>
                <a:effectLst/>
              </c:spPr>
              <c:txPr>
                <a:bodyPr rot="0" spcFirstLastPara="1" vertOverflow="ellipsis" vert="horz" wrap="square" lIns="38100" tIns="19050" rIns="38100" bIns="19050" anchor="t" anchorCtr="0">
                  <a:no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30017757457737132"/>
                      <c:h val="0.26365827078632714"/>
                    </c:manualLayout>
                  </c15:layout>
                </c:ext>
                <c:ext xmlns:c16="http://schemas.microsoft.com/office/drawing/2014/chart" uri="{C3380CC4-5D6E-409C-BE32-E72D297353CC}">
                  <c16:uniqueId val="{00000005-C0D4-47C4-8CA4-191D1FAD4BC3}"/>
                </c:ext>
              </c:extLst>
            </c:dLbl>
            <c:dLbl>
              <c:idx val="1"/>
              <c:delete val="1"/>
              <c:extLst>
                <c:ext xmlns:c15="http://schemas.microsoft.com/office/drawing/2012/chart" uri="{CE6537A1-D6FC-4f65-9D91-7224C49458BB}"/>
                <c:ext xmlns:c16="http://schemas.microsoft.com/office/drawing/2014/chart" uri="{C3380CC4-5D6E-409C-BE32-E72D297353CC}">
                  <c16:uniqueId val="{00000006-C0D4-47C4-8CA4-191D1FAD4BC3}"/>
                </c:ext>
              </c:extLst>
            </c:dLbl>
            <c:dLbl>
              <c:idx val="2"/>
              <c:delete val="1"/>
              <c:extLst>
                <c:ext xmlns:c15="http://schemas.microsoft.com/office/drawing/2012/chart" uri="{CE6537A1-D6FC-4f65-9D91-7224C49458BB}"/>
                <c:ext xmlns:c16="http://schemas.microsoft.com/office/drawing/2014/chart" uri="{C3380CC4-5D6E-409C-BE32-E72D297353CC}">
                  <c16:uniqueId val="{00000007-C0D4-47C4-8CA4-191D1FAD4BC3}"/>
                </c:ext>
              </c:extLst>
            </c:dLbl>
            <c:dLbl>
              <c:idx val="3"/>
              <c:layout>
                <c:manualLayout>
                  <c:x val="-4.3401349024920273E-2"/>
                  <c:y val="-0.64650059093490508"/>
                </c:manualLayout>
              </c:layout>
              <c:spPr>
                <a:noFill/>
                <a:ln>
                  <a:noFill/>
                </a:ln>
                <a:effectLst/>
              </c:spPr>
              <c:txPr>
                <a:bodyPr rot="0" spcFirstLastPara="1" vertOverflow="ellipsis" vert="horz" wrap="square" lIns="38100" tIns="19050" rIns="38100" bIns="19050" anchor="t" anchorCtr="0">
                  <a:no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30645285468348715"/>
                      <c:h val="0.26734816042731502"/>
                    </c:manualLayout>
                  </c15:layout>
                </c:ext>
                <c:ext xmlns:c16="http://schemas.microsoft.com/office/drawing/2014/chart" uri="{C3380CC4-5D6E-409C-BE32-E72D297353CC}">
                  <c16:uniqueId val="{00000008-C0D4-47C4-8CA4-191D1FAD4BC3}"/>
                </c:ext>
              </c:extLst>
            </c:dLbl>
            <c:spPr>
              <a:noFill/>
              <a:ln>
                <a:noFill/>
              </a:ln>
              <a:effectLst/>
            </c:spPr>
            <c:txPr>
              <a:bodyPr rot="0" spcFirstLastPara="1" vertOverflow="ellipsis" vert="horz" wrap="square" lIns="38100" tIns="19050" rIns="38100" bIns="19050" anchor="t" anchorCtr="1">
                <a:spAutoFit/>
              </a:bodyPr>
              <a:lstStyle/>
              <a:p>
                <a:pP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'CALCULS Eaux pluviales'!$D$314:$D$317</c:f>
              <c:strCache>
                <c:ptCount val="4"/>
                <c:pt idx="0">
                  <c:v>Budget planifié</c:v>
                </c:pt>
                <c:pt idx="1">
                  <c:v>Coûts prévisionnels</c:v>
                </c:pt>
                <c:pt idx="2">
                  <c:v>Coûts prévisionnels</c:v>
                </c:pt>
                <c:pt idx="3">
                  <c:v>Budget planifié</c:v>
                </c:pt>
              </c:strCache>
            </c:strRef>
          </c:cat>
          <c:val>
            <c:numRef>
              <c:f>'CALCULS Eaux pluviales'!$F$314:$F$317</c:f>
              <c:numCache>
                <c:formatCode>General</c:formatCode>
                <c:ptCount val="4"/>
                <c:pt idx="0" formatCode="&quot;$&quot;#,##0_);[Red]\(&quot;$&quot;#,##0\)">
                  <c:v>0</c:v>
                </c:pt>
                <c:pt idx="1">
                  <c:v>0</c:v>
                </c:pt>
                <c:pt idx="2">
                  <c:v>0</c:v>
                </c:pt>
                <c:pt idx="3" formatCode="&quot;$&quot;#,##0_);[Red]\(&quot;$&quot;#,##0\)">
                  <c:v>0</c:v>
                </c:pt>
              </c:numCache>
            </c:numRef>
          </c:val>
          <c:extLst>
            <c:ext xmlns:c16="http://schemas.microsoft.com/office/drawing/2014/chart" uri="{C3380CC4-5D6E-409C-BE32-E72D297353CC}">
              <c16:uniqueId val="{00000009-C0D4-47C4-8CA4-191D1FAD4BC3}"/>
            </c:ext>
          </c:extLst>
        </c:ser>
        <c:dLbls>
          <c:showLegendKey val="0"/>
          <c:showVal val="0"/>
          <c:showCatName val="0"/>
          <c:showSerName val="0"/>
          <c:showPercent val="0"/>
          <c:showBubbleSize val="0"/>
        </c:dLbls>
        <c:gapWidth val="16"/>
        <c:overlap val="100"/>
        <c:axId val="1692711760"/>
        <c:axId val="1692710096"/>
      </c:barChart>
      <c:catAx>
        <c:axId val="1692711760"/>
        <c:scaling>
          <c:orientation val="minMax"/>
        </c:scaling>
        <c:delete val="1"/>
        <c:axPos val="b"/>
        <c:numFmt formatCode="General" sourceLinked="1"/>
        <c:majorTickMark val="none"/>
        <c:minorTickMark val="none"/>
        <c:tickLblPos val="low"/>
        <c:crossAx val="1692710096"/>
        <c:crosses val="autoZero"/>
        <c:auto val="1"/>
        <c:lblAlgn val="ctr"/>
        <c:lblOffset val="100"/>
        <c:noMultiLvlLbl val="0"/>
      </c:catAx>
      <c:valAx>
        <c:axId val="1692710096"/>
        <c:scaling>
          <c:orientation val="minMax"/>
        </c:scaling>
        <c:delete val="1"/>
        <c:axPos val="l"/>
        <c:numFmt formatCode="&quot;$&quot;#,##0_);[Red]\(&quot;$&quot;#,##0\)" sourceLinked="1"/>
        <c:majorTickMark val="none"/>
        <c:minorTickMark val="none"/>
        <c:tickLblPos val="nextTo"/>
        <c:crossAx val="1692711760"/>
        <c:crosses val="autoZero"/>
        <c:crossBetween val="between"/>
      </c:valAx>
      <c:spPr>
        <a:noFill/>
        <a:ln>
          <a:noFill/>
        </a:ln>
        <a:effectLst/>
      </c:spPr>
    </c:plotArea>
    <c:plotVisOnly val="1"/>
    <c:dispBlanksAs val="gap"/>
    <c:showDLblsOverMax val="0"/>
  </c:chart>
  <c:spPr>
    <a:solidFill>
      <a:srgbClr val="FFFFFF">
        <a:alpha val="0"/>
      </a:srgb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693929387858773E-2"/>
          <c:y val="2.2002200220022004E-2"/>
          <c:w val="0.93685987638641943"/>
          <c:h val="0.95850350389369643"/>
        </c:manualLayout>
      </c:layout>
      <c:doughnut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89BA-4E5B-BDE0-A1BBBD24ED00}"/>
              </c:ext>
            </c:extLst>
          </c:dPt>
          <c:dPt>
            <c:idx val="1"/>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3-89BA-4E5B-BDE0-A1BBBD24ED0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9BA-4E5B-BDE0-A1BBBD24ED0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9BA-4E5B-BDE0-A1BBBD24ED00}"/>
              </c:ext>
            </c:extLst>
          </c:dPt>
          <c:dPt>
            <c:idx val="4"/>
            <c:bubble3D val="0"/>
            <c:spPr>
              <a:solidFill>
                <a:schemeClr val="tx2">
                  <a:lumMod val="60000"/>
                  <a:lumOff val="40000"/>
                </a:schemeClr>
              </a:solidFill>
              <a:ln w="19050">
                <a:solidFill>
                  <a:schemeClr val="lt1"/>
                </a:solidFill>
              </a:ln>
              <a:effectLst/>
            </c:spPr>
            <c:extLst>
              <c:ext xmlns:c16="http://schemas.microsoft.com/office/drawing/2014/chart" uri="{C3380CC4-5D6E-409C-BE32-E72D297353CC}">
                <c16:uniqueId val="{00000009-89BA-4E5B-BDE0-A1BBBD24ED0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89BA-4E5B-BDE0-A1BBBD24ED00}"/>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89BA-4E5B-BDE0-A1BBBD24ED00}"/>
              </c:ext>
            </c:extLst>
          </c:dPt>
          <c:dPt>
            <c:idx val="7"/>
            <c:bubble3D val="0"/>
            <c:spPr>
              <a:solidFill>
                <a:srgbClr val="FF8181"/>
              </a:solidFill>
              <a:ln w="19050">
                <a:solidFill>
                  <a:schemeClr val="lt1"/>
                </a:solidFill>
              </a:ln>
              <a:effectLst/>
            </c:spPr>
            <c:extLst>
              <c:ext xmlns:c16="http://schemas.microsoft.com/office/drawing/2014/chart" uri="{C3380CC4-5D6E-409C-BE32-E72D297353CC}">
                <c16:uniqueId val="{0000000F-89BA-4E5B-BDE0-A1BBBD24ED00}"/>
              </c:ext>
            </c:extLst>
          </c:dPt>
          <c:dPt>
            <c:idx val="8"/>
            <c:bubble3D val="0"/>
            <c:spPr>
              <a:solidFill>
                <a:srgbClr val="FFCCCC"/>
              </a:solidFill>
              <a:ln w="19050">
                <a:solidFill>
                  <a:schemeClr val="lt1"/>
                </a:solidFill>
              </a:ln>
              <a:effectLst/>
            </c:spPr>
            <c:extLst>
              <c:ext xmlns:c16="http://schemas.microsoft.com/office/drawing/2014/chart" uri="{C3380CC4-5D6E-409C-BE32-E72D297353CC}">
                <c16:uniqueId val="{00000011-89BA-4E5B-BDE0-A1BBBD24ED00}"/>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89BA-4E5B-BDE0-A1BBBD24ED00}"/>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89BA-4E5B-BDE0-A1BBBD24ED00}"/>
              </c:ext>
            </c:extLst>
          </c:dPt>
          <c:dLbls>
            <c:dLbl>
              <c:idx val="4"/>
              <c:numFmt formatCode="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9-89BA-4E5B-BDE0-A1BBBD24ED0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'CALCULS Eau potable'!$L$236:$L$246</c:f>
              <c:numCache>
                <c:formatCode>General</c:formatCode>
                <c:ptCount val="11"/>
              </c:numCache>
            </c:numRef>
          </c:cat>
          <c:val>
            <c:numRef>
              <c:f>'CALCULS Eau potable'!$M$236:$M$246</c:f>
              <c:numCache>
                <c:formatCode>#\ ##0\ "$"</c:formatCode>
                <c:ptCount val="11"/>
                <c:pt idx="0">
                  <c:v>0</c:v>
                </c:pt>
                <c:pt idx="1">
                  <c:v>0</c:v>
                </c:pt>
                <c:pt idx="4">
                  <c:v>0</c:v>
                </c:pt>
                <c:pt idx="7">
                  <c:v>0</c:v>
                </c:pt>
                <c:pt idx="8">
                  <c:v>0</c:v>
                </c:pt>
              </c:numCache>
            </c:numRef>
          </c:val>
          <c:extLst>
            <c:ext xmlns:c16="http://schemas.microsoft.com/office/drawing/2014/chart" uri="{C3380CC4-5D6E-409C-BE32-E72D297353CC}">
              <c16:uniqueId val="{00000016-89BA-4E5B-BDE0-A1BBBD24ED00}"/>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038495188101676E-4"/>
          <c:y val="1.6575448560733189E-2"/>
          <c:w val="0.97735739282589673"/>
          <c:h val="0.96529083512487812"/>
        </c:manualLayout>
      </c:layout>
      <c:doughnutChart>
        <c:varyColors val="1"/>
        <c:ser>
          <c:idx val="0"/>
          <c:order val="0"/>
          <c:dPt>
            <c:idx val="0"/>
            <c:bubble3D val="0"/>
            <c:spPr>
              <a:solidFill>
                <a:srgbClr val="2F75B5"/>
              </a:solidFill>
              <a:ln w="19050">
                <a:solidFill>
                  <a:schemeClr val="lt1"/>
                </a:solidFill>
              </a:ln>
              <a:effectLst/>
            </c:spPr>
            <c:extLst>
              <c:ext xmlns:c16="http://schemas.microsoft.com/office/drawing/2014/chart" uri="{C3380CC4-5D6E-409C-BE32-E72D297353CC}">
                <c16:uniqueId val="{00000001-80C5-4AEA-8D61-83649A7C69DC}"/>
              </c:ext>
            </c:extLst>
          </c:dPt>
          <c:dPt>
            <c:idx val="1"/>
            <c:bubble3D val="0"/>
            <c:spPr>
              <a:solidFill>
                <a:srgbClr val="7CAFDE"/>
              </a:solidFill>
              <a:ln w="19050">
                <a:solidFill>
                  <a:schemeClr val="lt1"/>
                </a:solidFill>
              </a:ln>
              <a:effectLst/>
            </c:spPr>
            <c:extLst>
              <c:ext xmlns:c16="http://schemas.microsoft.com/office/drawing/2014/chart" uri="{C3380CC4-5D6E-409C-BE32-E72D297353CC}">
                <c16:uniqueId val="{00000003-80C5-4AEA-8D61-83649A7C69DC}"/>
              </c:ext>
            </c:extLst>
          </c:dPt>
          <c:dPt>
            <c:idx val="2"/>
            <c:bubble3D val="0"/>
            <c:spPr>
              <a:solidFill>
                <a:srgbClr val="BDD7EE"/>
              </a:solidFill>
              <a:ln w="19050">
                <a:solidFill>
                  <a:schemeClr val="lt1"/>
                </a:solidFill>
              </a:ln>
              <a:effectLst/>
            </c:spPr>
            <c:extLst>
              <c:ext xmlns:c16="http://schemas.microsoft.com/office/drawing/2014/chart" uri="{C3380CC4-5D6E-409C-BE32-E72D297353CC}">
                <c16:uniqueId val="{00000005-80C5-4AEA-8D61-83649A7C69DC}"/>
              </c:ext>
            </c:extLst>
          </c:dPt>
          <c:dPt>
            <c:idx val="3"/>
            <c:bubble3D val="0"/>
            <c:spPr>
              <a:solidFill>
                <a:srgbClr val="806000"/>
              </a:solidFill>
              <a:ln w="19050">
                <a:solidFill>
                  <a:schemeClr val="lt1"/>
                </a:solidFill>
              </a:ln>
              <a:effectLst/>
            </c:spPr>
            <c:extLst>
              <c:ext xmlns:c16="http://schemas.microsoft.com/office/drawing/2014/chart" uri="{C3380CC4-5D6E-409C-BE32-E72D297353CC}">
                <c16:uniqueId val="{00000007-80C5-4AEA-8D61-83649A7C69DC}"/>
              </c:ext>
            </c:extLst>
          </c:dPt>
          <c:dPt>
            <c:idx val="4"/>
            <c:bubble3D val="0"/>
            <c:spPr>
              <a:solidFill>
                <a:srgbClr val="BF8F00"/>
              </a:solidFill>
              <a:ln w="19050">
                <a:solidFill>
                  <a:schemeClr val="lt1"/>
                </a:solidFill>
              </a:ln>
              <a:effectLst/>
            </c:spPr>
            <c:extLst>
              <c:ext xmlns:c16="http://schemas.microsoft.com/office/drawing/2014/chart" uri="{C3380CC4-5D6E-409C-BE32-E72D297353CC}">
                <c16:uniqueId val="{00000009-80C5-4AEA-8D61-83649A7C69DC}"/>
              </c:ext>
            </c:extLst>
          </c:dPt>
          <c:dPt>
            <c:idx val="5"/>
            <c:bubble3D val="0"/>
            <c:spPr>
              <a:solidFill>
                <a:srgbClr val="DEC98E"/>
              </a:solidFill>
              <a:ln w="19050">
                <a:solidFill>
                  <a:schemeClr val="lt1"/>
                </a:solidFill>
              </a:ln>
              <a:effectLst/>
            </c:spPr>
            <c:extLst>
              <c:ext xmlns:c16="http://schemas.microsoft.com/office/drawing/2014/chart" uri="{C3380CC4-5D6E-409C-BE32-E72D297353CC}">
                <c16:uniqueId val="{0000000B-80C5-4AEA-8D61-83649A7C69DC}"/>
              </c:ext>
            </c:extLst>
          </c:dPt>
          <c:dPt>
            <c:idx val="6"/>
            <c:bubble3D val="0"/>
            <c:spPr>
              <a:solidFill>
                <a:srgbClr val="1B7369"/>
              </a:solidFill>
              <a:ln w="19050">
                <a:solidFill>
                  <a:schemeClr val="lt1"/>
                </a:solidFill>
              </a:ln>
              <a:effectLst/>
            </c:spPr>
            <c:extLst>
              <c:ext xmlns:c16="http://schemas.microsoft.com/office/drawing/2014/chart" uri="{C3380CC4-5D6E-409C-BE32-E72D297353CC}">
                <c16:uniqueId val="{0000000D-80C5-4AEA-8D61-83649A7C69DC}"/>
              </c:ext>
            </c:extLst>
          </c:dPt>
          <c:dPt>
            <c:idx val="7"/>
            <c:bubble3D val="0"/>
            <c:spPr>
              <a:solidFill>
                <a:srgbClr val="2BB3A3"/>
              </a:solidFill>
              <a:ln w="19050">
                <a:solidFill>
                  <a:schemeClr val="lt1"/>
                </a:solidFill>
              </a:ln>
              <a:effectLst/>
            </c:spPr>
            <c:extLst>
              <c:ext xmlns:c16="http://schemas.microsoft.com/office/drawing/2014/chart" uri="{C3380CC4-5D6E-409C-BE32-E72D297353CC}">
                <c16:uniqueId val="{0000000F-80C5-4AEA-8D61-83649A7C69DC}"/>
              </c:ext>
            </c:extLst>
          </c:dPt>
          <c:dPt>
            <c:idx val="8"/>
            <c:bubble3D val="0"/>
            <c:spPr>
              <a:solidFill>
                <a:srgbClr val="C6F2ED"/>
              </a:solidFill>
              <a:ln w="19050">
                <a:solidFill>
                  <a:schemeClr val="lt1"/>
                </a:solidFill>
              </a:ln>
              <a:effectLst/>
            </c:spPr>
            <c:extLst>
              <c:ext xmlns:c16="http://schemas.microsoft.com/office/drawing/2014/chart" uri="{C3380CC4-5D6E-409C-BE32-E72D297353CC}">
                <c16:uniqueId val="{00000011-80C5-4AEA-8D61-83649A7C69DC}"/>
              </c:ext>
            </c:extLst>
          </c:dPt>
          <c:dLbls>
            <c:dLbl>
              <c:idx val="0"/>
              <c:numFmt formatCode="0%;;" sourceLinked="0"/>
              <c:spPr>
                <a:noFill/>
                <a:ln>
                  <a:noFill/>
                </a:ln>
                <a:effectLst/>
              </c:spPr>
              <c:txPr>
                <a:bodyPr rot="0" spcFirstLastPara="1" vertOverflow="ellipsis" vert="horz" wrap="square" lIns="38100" tIns="19050" rIns="38100" bIns="19050" anchor="ctr" anchorCtr="0">
                  <a:spAutoFit/>
                </a:bodyPr>
                <a:lstStyle/>
                <a:p>
                  <a:pPr>
                    <a:defRPr sz="120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1-80C5-4AEA-8D61-83649A7C69DC}"/>
                </c:ext>
              </c:extLst>
            </c:dLbl>
            <c:dLbl>
              <c:idx val="3"/>
              <c:numFmt formatCode="0%;;" sourceLinked="0"/>
              <c:spPr>
                <a:noFill/>
                <a:ln>
                  <a:noFill/>
                </a:ln>
                <a:effectLst/>
              </c:spPr>
              <c:txPr>
                <a:bodyPr rot="0" spcFirstLastPara="1" vertOverflow="ellipsis" vert="horz" wrap="square" lIns="38100" tIns="19050" rIns="38100" bIns="19050" anchor="ctr" anchorCtr="0">
                  <a:spAutoFit/>
                </a:bodyPr>
                <a:lstStyle/>
                <a:p>
                  <a:pPr>
                    <a:defRPr sz="120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7-80C5-4AEA-8D61-83649A7C69DC}"/>
                </c:ext>
              </c:extLst>
            </c:dLbl>
            <c:dLbl>
              <c:idx val="6"/>
              <c:numFmt formatCode="0%;;" sourceLinked="0"/>
              <c:spPr>
                <a:noFill/>
                <a:ln>
                  <a:noFill/>
                </a:ln>
                <a:effectLst/>
              </c:spPr>
              <c:txPr>
                <a:bodyPr rot="0" spcFirstLastPara="1" vertOverflow="ellipsis" vert="horz" wrap="square" lIns="38100" tIns="19050" rIns="38100" bIns="19050" anchor="ctr" anchorCtr="0">
                  <a:noAutofit/>
                </a:bodyPr>
                <a:lstStyle/>
                <a:p>
                  <a:pPr>
                    <a:defRPr sz="120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D-80C5-4AEA-8D61-83649A7C69DC}"/>
                </c:ext>
              </c:extLst>
            </c:dLbl>
            <c:dLbl>
              <c:idx val="7"/>
              <c:layout>
                <c:manualLayout>
                  <c:x val="-3.3333333333333333E-2"/>
                  <c:y val="-1.646089823794942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80C5-4AEA-8D61-83649A7C69DC}"/>
                </c:ext>
              </c:extLst>
            </c:dLbl>
            <c:dLbl>
              <c:idx val="8"/>
              <c:layout>
                <c:manualLayout>
                  <c:x val="5.5555555555555552E-2"/>
                  <c:y val="-3.29217964758988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1-80C5-4AEA-8D61-83649A7C69DC}"/>
                </c:ext>
              </c:extLst>
            </c:dLbl>
            <c:numFmt formatCode="0%;;" sourceLinked="0"/>
            <c:spPr>
              <a:noFill/>
              <a:ln>
                <a:noFill/>
              </a:ln>
              <a:effectLst/>
            </c:spPr>
            <c:txPr>
              <a:bodyPr rot="0" spcFirstLastPara="1" vertOverflow="ellipsis" vert="horz" wrap="square" lIns="38100" tIns="19050" rIns="38100" bIns="19050" anchor="ctr" anchorCtr="0">
                <a:spAutoFit/>
              </a:bodyPr>
              <a:lstStyle/>
              <a:p>
                <a:pPr>
                  <a:defRPr sz="1200" b="0" i="0" u="none" strike="noStrike" kern="1200" baseline="0">
                    <a:solidFill>
                      <a:schemeClr val="tx2">
                        <a:lumMod val="75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'CALCULS Eau'!$D$17:$D$25</c:f>
              <c:numCache>
                <c:formatCode>#\ ##0\ "$"</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80C5-4AEA-8D61-83649A7C69DC}"/>
            </c:ext>
          </c:extLst>
        </c:ser>
        <c:dLbls>
          <c:showLegendKey val="0"/>
          <c:showVal val="0"/>
          <c:showCatName val="0"/>
          <c:showSerName val="0"/>
          <c:showPercent val="0"/>
          <c:showBubbleSize val="0"/>
          <c:showLeaderLines val="1"/>
        </c:dLbls>
        <c:firstSliceAng val="0"/>
        <c:holeSize val="51"/>
      </c:doughnutChart>
      <c:spPr>
        <a:solidFill>
          <a:schemeClr val="bg1">
            <a:alpha val="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930083892887622"/>
          <c:y val="6.3291139240506333E-2"/>
          <c:w val="0.80250620967294228"/>
          <c:h val="0.79895999753533065"/>
        </c:manualLayout>
      </c:layout>
      <c:barChart>
        <c:barDir val="col"/>
        <c:grouping val="stacked"/>
        <c:varyColors val="0"/>
        <c:ser>
          <c:idx val="0"/>
          <c:order val="0"/>
          <c:tx>
            <c:strRef>
              <c:f>'CALCULS Eau'!$C$180</c:f>
              <c:strCache>
                <c:ptCount val="1"/>
                <c:pt idx="0">
                  <c:v>Exploitation / Entretien</c:v>
                </c:pt>
              </c:strCache>
            </c:strRef>
          </c:tx>
          <c:spPr>
            <a:solidFill>
              <a:schemeClr val="accent5">
                <a:lumMod val="75000"/>
              </a:schemeClr>
            </a:solidFill>
            <a:ln>
              <a:noFill/>
            </a:ln>
            <a:effectLst/>
          </c:spPr>
          <c:invertIfNegative val="0"/>
          <c:cat>
            <c:numRef>
              <c:f>'CALCULS Eau'!$D$170:$M$170</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'CALCULS Eau'!$D$180:$M$180</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6A0-4898-8F00-BB0546F4406A}"/>
            </c:ext>
          </c:extLst>
        </c:ser>
        <c:ser>
          <c:idx val="4"/>
          <c:order val="1"/>
          <c:tx>
            <c:strRef>
              <c:f>'CALCULS Eau'!$C$181</c:f>
              <c:strCache>
                <c:ptCount val="1"/>
                <c:pt idx="0">
                  <c:v>Renouvellement</c:v>
                </c:pt>
              </c:strCache>
            </c:strRef>
          </c:tx>
          <c:spPr>
            <a:solidFill>
              <a:srgbClr val="EEB500"/>
            </a:solidFill>
            <a:ln>
              <a:noFill/>
            </a:ln>
            <a:effectLst/>
          </c:spPr>
          <c:invertIfNegative val="0"/>
          <c:cat>
            <c:numRef>
              <c:f>'CALCULS Eau'!$D$170:$M$170</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'CALCULS Eau'!$D$181:$M$181</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06A0-4898-8F00-BB0546F4406A}"/>
            </c:ext>
          </c:extLst>
        </c:ser>
        <c:ser>
          <c:idx val="6"/>
          <c:order val="2"/>
          <c:tx>
            <c:strRef>
              <c:f>'CALCULS Eau'!$C$182</c:f>
              <c:strCache>
                <c:ptCount val="1"/>
                <c:pt idx="0">
                  <c:v>Acquisition / Disposition</c:v>
                </c:pt>
              </c:strCache>
            </c:strRef>
          </c:tx>
          <c:spPr>
            <a:solidFill>
              <a:schemeClr val="accent2">
                <a:lumMod val="75000"/>
              </a:schemeClr>
            </a:solidFill>
            <a:ln>
              <a:noFill/>
            </a:ln>
            <a:effectLst/>
          </c:spPr>
          <c:invertIfNegative val="0"/>
          <c:cat>
            <c:numRef>
              <c:f>'CALCULS Eau'!$D$170:$M$170</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'CALCULS Eau'!$D$182:$M$182</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06A0-4898-8F00-BB0546F4406A}"/>
            </c:ext>
          </c:extLst>
        </c:ser>
        <c:dLbls>
          <c:showLegendKey val="0"/>
          <c:showVal val="0"/>
          <c:showCatName val="0"/>
          <c:showSerName val="0"/>
          <c:showPercent val="0"/>
          <c:showBubbleSize val="0"/>
        </c:dLbls>
        <c:gapWidth val="81"/>
        <c:overlap val="100"/>
        <c:axId val="1704784576"/>
        <c:axId val="1704796224"/>
      </c:barChart>
      <c:lineChart>
        <c:grouping val="standard"/>
        <c:varyColors val="0"/>
        <c:ser>
          <c:idx val="1"/>
          <c:order val="3"/>
          <c:tx>
            <c:strRef>
              <c:f>'CALCULS Eau'!$C$171</c:f>
              <c:strCache>
                <c:ptCount val="1"/>
                <c:pt idx="0">
                  <c:v>Budget actuel</c:v>
                </c:pt>
              </c:strCache>
            </c:strRef>
          </c:tx>
          <c:spPr>
            <a:ln w="19050" cap="rnd">
              <a:solidFill>
                <a:schemeClr val="accent5">
                  <a:lumMod val="50000"/>
                </a:schemeClr>
              </a:solidFill>
              <a:round/>
            </a:ln>
            <a:effectLst/>
          </c:spPr>
          <c:marker>
            <c:symbol val="none"/>
          </c:marker>
          <c:cat>
            <c:numRef>
              <c:f>'CALCULS Eau'!$D$170:$M$170</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'CALCULS Eau'!$D$171:$M$171</c:f>
              <c:numCache>
                <c:formatCode>#\ ##0\ "$"</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3-06A0-4898-8F00-BB0546F4406A}"/>
            </c:ext>
          </c:extLst>
        </c:ser>
        <c:dLbls>
          <c:showLegendKey val="0"/>
          <c:showVal val="0"/>
          <c:showCatName val="0"/>
          <c:showSerName val="0"/>
          <c:showPercent val="0"/>
          <c:showBubbleSize val="0"/>
        </c:dLbls>
        <c:marker val="1"/>
        <c:smooth val="0"/>
        <c:axId val="1704784576"/>
        <c:axId val="1704796224"/>
      </c:lineChart>
      <c:catAx>
        <c:axId val="1704784576"/>
        <c:scaling>
          <c:orientation val="minMax"/>
        </c:scaling>
        <c:delete val="0"/>
        <c:axPos val="b"/>
        <c:numFmt formatCode="General" sourceLinked="1"/>
        <c:majorTickMark val="none"/>
        <c:minorTickMark val="none"/>
        <c:tickLblPos val="nextTo"/>
        <c:spPr>
          <a:noFill/>
          <a:ln w="9525" cap="flat" cmpd="sng" algn="ctr">
            <a:solidFill>
              <a:schemeClr val="accent5">
                <a:lumMod val="50000"/>
              </a:schemeClr>
            </a:solidFill>
            <a:round/>
          </a:ln>
          <a:effectLst/>
        </c:spPr>
        <c:txPr>
          <a:bodyPr rot="-60000000" spcFirstLastPara="1" vertOverflow="ellipsis" vert="horz" wrap="square" anchor="ctr" anchorCtr="1"/>
          <a:lstStyle/>
          <a:p>
            <a:pPr>
              <a:defRPr sz="10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crossAx val="1704796224"/>
        <c:crosses val="autoZero"/>
        <c:auto val="1"/>
        <c:lblAlgn val="ctr"/>
        <c:lblOffset val="100"/>
        <c:noMultiLvlLbl val="0"/>
      </c:catAx>
      <c:valAx>
        <c:axId val="1704796224"/>
        <c:scaling>
          <c:orientation val="minMax"/>
        </c:scaling>
        <c:delete val="0"/>
        <c:axPos val="l"/>
        <c:majorGridlines>
          <c:spPr>
            <a:ln w="6350" cap="flat" cmpd="sng" algn="ctr">
              <a:solidFill>
                <a:schemeClr val="tx2">
                  <a:lumMod val="40000"/>
                  <a:lumOff val="60000"/>
                </a:schemeClr>
              </a:solidFill>
              <a:round/>
            </a:ln>
            <a:effectLst/>
          </c:spPr>
        </c:majorGridlines>
        <c:numFmt formatCode="#\ ###\ ##0\ &quot;$&quot;" sourceLinked="0"/>
        <c:majorTickMark val="none"/>
        <c:minorTickMark val="none"/>
        <c:tickLblPos val="nextTo"/>
        <c:spPr>
          <a:noFill/>
          <a:ln>
            <a:solidFill>
              <a:schemeClr val="accent5">
                <a:lumMod val="50000"/>
              </a:schemeClr>
            </a:solidFill>
          </a:ln>
          <a:effectLst/>
        </c:spPr>
        <c:txPr>
          <a:bodyPr rot="-60000000" spcFirstLastPara="1" vertOverflow="ellipsis" vert="horz" wrap="square" anchor="ctr" anchorCtr="1"/>
          <a:lstStyle/>
          <a:p>
            <a:pPr>
              <a:defRPr sz="10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crossAx val="1704784576"/>
        <c:crosses val="autoZero"/>
        <c:crossBetween val="between"/>
      </c:valAx>
      <c:spPr>
        <a:solidFill>
          <a:srgbClr val="DEE3EA"/>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442671061135021E-2"/>
          <c:y val="2.2096700722327067E-2"/>
          <c:w val="0.92077211484334087"/>
          <c:h val="0.97784516604845884"/>
        </c:manualLayout>
      </c:layout>
      <c:pieChart>
        <c:varyColors val="1"/>
        <c:ser>
          <c:idx val="0"/>
          <c:order val="0"/>
          <c:dPt>
            <c:idx val="0"/>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1-4847-42DF-A53F-AB328BED7AC0}"/>
              </c:ext>
            </c:extLst>
          </c:dPt>
          <c:dPt>
            <c:idx val="1"/>
            <c:bubble3D val="0"/>
            <c:spPr>
              <a:solidFill>
                <a:srgbClr val="EEB500"/>
              </a:solidFill>
              <a:ln w="19050">
                <a:solidFill>
                  <a:schemeClr val="lt1"/>
                </a:solidFill>
              </a:ln>
              <a:effectLst/>
            </c:spPr>
            <c:extLst>
              <c:ext xmlns:c16="http://schemas.microsoft.com/office/drawing/2014/chart" uri="{C3380CC4-5D6E-409C-BE32-E72D297353CC}">
                <c16:uniqueId val="{00000003-4847-42DF-A53F-AB328BED7AC0}"/>
              </c:ext>
            </c:extLst>
          </c:dPt>
          <c:dPt>
            <c:idx val="2"/>
            <c:bubble3D val="0"/>
            <c:spPr>
              <a:solidFill>
                <a:schemeClr val="accent2">
                  <a:lumMod val="75000"/>
                </a:schemeClr>
              </a:solidFill>
              <a:ln w="19050">
                <a:solidFill>
                  <a:schemeClr val="lt1"/>
                </a:solidFill>
              </a:ln>
              <a:effectLst/>
            </c:spPr>
            <c:extLst>
              <c:ext xmlns:c16="http://schemas.microsoft.com/office/drawing/2014/chart" uri="{C3380CC4-5D6E-409C-BE32-E72D297353CC}">
                <c16:uniqueId val="{00000005-4847-42DF-A53F-AB328BED7AC0}"/>
              </c:ext>
            </c:extLst>
          </c:dPt>
          <c:dLbls>
            <c:dLbl>
              <c:idx val="0"/>
              <c:layout>
                <c:manualLayout>
                  <c:x val="-3.3519775545298149E-2"/>
                  <c:y val="0.11688907307639175"/>
                </c:manualLayout>
              </c:layout>
              <c:numFmt formatCode="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bg1"/>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44076628352490421"/>
                      <c:h val="0.30877192982456142"/>
                    </c:manualLayout>
                  </c15:layout>
                </c:ext>
                <c:ext xmlns:c16="http://schemas.microsoft.com/office/drawing/2014/chart" uri="{C3380CC4-5D6E-409C-BE32-E72D297353CC}">
                  <c16:uniqueId val="{00000001-4847-42DF-A53F-AB328BED7AC0}"/>
                </c:ext>
              </c:extLst>
            </c:dLbl>
            <c:dLbl>
              <c:idx val="1"/>
              <c:layout>
                <c:manualLayout>
                  <c:x val="-1.3240413913778089E-2"/>
                  <c:y val="-9.6543721508495647E-2"/>
                </c:manualLayout>
              </c:layout>
              <c:numFmt formatCode="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43639786406009595"/>
                      <c:h val="0.29473684210526313"/>
                    </c:manualLayout>
                  </c15:layout>
                </c:ext>
                <c:ext xmlns:c16="http://schemas.microsoft.com/office/drawing/2014/chart" uri="{C3380CC4-5D6E-409C-BE32-E72D297353CC}">
                  <c16:uniqueId val="{00000003-4847-42DF-A53F-AB328BED7AC0}"/>
                </c:ext>
              </c:extLst>
            </c:dLbl>
            <c:dLbl>
              <c:idx val="2"/>
              <c:layout>
                <c:manualLayout>
                  <c:x val="4.2268078559145612E-2"/>
                  <c:y val="-0.23109490261085786"/>
                </c:manualLayout>
              </c:layout>
              <c:numFmt formatCode="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bg1"/>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48268259571001892"/>
                      <c:h val="0.36491228070175441"/>
                    </c:manualLayout>
                  </c15:layout>
                </c:ext>
                <c:ext xmlns:c16="http://schemas.microsoft.com/office/drawing/2014/chart" uri="{C3380CC4-5D6E-409C-BE32-E72D297353CC}">
                  <c16:uniqueId val="{00000005-4847-42DF-A53F-AB328BED7AC0}"/>
                </c:ext>
              </c:extLst>
            </c:dLbl>
            <c:numFmt formatCode="0%;;" sourceLinked="0"/>
            <c:spPr>
              <a:noFill/>
              <a:ln>
                <a:noFill/>
              </a:ln>
              <a:effectLst/>
            </c:spPr>
            <c:txPr>
              <a:bodyPr rot="0" spcFirstLastPara="1" vertOverflow="ellipsis" vert="horz" wrap="square" lIns="38100" tIns="19050" rIns="38100" bIns="19050" anchor="ctr" anchorCtr="0">
                <a:spAutoFit/>
              </a:bodyPr>
              <a:lstStyle/>
              <a:p>
                <a:pPr algn="ctr">
                  <a:defRPr sz="1000" b="0" i="0" u="none" strike="noStrike" kern="1200" baseline="0">
                    <a:solidFill>
                      <a:schemeClr val="bg1"/>
                    </a:solidFill>
                    <a:latin typeface="Bahnschrift Light SemiCondensed" panose="020B0502040204020203" pitchFamily="34" charset="0"/>
                    <a:ea typeface="+mn-ea"/>
                    <a:cs typeface="+mn-cs"/>
                  </a:defRPr>
                </a:pPr>
                <a:endParaRPr lang="fr-FR"/>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'CALCULS Eau'!$L$186:$L$188</c:f>
              <c:strCache>
                <c:ptCount val="3"/>
                <c:pt idx="0">
                  <c:v>Exploitation / Entretien</c:v>
                </c:pt>
                <c:pt idx="1">
                  <c:v>Renouvellement</c:v>
                </c:pt>
                <c:pt idx="2">
                  <c:v>Acquisition / Disposition</c:v>
                </c:pt>
              </c:strCache>
            </c:strRef>
          </c:cat>
          <c:val>
            <c:numRef>
              <c:f>'CALCULS Eau'!$M$186:$M$188</c:f>
              <c:numCache>
                <c:formatCode>#\ ##0\ "$"</c:formatCode>
                <c:ptCount val="3"/>
                <c:pt idx="0">
                  <c:v>0</c:v>
                </c:pt>
                <c:pt idx="1">
                  <c:v>0</c:v>
                </c:pt>
                <c:pt idx="2">
                  <c:v>0</c:v>
                </c:pt>
              </c:numCache>
            </c:numRef>
          </c:val>
          <c:extLst>
            <c:ext xmlns:c16="http://schemas.microsoft.com/office/drawing/2014/chart" uri="{C3380CC4-5D6E-409C-BE32-E72D297353CC}">
              <c16:uniqueId val="{00000006-4847-42DF-A53F-AB328BED7AC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95412300432523"/>
          <c:y val="6.3291139240506333E-2"/>
          <c:w val="0.82172861108410844"/>
          <c:h val="0.79836292326577052"/>
        </c:manualLayout>
      </c:layout>
      <c:barChart>
        <c:barDir val="col"/>
        <c:grouping val="stacked"/>
        <c:varyColors val="0"/>
        <c:ser>
          <c:idx val="0"/>
          <c:order val="0"/>
          <c:tx>
            <c:strRef>
              <c:f>'CALCULS Eau'!$C$120</c:f>
              <c:strCache>
                <c:ptCount val="1"/>
                <c:pt idx="0">
                  <c:v>Service de l'eau potable</c:v>
                </c:pt>
              </c:strCache>
            </c:strRef>
          </c:tx>
          <c:spPr>
            <a:solidFill>
              <a:srgbClr val="3484CC"/>
            </a:solidFill>
            <a:ln>
              <a:noFill/>
            </a:ln>
            <a:effectLst/>
          </c:spPr>
          <c:invertIfNegative val="0"/>
          <c:cat>
            <c:numRef>
              <c:f>'CALCULS Eau'!$D$170:$M$170</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'CALCULS Eau'!$D$134:$M$134</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ED2-43E8-9450-BE0CF3CEBD28}"/>
            </c:ext>
          </c:extLst>
        </c:ser>
        <c:ser>
          <c:idx val="3"/>
          <c:order val="1"/>
          <c:tx>
            <c:strRef>
              <c:f>'CALCULS Eau'!$C$136</c:f>
              <c:strCache>
                <c:ptCount val="1"/>
                <c:pt idx="0">
                  <c:v>Service des eaux usées</c:v>
                </c:pt>
              </c:strCache>
            </c:strRef>
          </c:tx>
          <c:spPr>
            <a:solidFill>
              <a:srgbClr val="967200"/>
            </a:solidFill>
            <a:ln>
              <a:noFill/>
            </a:ln>
            <a:effectLst/>
          </c:spPr>
          <c:invertIfNegative val="0"/>
          <c:cat>
            <c:numRef>
              <c:f>'CALCULS Eau'!$D$170:$M$170</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'CALCULS Eau'!$D$150:$M$150</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7ED2-43E8-9450-BE0CF3CEBD28}"/>
            </c:ext>
          </c:extLst>
        </c:ser>
        <c:ser>
          <c:idx val="4"/>
          <c:order val="2"/>
          <c:tx>
            <c:strRef>
              <c:f>'CALCULS Eau'!$C$152</c:f>
              <c:strCache>
                <c:ptCount val="1"/>
                <c:pt idx="0">
                  <c:v>Service des eaux pluviales</c:v>
                </c:pt>
              </c:strCache>
            </c:strRef>
          </c:tx>
          <c:spPr>
            <a:solidFill>
              <a:srgbClr val="24988A"/>
            </a:solidFill>
            <a:ln>
              <a:noFill/>
            </a:ln>
            <a:effectLst/>
          </c:spPr>
          <c:invertIfNegative val="0"/>
          <c:cat>
            <c:numRef>
              <c:f>'CALCULS Eau'!$D$170:$M$170</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'CALCULS Eau'!$D$166:$M$166</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7ED2-43E8-9450-BE0CF3CEBD28}"/>
            </c:ext>
          </c:extLst>
        </c:ser>
        <c:dLbls>
          <c:showLegendKey val="0"/>
          <c:showVal val="0"/>
          <c:showCatName val="0"/>
          <c:showSerName val="0"/>
          <c:showPercent val="0"/>
          <c:showBubbleSize val="0"/>
        </c:dLbls>
        <c:gapWidth val="81"/>
        <c:overlap val="100"/>
        <c:axId val="1704784576"/>
        <c:axId val="1704796224"/>
      </c:barChart>
      <c:lineChart>
        <c:grouping val="standard"/>
        <c:varyColors val="0"/>
        <c:ser>
          <c:idx val="1"/>
          <c:order val="3"/>
          <c:tx>
            <c:strRef>
              <c:f>'CALCULS Eau'!$C$171</c:f>
              <c:strCache>
                <c:ptCount val="1"/>
                <c:pt idx="0">
                  <c:v>Budget actuel</c:v>
                </c:pt>
              </c:strCache>
            </c:strRef>
          </c:tx>
          <c:spPr>
            <a:ln w="15875" cap="rnd">
              <a:solidFill>
                <a:schemeClr val="tx2">
                  <a:lumMod val="75000"/>
                </a:schemeClr>
              </a:solidFill>
              <a:round/>
            </a:ln>
            <a:effectLst/>
          </c:spPr>
          <c:marker>
            <c:symbol val="none"/>
          </c:marker>
          <c:cat>
            <c:numRef>
              <c:f>'CALCULS Eau'!$D$170:$M$170</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'CALCULS Eau'!$D$171:$M$171</c:f>
              <c:numCache>
                <c:formatCode>#\ ##0\ "$"</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3-7ED2-43E8-9450-BE0CF3CEBD28}"/>
            </c:ext>
          </c:extLst>
        </c:ser>
        <c:dLbls>
          <c:showLegendKey val="0"/>
          <c:showVal val="0"/>
          <c:showCatName val="0"/>
          <c:showSerName val="0"/>
          <c:showPercent val="0"/>
          <c:showBubbleSize val="0"/>
        </c:dLbls>
        <c:marker val="1"/>
        <c:smooth val="0"/>
        <c:axId val="1704784576"/>
        <c:axId val="1704796224"/>
      </c:lineChart>
      <c:catAx>
        <c:axId val="1704784576"/>
        <c:scaling>
          <c:orientation val="minMax"/>
        </c:scaling>
        <c:delete val="0"/>
        <c:axPos val="b"/>
        <c:numFmt formatCode="General" sourceLinked="1"/>
        <c:majorTickMark val="none"/>
        <c:minorTickMark val="none"/>
        <c:tickLblPos val="nextTo"/>
        <c:spPr>
          <a:noFill/>
          <a:ln w="9525" cap="flat" cmpd="sng" algn="ctr">
            <a:solidFill>
              <a:schemeClr val="accent5">
                <a:lumMod val="50000"/>
              </a:schemeClr>
            </a:solidFill>
            <a:round/>
          </a:ln>
          <a:effectLst/>
        </c:spPr>
        <c:txPr>
          <a:bodyPr rot="-60000000" spcFirstLastPara="1" vertOverflow="ellipsis" vert="horz" wrap="square" anchor="ctr" anchorCtr="1"/>
          <a:lstStyle/>
          <a:p>
            <a:pPr>
              <a:defRPr sz="10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crossAx val="1704796224"/>
        <c:crosses val="autoZero"/>
        <c:auto val="1"/>
        <c:lblAlgn val="ctr"/>
        <c:lblOffset val="100"/>
        <c:noMultiLvlLbl val="0"/>
      </c:catAx>
      <c:valAx>
        <c:axId val="1704796224"/>
        <c:scaling>
          <c:orientation val="minMax"/>
        </c:scaling>
        <c:delete val="0"/>
        <c:axPos val="l"/>
        <c:majorGridlines>
          <c:spPr>
            <a:ln w="9525" cap="flat" cmpd="sng" algn="ctr">
              <a:solidFill>
                <a:schemeClr val="tx2">
                  <a:lumMod val="40000"/>
                  <a:lumOff val="60000"/>
                </a:schemeClr>
              </a:solidFill>
              <a:round/>
            </a:ln>
            <a:effectLst/>
          </c:spPr>
        </c:majorGridlines>
        <c:numFmt formatCode="#\ ###\ ##0\ &quot;$&quot;" sourceLinked="0"/>
        <c:majorTickMark val="none"/>
        <c:minorTickMark val="none"/>
        <c:tickLblPos val="nextTo"/>
        <c:spPr>
          <a:noFill/>
          <a:ln>
            <a:solidFill>
              <a:schemeClr val="accent5">
                <a:lumMod val="50000"/>
              </a:schemeClr>
            </a:solidFill>
          </a:ln>
          <a:effectLst/>
        </c:spPr>
        <c:txPr>
          <a:bodyPr rot="-60000000" spcFirstLastPara="1" vertOverflow="ellipsis" vert="horz" wrap="square" anchor="ctr" anchorCtr="1"/>
          <a:lstStyle/>
          <a:p>
            <a:pPr>
              <a:defRPr sz="10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crossAx val="1704784576"/>
        <c:crosses val="autoZero"/>
        <c:crossBetween val="between"/>
      </c:valAx>
      <c:spPr>
        <a:solidFill>
          <a:srgbClr val="DEE3EA"/>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442671061135021E-2"/>
          <c:y val="2.2096700722327067E-2"/>
          <c:w val="0.92077211484334087"/>
          <c:h val="0.97784516604845884"/>
        </c:manualLayout>
      </c:layout>
      <c:pieChart>
        <c:varyColors val="1"/>
        <c:ser>
          <c:idx val="0"/>
          <c:order val="0"/>
          <c:dPt>
            <c:idx val="0"/>
            <c:bubble3D val="0"/>
            <c:spPr>
              <a:solidFill>
                <a:srgbClr val="3484CC"/>
              </a:solidFill>
              <a:ln w="19050">
                <a:solidFill>
                  <a:schemeClr val="lt1"/>
                </a:solidFill>
              </a:ln>
              <a:effectLst/>
            </c:spPr>
            <c:extLst>
              <c:ext xmlns:c16="http://schemas.microsoft.com/office/drawing/2014/chart" uri="{C3380CC4-5D6E-409C-BE32-E72D297353CC}">
                <c16:uniqueId val="{00000001-8C6B-4AC2-A492-D338038718AA}"/>
              </c:ext>
            </c:extLst>
          </c:dPt>
          <c:dPt>
            <c:idx val="1"/>
            <c:bubble3D val="0"/>
            <c:spPr>
              <a:solidFill>
                <a:srgbClr val="967200"/>
              </a:solidFill>
              <a:ln w="19050">
                <a:solidFill>
                  <a:schemeClr val="lt1"/>
                </a:solidFill>
              </a:ln>
              <a:effectLst/>
            </c:spPr>
            <c:extLst>
              <c:ext xmlns:c16="http://schemas.microsoft.com/office/drawing/2014/chart" uri="{C3380CC4-5D6E-409C-BE32-E72D297353CC}">
                <c16:uniqueId val="{00000003-8C6B-4AC2-A492-D338038718AA}"/>
              </c:ext>
            </c:extLst>
          </c:dPt>
          <c:dPt>
            <c:idx val="2"/>
            <c:bubble3D val="0"/>
            <c:spPr>
              <a:solidFill>
                <a:srgbClr val="24988A"/>
              </a:solidFill>
              <a:ln w="19050">
                <a:solidFill>
                  <a:schemeClr val="lt1"/>
                </a:solidFill>
              </a:ln>
              <a:effectLst/>
            </c:spPr>
            <c:extLst>
              <c:ext xmlns:c16="http://schemas.microsoft.com/office/drawing/2014/chart" uri="{C3380CC4-5D6E-409C-BE32-E72D297353CC}">
                <c16:uniqueId val="{00000005-8C6B-4AC2-A492-D338038718AA}"/>
              </c:ext>
            </c:extLst>
          </c:dPt>
          <c:dLbls>
            <c:dLbl>
              <c:idx val="0"/>
              <c:numFmt formatCode="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bg1"/>
                      </a:solidFill>
                      <a:latin typeface="Bahnschrift Light SemiCondensed" panose="020B0502040204020203" pitchFamily="34" charset="0"/>
                      <a:ea typeface="+mn-ea"/>
                      <a:cs typeface="+mn-cs"/>
                    </a:defRPr>
                  </a:pPr>
                  <a:endParaRPr lang="fr-FR"/>
                </a:p>
              </c:txPr>
              <c:dLblPos val="inEnd"/>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1-8C6B-4AC2-A492-D338038718AA}"/>
                </c:ext>
              </c:extLst>
            </c:dLbl>
            <c:dLbl>
              <c:idx val="1"/>
              <c:numFmt formatCode="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bg1"/>
                      </a:solidFill>
                      <a:latin typeface="Bahnschrift Light SemiCondensed" panose="020B0502040204020203" pitchFamily="34" charset="0"/>
                      <a:ea typeface="+mn-ea"/>
                      <a:cs typeface="+mn-cs"/>
                    </a:defRPr>
                  </a:pPr>
                  <a:endParaRPr lang="fr-FR"/>
                </a:p>
              </c:txPr>
              <c:dLblPos val="inEnd"/>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3-8C6B-4AC2-A492-D338038718AA}"/>
                </c:ext>
              </c:extLst>
            </c:dLbl>
            <c:dLbl>
              <c:idx val="2"/>
              <c:layout>
                <c:manualLayout>
                  <c:x val="-2.8254022655691401E-2"/>
                  <c:y val="5.9294621276800415E-2"/>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bg1"/>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2608607271803296"/>
                      <c:h val="0.34708140070028454"/>
                    </c:manualLayout>
                  </c15:layout>
                </c:ext>
                <c:ext xmlns:c16="http://schemas.microsoft.com/office/drawing/2014/chart" uri="{C3380CC4-5D6E-409C-BE32-E72D297353CC}">
                  <c16:uniqueId val="{00000005-8C6B-4AC2-A492-D338038718A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Bahnschrift Light SemiCondensed" panose="020B0502040204020203" pitchFamily="34" charset="0"/>
                    <a:ea typeface="+mn-ea"/>
                    <a:cs typeface="+mn-cs"/>
                  </a:defRPr>
                </a:pPr>
                <a:endParaRPr lang="fr-FR"/>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'CALCULS Eau'!$I$186:$I$188</c:f>
              <c:strCache>
                <c:ptCount val="3"/>
                <c:pt idx="0">
                  <c:v>Eau potable</c:v>
                </c:pt>
                <c:pt idx="1">
                  <c:v>Eaux usées</c:v>
                </c:pt>
                <c:pt idx="2">
                  <c:v>Eaux pluviales</c:v>
                </c:pt>
              </c:strCache>
            </c:strRef>
          </c:cat>
          <c:val>
            <c:numRef>
              <c:f>'CALCULS Eau'!$J$186:$J$188</c:f>
              <c:numCache>
                <c:formatCode>#\ ##0\ "$"</c:formatCode>
                <c:ptCount val="3"/>
                <c:pt idx="0">
                  <c:v>0</c:v>
                </c:pt>
                <c:pt idx="1">
                  <c:v>0</c:v>
                </c:pt>
                <c:pt idx="2">
                  <c:v>0</c:v>
                </c:pt>
              </c:numCache>
            </c:numRef>
          </c:val>
          <c:extLst>
            <c:ext xmlns:c16="http://schemas.microsoft.com/office/drawing/2014/chart" uri="{C3380CC4-5D6E-409C-BE32-E72D297353CC}">
              <c16:uniqueId val="{00000006-8C6B-4AC2-A492-D338038718A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92533348585664E-2"/>
          <c:y val="5.4841473864610114E-2"/>
          <c:w val="0.97048826523803167"/>
          <c:h val="0.92366595084705316"/>
        </c:manualLayout>
      </c:layout>
      <c:barChart>
        <c:barDir val="col"/>
        <c:grouping val="percentStacked"/>
        <c:varyColors val="0"/>
        <c:ser>
          <c:idx val="0"/>
          <c:order val="0"/>
          <c:tx>
            <c:strRef>
              <c:f>'CALCULS Eau'!$D$105</c:f>
              <c:strCache>
                <c:ptCount val="1"/>
                <c:pt idx="0">
                  <c:v>Inconnu</c:v>
                </c:pt>
              </c:strCache>
            </c:strRef>
          </c:tx>
          <c:spPr>
            <a:solidFill>
              <a:schemeClr val="bg2">
                <a:lumMod val="75000"/>
              </a:schemeClr>
            </a:solidFill>
            <a:ln w="6350">
              <a:solidFill>
                <a:schemeClr val="bg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Eau'!$C$106:$C$113</c:f>
              <c:strCache>
                <c:ptCount val="8"/>
                <c:pt idx="0">
                  <c:v>Eau potable /Linéaire</c:v>
                </c:pt>
                <c:pt idx="1">
                  <c:v>Eau potable /Ponctuel</c:v>
                </c:pt>
                <c:pt idx="3">
                  <c:v>Eaux usées /Linéaire</c:v>
                </c:pt>
                <c:pt idx="4">
                  <c:v>Eaux usées /Ponctuel</c:v>
                </c:pt>
                <c:pt idx="6">
                  <c:v>Eaux pluviales /Linéaire</c:v>
                </c:pt>
                <c:pt idx="7">
                  <c:v>Eaux pluviales /Ponctuel</c:v>
                </c:pt>
              </c:strCache>
            </c:strRef>
          </c:cat>
          <c:val>
            <c:numRef>
              <c:f>'CALCULS Eau'!$D$106:$D$113</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6DEB-405E-BCF2-1324BD21DCD7}"/>
            </c:ext>
          </c:extLst>
        </c:ser>
        <c:ser>
          <c:idx val="5"/>
          <c:order val="1"/>
          <c:tx>
            <c:strRef>
              <c:f>'CALCULS Eau'!$E$105</c:f>
              <c:strCache>
                <c:ptCount val="1"/>
                <c:pt idx="0">
                  <c:v>Très mauvais 
(E)</c:v>
                </c:pt>
              </c:strCache>
            </c:strRef>
          </c:tx>
          <c:spPr>
            <a:solidFill>
              <a:srgbClr val="D00000"/>
            </a:solidFill>
            <a:ln w="6350">
              <a:solidFill>
                <a:schemeClr val="bg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Eau'!$C$106:$C$113</c:f>
              <c:strCache>
                <c:ptCount val="8"/>
                <c:pt idx="0">
                  <c:v>Eau potable /Linéaire</c:v>
                </c:pt>
                <c:pt idx="1">
                  <c:v>Eau potable /Ponctuel</c:v>
                </c:pt>
                <c:pt idx="3">
                  <c:v>Eaux usées /Linéaire</c:v>
                </c:pt>
                <c:pt idx="4">
                  <c:v>Eaux usées /Ponctuel</c:v>
                </c:pt>
                <c:pt idx="6">
                  <c:v>Eaux pluviales /Linéaire</c:v>
                </c:pt>
                <c:pt idx="7">
                  <c:v>Eaux pluviales /Ponctuel</c:v>
                </c:pt>
              </c:strCache>
            </c:strRef>
          </c:cat>
          <c:val>
            <c:numRef>
              <c:f>'CALCULS Eau'!$E$106:$E$113</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6DEB-405E-BCF2-1324BD21DCD7}"/>
            </c:ext>
          </c:extLst>
        </c:ser>
        <c:ser>
          <c:idx val="4"/>
          <c:order val="2"/>
          <c:tx>
            <c:strRef>
              <c:f>'CALCULS Eau'!$F$105</c:f>
              <c:strCache>
                <c:ptCount val="1"/>
                <c:pt idx="0">
                  <c:v>Mauvais 
(D)</c:v>
                </c:pt>
              </c:strCache>
            </c:strRef>
          </c:tx>
          <c:spPr>
            <a:solidFill>
              <a:srgbClr val="F98007"/>
            </a:solidFill>
            <a:ln w="6350">
              <a:solidFill>
                <a:schemeClr val="bg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Eau'!$C$106:$C$113</c:f>
              <c:strCache>
                <c:ptCount val="8"/>
                <c:pt idx="0">
                  <c:v>Eau potable /Linéaire</c:v>
                </c:pt>
                <c:pt idx="1">
                  <c:v>Eau potable /Ponctuel</c:v>
                </c:pt>
                <c:pt idx="3">
                  <c:v>Eaux usées /Linéaire</c:v>
                </c:pt>
                <c:pt idx="4">
                  <c:v>Eaux usées /Ponctuel</c:v>
                </c:pt>
                <c:pt idx="6">
                  <c:v>Eaux pluviales /Linéaire</c:v>
                </c:pt>
                <c:pt idx="7">
                  <c:v>Eaux pluviales /Ponctuel</c:v>
                </c:pt>
              </c:strCache>
            </c:strRef>
          </c:cat>
          <c:val>
            <c:numRef>
              <c:f>'CALCULS Eau'!$F$106:$F$113</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2-6DEB-405E-BCF2-1324BD21DCD7}"/>
            </c:ext>
          </c:extLst>
        </c:ser>
        <c:ser>
          <c:idx val="3"/>
          <c:order val="3"/>
          <c:tx>
            <c:strRef>
              <c:f>'CALCULS Eau'!$G$105</c:f>
              <c:strCache>
                <c:ptCount val="1"/>
                <c:pt idx="0">
                  <c:v>Satisfaisant 
(C)</c:v>
                </c:pt>
              </c:strCache>
            </c:strRef>
          </c:tx>
          <c:spPr>
            <a:solidFill>
              <a:srgbClr val="FFD347"/>
            </a:solidFill>
            <a:ln w="6350">
              <a:solidFill>
                <a:schemeClr val="bg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Eau'!$C$106:$C$113</c:f>
              <c:strCache>
                <c:ptCount val="8"/>
                <c:pt idx="0">
                  <c:v>Eau potable /Linéaire</c:v>
                </c:pt>
                <c:pt idx="1">
                  <c:v>Eau potable /Ponctuel</c:v>
                </c:pt>
                <c:pt idx="3">
                  <c:v>Eaux usées /Linéaire</c:v>
                </c:pt>
                <c:pt idx="4">
                  <c:v>Eaux usées /Ponctuel</c:v>
                </c:pt>
                <c:pt idx="6">
                  <c:v>Eaux pluviales /Linéaire</c:v>
                </c:pt>
                <c:pt idx="7">
                  <c:v>Eaux pluviales /Ponctuel</c:v>
                </c:pt>
              </c:strCache>
            </c:strRef>
          </c:cat>
          <c:val>
            <c:numRef>
              <c:f>'CALCULS Eau'!$G$106:$G$113</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3-6DEB-405E-BCF2-1324BD21DCD7}"/>
            </c:ext>
          </c:extLst>
        </c:ser>
        <c:ser>
          <c:idx val="2"/>
          <c:order val="4"/>
          <c:tx>
            <c:strRef>
              <c:f>'CALCULS Eau'!$H$105</c:f>
              <c:strCache>
                <c:ptCount val="1"/>
                <c:pt idx="0">
                  <c:v>Bon 
(B)</c:v>
                </c:pt>
              </c:strCache>
            </c:strRef>
          </c:tx>
          <c:spPr>
            <a:solidFill>
              <a:srgbClr val="00B050"/>
            </a:solidFill>
            <a:ln w="6350">
              <a:solidFill>
                <a:schemeClr val="bg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Eau'!$C$106:$C$113</c:f>
              <c:strCache>
                <c:ptCount val="8"/>
                <c:pt idx="0">
                  <c:v>Eau potable /Linéaire</c:v>
                </c:pt>
                <c:pt idx="1">
                  <c:v>Eau potable /Ponctuel</c:v>
                </c:pt>
                <c:pt idx="3">
                  <c:v>Eaux usées /Linéaire</c:v>
                </c:pt>
                <c:pt idx="4">
                  <c:v>Eaux usées /Ponctuel</c:v>
                </c:pt>
                <c:pt idx="6">
                  <c:v>Eaux pluviales /Linéaire</c:v>
                </c:pt>
                <c:pt idx="7">
                  <c:v>Eaux pluviales /Ponctuel</c:v>
                </c:pt>
              </c:strCache>
            </c:strRef>
          </c:cat>
          <c:val>
            <c:numRef>
              <c:f>'CALCULS Eau'!$H$106:$H$113</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4-6DEB-405E-BCF2-1324BD21DCD7}"/>
            </c:ext>
          </c:extLst>
        </c:ser>
        <c:ser>
          <c:idx val="1"/>
          <c:order val="5"/>
          <c:tx>
            <c:strRef>
              <c:f>'CALCULS Eau'!$I$105</c:f>
              <c:strCache>
                <c:ptCount val="1"/>
                <c:pt idx="0">
                  <c:v>Très bon 
(A)</c:v>
                </c:pt>
              </c:strCache>
            </c:strRef>
          </c:tx>
          <c:spPr>
            <a:solidFill>
              <a:srgbClr val="007DDA"/>
            </a:solidFill>
            <a:ln w="6350">
              <a:solidFill>
                <a:schemeClr val="bg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Eau'!$C$106:$C$113</c:f>
              <c:strCache>
                <c:ptCount val="8"/>
                <c:pt idx="0">
                  <c:v>Eau potable /Linéaire</c:v>
                </c:pt>
                <c:pt idx="1">
                  <c:v>Eau potable /Ponctuel</c:v>
                </c:pt>
                <c:pt idx="3">
                  <c:v>Eaux usées /Linéaire</c:v>
                </c:pt>
                <c:pt idx="4">
                  <c:v>Eaux usées /Ponctuel</c:v>
                </c:pt>
                <c:pt idx="6">
                  <c:v>Eaux pluviales /Linéaire</c:v>
                </c:pt>
                <c:pt idx="7">
                  <c:v>Eaux pluviales /Ponctuel</c:v>
                </c:pt>
              </c:strCache>
            </c:strRef>
          </c:cat>
          <c:val>
            <c:numRef>
              <c:f>'CALCULS Eau'!$I$106:$I$113</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5-6DEB-405E-BCF2-1324BD21DCD7}"/>
            </c:ext>
          </c:extLst>
        </c:ser>
        <c:dLbls>
          <c:showLegendKey val="0"/>
          <c:showVal val="0"/>
          <c:showCatName val="0"/>
          <c:showSerName val="0"/>
          <c:showPercent val="0"/>
          <c:showBubbleSize val="0"/>
        </c:dLbls>
        <c:gapWidth val="39"/>
        <c:overlap val="100"/>
        <c:axId val="847105440"/>
        <c:axId val="847103776"/>
      </c:barChart>
      <c:catAx>
        <c:axId val="847105440"/>
        <c:scaling>
          <c:orientation val="minMax"/>
        </c:scaling>
        <c:delete val="1"/>
        <c:axPos val="b"/>
        <c:numFmt formatCode="General" sourceLinked="1"/>
        <c:majorTickMark val="none"/>
        <c:minorTickMark val="none"/>
        <c:tickLblPos val="nextTo"/>
        <c:crossAx val="847103776"/>
        <c:crossesAt val="0"/>
        <c:auto val="1"/>
        <c:lblAlgn val="ctr"/>
        <c:lblOffset val="100"/>
        <c:noMultiLvlLbl val="0"/>
      </c:catAx>
      <c:valAx>
        <c:axId val="847103776"/>
        <c:scaling>
          <c:orientation val="minMax"/>
          <c:min val="0"/>
        </c:scaling>
        <c:delete val="1"/>
        <c:axPos val="l"/>
        <c:majorGridlines>
          <c:spPr>
            <a:ln w="9525" cap="flat" cmpd="sng" algn="ctr">
              <a:solidFill>
                <a:schemeClr val="tx2">
                  <a:lumMod val="20000"/>
                  <a:lumOff val="80000"/>
                </a:schemeClr>
              </a:solidFill>
              <a:round/>
            </a:ln>
            <a:effectLst/>
          </c:spPr>
        </c:majorGridlines>
        <c:minorGridlines>
          <c:spPr>
            <a:ln w="9525" cap="flat" cmpd="sng" algn="ctr">
              <a:solidFill>
                <a:schemeClr val="tx2">
                  <a:lumMod val="20000"/>
                  <a:lumOff val="80000"/>
                </a:schemeClr>
              </a:solidFill>
              <a:round/>
            </a:ln>
            <a:effectLst/>
          </c:spPr>
        </c:minorGridlines>
        <c:numFmt formatCode="0%" sourceLinked="1"/>
        <c:majorTickMark val="out"/>
        <c:minorTickMark val="none"/>
        <c:tickLblPos val="nextTo"/>
        <c:crossAx val="847105440"/>
        <c:crosses val="autoZero"/>
        <c:crossBetween val="between"/>
        <c:majorUnit val="0.2"/>
        <c:minorUnit val="0.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227499876486062E-2"/>
          <c:y val="0.11344504141769035"/>
          <c:w val="0.95368135598182613"/>
          <c:h val="0.52651651101751817"/>
        </c:manualLayout>
      </c:layout>
      <c:barChart>
        <c:barDir val="col"/>
        <c:grouping val="clustered"/>
        <c:varyColors val="0"/>
        <c:ser>
          <c:idx val="0"/>
          <c:order val="0"/>
          <c:tx>
            <c:strRef>
              <c:f>'CALCULS Eau potable'!$D$56</c:f>
              <c:strCache>
                <c:ptCount val="1"/>
                <c:pt idx="0">
                  <c:v>PONCTUEL</c:v>
                </c:pt>
              </c:strCache>
            </c:strRef>
          </c:tx>
          <c:spPr>
            <a:solidFill>
              <a:schemeClr val="accent1"/>
            </a:solidFill>
            <a:ln>
              <a:noFill/>
            </a:ln>
            <a:effectLst/>
          </c:spPr>
          <c:invertIfNegative val="0"/>
          <c:dPt>
            <c:idx val="0"/>
            <c:invertIfNegative val="0"/>
            <c:bubble3D val="0"/>
            <c:spPr>
              <a:solidFill>
                <a:srgbClr val="007DDA"/>
              </a:solidFill>
              <a:ln>
                <a:noFill/>
              </a:ln>
              <a:effectLst/>
            </c:spPr>
            <c:extLst>
              <c:ext xmlns:c16="http://schemas.microsoft.com/office/drawing/2014/chart" uri="{C3380CC4-5D6E-409C-BE32-E72D297353CC}">
                <c16:uniqueId val="{00000001-BD34-476D-95B5-50CC499E4176}"/>
              </c:ext>
            </c:extLst>
          </c:dPt>
          <c:dPt>
            <c:idx val="1"/>
            <c:invertIfNegative val="0"/>
            <c:bubble3D val="0"/>
            <c:spPr>
              <a:solidFill>
                <a:srgbClr val="00B050"/>
              </a:solidFill>
              <a:ln>
                <a:noFill/>
              </a:ln>
              <a:effectLst/>
            </c:spPr>
            <c:extLst>
              <c:ext xmlns:c16="http://schemas.microsoft.com/office/drawing/2014/chart" uri="{C3380CC4-5D6E-409C-BE32-E72D297353CC}">
                <c16:uniqueId val="{00000003-BD34-476D-95B5-50CC499E4176}"/>
              </c:ext>
            </c:extLst>
          </c:dPt>
          <c:dPt>
            <c:idx val="2"/>
            <c:invertIfNegative val="0"/>
            <c:bubble3D val="0"/>
            <c:spPr>
              <a:solidFill>
                <a:srgbClr val="FFD347"/>
              </a:solidFill>
              <a:ln>
                <a:noFill/>
              </a:ln>
              <a:effectLst/>
            </c:spPr>
            <c:extLst>
              <c:ext xmlns:c16="http://schemas.microsoft.com/office/drawing/2014/chart" uri="{C3380CC4-5D6E-409C-BE32-E72D297353CC}">
                <c16:uniqueId val="{00000005-BD34-476D-95B5-50CC499E4176}"/>
              </c:ext>
            </c:extLst>
          </c:dPt>
          <c:dPt>
            <c:idx val="3"/>
            <c:invertIfNegative val="0"/>
            <c:bubble3D val="0"/>
            <c:spPr>
              <a:solidFill>
                <a:srgbClr val="F98007"/>
              </a:solidFill>
              <a:ln>
                <a:noFill/>
              </a:ln>
              <a:effectLst/>
            </c:spPr>
            <c:extLst>
              <c:ext xmlns:c16="http://schemas.microsoft.com/office/drawing/2014/chart" uri="{C3380CC4-5D6E-409C-BE32-E72D297353CC}">
                <c16:uniqueId val="{00000007-BD34-476D-95B5-50CC499E4176}"/>
              </c:ext>
            </c:extLst>
          </c:dPt>
          <c:dPt>
            <c:idx val="4"/>
            <c:invertIfNegative val="0"/>
            <c:bubble3D val="0"/>
            <c:spPr>
              <a:solidFill>
                <a:srgbClr val="C00000"/>
              </a:solidFill>
              <a:ln>
                <a:noFill/>
              </a:ln>
              <a:effectLst/>
            </c:spPr>
            <c:extLst>
              <c:ext xmlns:c16="http://schemas.microsoft.com/office/drawing/2014/chart" uri="{C3380CC4-5D6E-409C-BE32-E72D297353CC}">
                <c16:uniqueId val="{00000009-BD34-476D-95B5-50CC499E4176}"/>
              </c:ext>
            </c:extLst>
          </c:dPt>
          <c:dPt>
            <c:idx val="5"/>
            <c:invertIfNegative val="0"/>
            <c:bubble3D val="0"/>
            <c:spPr>
              <a:solidFill>
                <a:schemeClr val="accent3">
                  <a:lumMod val="75000"/>
                </a:schemeClr>
              </a:solidFill>
              <a:ln>
                <a:noFill/>
              </a:ln>
              <a:effectLst/>
            </c:spPr>
            <c:extLst>
              <c:ext xmlns:c16="http://schemas.microsoft.com/office/drawing/2014/chart" uri="{C3380CC4-5D6E-409C-BE32-E72D297353CC}">
                <c16:uniqueId val="{0000000B-BD34-476D-95B5-50CC499E417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 potable'!$E$52:$J$52</c:f>
              <c:strCache>
                <c:ptCount val="6"/>
                <c:pt idx="0">
                  <c:v>Très bon 
(A)</c:v>
                </c:pt>
                <c:pt idx="1">
                  <c:v>Bon 
(B)</c:v>
                </c:pt>
                <c:pt idx="2">
                  <c:v>Acceptable
(C)</c:v>
                </c:pt>
                <c:pt idx="3">
                  <c:v>Mauvais 
(D)</c:v>
                </c:pt>
                <c:pt idx="4">
                  <c:v>Très mauvais 
(E)</c:v>
                </c:pt>
                <c:pt idx="5">
                  <c:v>Inconnu</c:v>
                </c:pt>
              </c:strCache>
            </c:strRef>
          </c:cat>
          <c:val>
            <c:numRef>
              <c:f>'CALCULS Eau potable'!$E$56:$J$56</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BD34-476D-95B5-50CC499E4176}"/>
            </c:ext>
          </c:extLst>
        </c:ser>
        <c:dLbls>
          <c:showLegendKey val="0"/>
          <c:showVal val="0"/>
          <c:showCatName val="0"/>
          <c:showSerName val="0"/>
          <c:showPercent val="0"/>
          <c:showBubbleSize val="0"/>
        </c:dLbls>
        <c:gapWidth val="71"/>
        <c:overlap val="-27"/>
        <c:axId val="1704822352"/>
        <c:axId val="1704816528"/>
      </c:barChart>
      <c:catAx>
        <c:axId val="1704822352"/>
        <c:scaling>
          <c:orientation val="minMax"/>
        </c:scaling>
        <c:delete val="0"/>
        <c:axPos val="b"/>
        <c:numFmt formatCode="General" sourceLinked="1"/>
        <c:majorTickMark val="none"/>
        <c:minorTickMark val="none"/>
        <c:tickLblPos val="nextTo"/>
        <c:spPr>
          <a:noFill/>
          <a:ln w="9525" cap="flat" cmpd="sng" algn="ctr">
            <a:solidFill>
              <a:schemeClr val="tx2">
                <a:lumMod val="50000"/>
              </a:schemeClr>
            </a:solidFill>
            <a:round/>
          </a:ln>
          <a:effectLst/>
        </c:spPr>
        <c:txPr>
          <a:bodyPr rot="-60000000" spcFirstLastPara="1" vertOverflow="ellipsis" vert="horz" wrap="square" anchor="ctr" anchorCtr="1"/>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crossAx val="1704816528"/>
        <c:crosses val="autoZero"/>
        <c:auto val="1"/>
        <c:lblAlgn val="ctr"/>
        <c:lblOffset val="100"/>
        <c:noMultiLvlLbl val="0"/>
      </c:catAx>
      <c:valAx>
        <c:axId val="1704816528"/>
        <c:scaling>
          <c:orientation val="minMax"/>
          <c:max val="1"/>
        </c:scaling>
        <c:delete val="1"/>
        <c:axPos val="l"/>
        <c:majorGridlines>
          <c:spPr>
            <a:ln w="9525" cap="flat" cmpd="sng" algn="ctr">
              <a:solidFill>
                <a:schemeClr val="tx2">
                  <a:lumMod val="20000"/>
                  <a:lumOff val="80000"/>
                </a:schemeClr>
              </a:solidFill>
              <a:round/>
            </a:ln>
            <a:effectLst/>
          </c:spPr>
        </c:majorGridlines>
        <c:numFmt formatCode="0.0%" sourceLinked="1"/>
        <c:majorTickMark val="out"/>
        <c:minorTickMark val="none"/>
        <c:tickLblPos val="nextTo"/>
        <c:crossAx val="1704822352"/>
        <c:crosses val="autoZero"/>
        <c:crossBetween val="between"/>
        <c:majorUnit val="0.2"/>
        <c:minorUnit val="0.1"/>
      </c:valAx>
      <c:spPr>
        <a:solidFill>
          <a:srgbClr val="E7F0F9"/>
        </a:solidFill>
        <a:ln>
          <a:solidFill>
            <a:schemeClr val="tx2">
              <a:lumMod val="60000"/>
              <a:lumOff val="4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7.8166323309009876E-3"/>
          <c:w val="1"/>
          <c:h val="0.95753047150511605"/>
        </c:manualLayout>
      </c:layout>
      <c:doughnut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E770-41D3-B02F-95C6D223F300}"/>
              </c:ext>
            </c:extLst>
          </c:dPt>
          <c:dPt>
            <c:idx val="1"/>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3-E770-41D3-B02F-95C6D223F30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770-41D3-B02F-95C6D223F30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770-41D3-B02F-95C6D223F300}"/>
              </c:ext>
            </c:extLst>
          </c:dPt>
          <c:dPt>
            <c:idx val="4"/>
            <c:bubble3D val="0"/>
            <c:spPr>
              <a:solidFill>
                <a:schemeClr val="tx2">
                  <a:lumMod val="60000"/>
                  <a:lumOff val="40000"/>
                </a:schemeClr>
              </a:solidFill>
              <a:ln w="19050">
                <a:solidFill>
                  <a:schemeClr val="lt1"/>
                </a:solidFill>
              </a:ln>
              <a:effectLst/>
            </c:spPr>
            <c:extLst>
              <c:ext xmlns:c16="http://schemas.microsoft.com/office/drawing/2014/chart" uri="{C3380CC4-5D6E-409C-BE32-E72D297353CC}">
                <c16:uniqueId val="{00000009-E770-41D3-B02F-95C6D223F30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E770-41D3-B02F-95C6D223F300}"/>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E770-41D3-B02F-95C6D223F300}"/>
              </c:ext>
            </c:extLst>
          </c:dPt>
          <c:dPt>
            <c:idx val="7"/>
            <c:bubble3D val="0"/>
            <c:spPr>
              <a:solidFill>
                <a:srgbClr val="FF8181"/>
              </a:solidFill>
              <a:ln w="19050">
                <a:solidFill>
                  <a:schemeClr val="lt1"/>
                </a:solidFill>
              </a:ln>
              <a:effectLst/>
            </c:spPr>
            <c:extLst>
              <c:ext xmlns:c16="http://schemas.microsoft.com/office/drawing/2014/chart" uri="{C3380CC4-5D6E-409C-BE32-E72D297353CC}">
                <c16:uniqueId val="{0000000F-E770-41D3-B02F-95C6D223F300}"/>
              </c:ext>
            </c:extLst>
          </c:dPt>
          <c:dPt>
            <c:idx val="8"/>
            <c:bubble3D val="0"/>
            <c:spPr>
              <a:solidFill>
                <a:srgbClr val="FFCCCC"/>
              </a:solidFill>
              <a:ln w="19050">
                <a:solidFill>
                  <a:schemeClr val="lt1"/>
                </a:solidFill>
              </a:ln>
              <a:effectLst/>
            </c:spPr>
            <c:extLst>
              <c:ext xmlns:c16="http://schemas.microsoft.com/office/drawing/2014/chart" uri="{C3380CC4-5D6E-409C-BE32-E72D297353CC}">
                <c16:uniqueId val="{00000011-E770-41D3-B02F-95C6D223F300}"/>
              </c:ext>
            </c:extLst>
          </c:dPt>
          <c:dLbls>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1-E770-41D3-B02F-95C6D223F300}"/>
                </c:ext>
              </c:extLst>
            </c:dLbl>
            <c:dLbl>
              <c:idx val="4"/>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9-E770-41D3-B02F-95C6D223F30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'CALCULS Eau'!$M$204:$M$212</c:f>
              <c:numCache>
                <c:formatCode>#\ ##0\ "$"</c:formatCode>
                <c:ptCount val="9"/>
                <c:pt idx="0">
                  <c:v>0</c:v>
                </c:pt>
                <c:pt idx="1">
                  <c:v>0</c:v>
                </c:pt>
                <c:pt idx="4">
                  <c:v>0</c:v>
                </c:pt>
                <c:pt idx="7">
                  <c:v>0</c:v>
                </c:pt>
                <c:pt idx="8">
                  <c:v>0</c:v>
                </c:pt>
              </c:numCache>
            </c:numRef>
          </c:val>
          <c:extLst>
            <c:ext xmlns:c16="http://schemas.microsoft.com/office/drawing/2014/chart" uri="{C3380CC4-5D6E-409C-BE32-E72D297353CC}">
              <c16:uniqueId val="{00000012-E770-41D3-B02F-95C6D223F300}"/>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432917105688781E-2"/>
          <c:y val="1.9617135766499559E-2"/>
          <c:w val="0.96314174618989901"/>
          <c:h val="0.97296093870619116"/>
        </c:manualLayout>
      </c:layout>
      <c:barChart>
        <c:barDir val="col"/>
        <c:grouping val="percentStacked"/>
        <c:varyColors val="0"/>
        <c:ser>
          <c:idx val="0"/>
          <c:order val="0"/>
          <c:tx>
            <c:strRef>
              <c:f>'CALCULS Eau'!$C$350</c:f>
              <c:strCache>
                <c:ptCount val="1"/>
                <c:pt idx="0">
                  <c:v>Financement du gouvernement provincial</c:v>
                </c:pt>
              </c:strCache>
            </c:strRef>
          </c:tx>
          <c:spPr>
            <a:solidFill>
              <a:srgbClr val="47618B"/>
            </a:solidFill>
            <a:ln>
              <a:noFill/>
            </a:ln>
            <a:effectLst/>
          </c:spPr>
          <c:invertIfNegative val="0"/>
          <c:val>
            <c:numRef>
              <c:f>'CALCULS Eau'!$G$350</c:f>
              <c:numCache>
                <c:formatCode>#\ ##0\ "$"</c:formatCode>
                <c:ptCount val="1"/>
                <c:pt idx="0">
                  <c:v>0</c:v>
                </c:pt>
              </c:numCache>
            </c:numRef>
          </c:val>
          <c:extLst>
            <c:ext xmlns:c16="http://schemas.microsoft.com/office/drawing/2014/chart" uri="{C3380CC4-5D6E-409C-BE32-E72D297353CC}">
              <c16:uniqueId val="{00000000-7E8D-4E51-BD99-82810E08705C}"/>
            </c:ext>
          </c:extLst>
        </c:ser>
        <c:ser>
          <c:idx val="1"/>
          <c:order val="1"/>
          <c:tx>
            <c:strRef>
              <c:f>'CALCULS Eau'!$C$351</c:f>
              <c:strCache>
                <c:ptCount val="1"/>
                <c:pt idx="0">
                  <c:v>Autres types de financement</c:v>
                </c:pt>
              </c:strCache>
            </c:strRef>
          </c:tx>
          <c:spPr>
            <a:solidFill>
              <a:srgbClr val="8FAADC"/>
            </a:solidFill>
            <a:ln>
              <a:noFill/>
            </a:ln>
            <a:effectLst/>
          </c:spPr>
          <c:invertIfNegative val="0"/>
          <c:val>
            <c:numRef>
              <c:f>'CALCULS Eau'!$G$351</c:f>
              <c:numCache>
                <c:formatCode>#\ ##0\ "$"</c:formatCode>
                <c:ptCount val="1"/>
                <c:pt idx="0">
                  <c:v>0</c:v>
                </c:pt>
              </c:numCache>
            </c:numRef>
          </c:val>
          <c:extLst>
            <c:ext xmlns:c16="http://schemas.microsoft.com/office/drawing/2014/chart" uri="{C3380CC4-5D6E-409C-BE32-E72D297353CC}">
              <c16:uniqueId val="{00000001-7E8D-4E51-BD99-82810E08705C}"/>
            </c:ext>
          </c:extLst>
        </c:ser>
        <c:ser>
          <c:idx val="2"/>
          <c:order val="2"/>
          <c:tx>
            <c:strRef>
              <c:f>'CALCULS Eau'!$C$353</c:f>
              <c:strCache>
                <c:ptCount val="1"/>
                <c:pt idx="0">
                  <c:v>Déficit de financement global</c:v>
                </c:pt>
              </c:strCache>
            </c:strRef>
          </c:tx>
          <c:spPr>
            <a:solidFill>
              <a:schemeClr val="accent3"/>
            </a:solidFill>
            <a:ln>
              <a:noFill/>
            </a:ln>
            <a:effectLst/>
          </c:spPr>
          <c:invertIfNegative val="0"/>
          <c:dPt>
            <c:idx val="0"/>
            <c:invertIfNegative val="0"/>
            <c:bubble3D val="0"/>
            <c:spPr>
              <a:solidFill>
                <a:srgbClr val="C00000"/>
              </a:solidFill>
              <a:ln>
                <a:noFill/>
              </a:ln>
              <a:effectLst/>
            </c:spPr>
            <c:extLst>
              <c:ext xmlns:c16="http://schemas.microsoft.com/office/drawing/2014/chart" uri="{C3380CC4-5D6E-409C-BE32-E72D297353CC}">
                <c16:uniqueId val="{00000003-7E8D-4E51-BD99-82810E08705C}"/>
              </c:ext>
            </c:extLst>
          </c:dPt>
          <c:val>
            <c:numRef>
              <c:f>'CALCULS Eau'!$G$353</c:f>
              <c:numCache>
                <c:formatCode>#\ ##0\ "$"</c:formatCode>
                <c:ptCount val="1"/>
                <c:pt idx="0">
                  <c:v>0</c:v>
                </c:pt>
              </c:numCache>
            </c:numRef>
          </c:val>
          <c:extLst>
            <c:ext xmlns:c16="http://schemas.microsoft.com/office/drawing/2014/chart" uri="{C3380CC4-5D6E-409C-BE32-E72D297353CC}">
              <c16:uniqueId val="{00000004-7E8D-4E51-BD99-82810E08705C}"/>
            </c:ext>
          </c:extLst>
        </c:ser>
        <c:dLbls>
          <c:showLegendKey val="0"/>
          <c:showVal val="0"/>
          <c:showCatName val="0"/>
          <c:showSerName val="0"/>
          <c:showPercent val="0"/>
          <c:showBubbleSize val="0"/>
        </c:dLbls>
        <c:gapWidth val="37"/>
        <c:overlap val="100"/>
        <c:axId val="1931356336"/>
        <c:axId val="1931370064"/>
      </c:barChart>
      <c:catAx>
        <c:axId val="1931356336"/>
        <c:scaling>
          <c:orientation val="minMax"/>
        </c:scaling>
        <c:delete val="1"/>
        <c:axPos val="b"/>
        <c:numFmt formatCode="General" sourceLinked="1"/>
        <c:majorTickMark val="none"/>
        <c:minorTickMark val="none"/>
        <c:tickLblPos val="nextTo"/>
        <c:crossAx val="1931370064"/>
        <c:crosses val="autoZero"/>
        <c:auto val="1"/>
        <c:lblAlgn val="ctr"/>
        <c:lblOffset val="100"/>
        <c:noMultiLvlLbl val="0"/>
      </c:catAx>
      <c:valAx>
        <c:axId val="1931370064"/>
        <c:scaling>
          <c:orientation val="minMax"/>
        </c:scaling>
        <c:delete val="1"/>
        <c:axPos val="l"/>
        <c:numFmt formatCode="0%" sourceLinked="1"/>
        <c:majorTickMark val="none"/>
        <c:minorTickMark val="none"/>
        <c:tickLblPos val="nextTo"/>
        <c:crossAx val="19313563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740157480314962E-2"/>
          <c:y val="0.18857572533163089"/>
          <c:w val="0.95035301837270336"/>
          <c:h val="0.57682117054955762"/>
        </c:manualLayout>
      </c:layout>
      <c:barChart>
        <c:barDir val="col"/>
        <c:grouping val="stacked"/>
        <c:varyColors val="0"/>
        <c:ser>
          <c:idx val="0"/>
          <c:order val="0"/>
          <c:spPr>
            <a:solidFill>
              <a:schemeClr val="accent5">
                <a:lumMod val="75000"/>
              </a:schemeClr>
            </a:solidFill>
            <a:ln>
              <a:solidFill>
                <a:schemeClr val="accent5">
                  <a:lumMod val="50000"/>
                </a:schemeClr>
              </a:solidFill>
            </a:ln>
            <a:effectLst/>
          </c:spPr>
          <c:invertIfNegative val="0"/>
          <c:dPt>
            <c:idx val="1"/>
            <c:invertIfNegative val="0"/>
            <c:bubble3D val="0"/>
            <c:spPr>
              <a:solidFill>
                <a:schemeClr val="bg1"/>
              </a:solidFill>
              <a:ln>
                <a:solidFill>
                  <a:schemeClr val="accent5">
                    <a:lumMod val="50000"/>
                  </a:schemeClr>
                </a:solidFill>
              </a:ln>
              <a:effectLst/>
            </c:spPr>
            <c:extLst>
              <c:ext xmlns:c16="http://schemas.microsoft.com/office/drawing/2014/chart" uri="{C3380CC4-5D6E-409C-BE32-E72D297353CC}">
                <c16:uniqueId val="{00000001-F370-4332-9B1F-43321F41A2D1}"/>
              </c:ext>
            </c:extLst>
          </c:dPt>
          <c:dLbls>
            <c:dLbl>
              <c:idx val="0"/>
              <c:layout>
                <c:manualLayout>
                  <c:x val="3.6850657486909612E-2"/>
                  <c:y val="0.35584246556809263"/>
                </c:manualLayout>
              </c:layout>
              <c:numFmt formatCode="#,##0\ &quot;$&quot;"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dLblPos val="ct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58733351798361877"/>
                      <c:h val="0.20642855210109043"/>
                    </c:manualLayout>
                  </c15:layout>
                </c:ext>
                <c:ext xmlns:c16="http://schemas.microsoft.com/office/drawing/2014/chart" uri="{C3380CC4-5D6E-409C-BE32-E72D297353CC}">
                  <c16:uniqueId val="{00000002-F370-4332-9B1F-43321F41A2D1}"/>
                </c:ext>
              </c:extLst>
            </c:dLbl>
            <c:dLbl>
              <c:idx val="1"/>
              <c:layout>
                <c:manualLayout>
                  <c:x val="2.6800933802872632E-2"/>
                  <c:y val="0.32932623962545221"/>
                </c:manualLayout>
              </c:layout>
              <c:numFmt formatCode="#,##0\ &quot;$&quot;" sourceLinked="0"/>
              <c:spPr>
                <a:noFill/>
                <a:ln>
                  <a:noFill/>
                </a:ln>
                <a:effectLst/>
              </c:spPr>
              <c:txPr>
                <a:bodyPr rot="0" spcFirstLastPara="1" vertOverflow="ellipsis" vert="horz" wrap="square" lIns="38100" tIns="19050" rIns="38100" bIns="19050" anchor="ctr" anchorCtr="0">
                  <a:noAutofit/>
                </a:bodyPr>
                <a:lstStyle/>
                <a:p>
                  <a:pPr algn="r">
                    <a:defRPr sz="100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dLblPos val="ct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41078515939276428"/>
                      <c:h val="0.19855288359225368"/>
                    </c:manualLayout>
                  </c15:layout>
                </c:ext>
                <c:ext xmlns:c16="http://schemas.microsoft.com/office/drawing/2014/chart" uri="{C3380CC4-5D6E-409C-BE32-E72D297353CC}">
                  <c16:uniqueId val="{00000001-F370-4332-9B1F-43321F41A2D1}"/>
                </c:ext>
              </c:extLst>
            </c:dLbl>
            <c:numFmt formatCode="#,##0\ &quot;$&quot;" sourceLinked="0"/>
            <c:spPr>
              <a:noFill/>
              <a:ln>
                <a:noFill/>
              </a:ln>
              <a:effectLst/>
            </c:spPr>
            <c:txPr>
              <a:bodyPr rot="0" spcFirstLastPara="1" vertOverflow="ellipsis" vert="horz" wrap="square" lIns="38100" tIns="19050" rIns="38100" bIns="19050" anchor="ctr" anchorCtr="0">
                <a:spAutoFit/>
              </a:bodyPr>
              <a:lstStyle/>
              <a:p>
                <a:pPr algn="l">
                  <a:defRPr sz="100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dLblPos val="inBase"/>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cat>
            <c:strRef>
              <c:f>'CALCULS Eau'!$I$283:$I$284</c:f>
              <c:strCache>
                <c:ptCount val="2"/>
                <c:pt idx="0">
                  <c:v>Coûts prévisionnels</c:v>
                </c:pt>
                <c:pt idx="1">
                  <c:v>Budget planifié</c:v>
                </c:pt>
              </c:strCache>
            </c:strRef>
          </c:cat>
          <c:val>
            <c:numRef>
              <c:f>'CALCULS Eau'!$J$283:$J$284</c:f>
              <c:numCache>
                <c:formatCode>#\ ##0\ "$"</c:formatCode>
                <c:ptCount val="2"/>
                <c:pt idx="0">
                  <c:v>0</c:v>
                </c:pt>
                <c:pt idx="1">
                  <c:v>0</c:v>
                </c:pt>
              </c:numCache>
            </c:numRef>
          </c:val>
          <c:extLst>
            <c:ext xmlns:c16="http://schemas.microsoft.com/office/drawing/2014/chart" uri="{C3380CC4-5D6E-409C-BE32-E72D297353CC}">
              <c16:uniqueId val="{00000003-F370-4332-9B1F-43321F41A2D1}"/>
            </c:ext>
          </c:extLst>
        </c:ser>
        <c:ser>
          <c:idx val="1"/>
          <c:order val="1"/>
          <c:tx>
            <c:strRef>
              <c:f>'CALCULS Eau'!$K$281</c:f>
              <c:strCache>
                <c:ptCount val="1"/>
                <c:pt idx="0">
                  <c:v>Déficit de financement</c:v>
                </c:pt>
              </c:strCache>
            </c:strRef>
          </c:tx>
          <c:spPr>
            <a:solidFill>
              <a:schemeClr val="accent2"/>
            </a:solidFill>
            <a:ln>
              <a:solidFill>
                <a:schemeClr val="accent5">
                  <a:lumMod val="50000"/>
                </a:schemeClr>
              </a:solidFill>
            </a:ln>
            <a:effectLst/>
          </c:spPr>
          <c:invertIfNegative val="0"/>
          <c:dPt>
            <c:idx val="1"/>
            <c:invertIfNegative val="0"/>
            <c:bubble3D val="0"/>
            <c:spPr>
              <a:solidFill>
                <a:srgbClr val="C00000"/>
              </a:solidFill>
              <a:ln>
                <a:solidFill>
                  <a:schemeClr val="accent5">
                    <a:lumMod val="50000"/>
                  </a:schemeClr>
                </a:solidFill>
              </a:ln>
              <a:effectLst/>
            </c:spPr>
            <c:extLst>
              <c:ext xmlns:c16="http://schemas.microsoft.com/office/drawing/2014/chart" uri="{C3380CC4-5D6E-409C-BE32-E72D297353CC}">
                <c16:uniqueId val="{00000005-F370-4332-9B1F-43321F41A2D1}"/>
              </c:ext>
            </c:extLst>
          </c:dPt>
          <c:dLbls>
            <c:dLbl>
              <c:idx val="0"/>
              <c:delete val="1"/>
              <c:extLst>
                <c:ext xmlns:c15="http://schemas.microsoft.com/office/drawing/2012/chart" uri="{CE6537A1-D6FC-4f65-9D91-7224C49458BB}"/>
                <c:ext xmlns:c16="http://schemas.microsoft.com/office/drawing/2014/chart" uri="{C3380CC4-5D6E-409C-BE32-E72D297353CC}">
                  <c16:uniqueId val="{00000006-F370-4332-9B1F-43321F41A2D1}"/>
                </c:ext>
              </c:extLst>
            </c:dLbl>
            <c:dLbl>
              <c:idx val="1"/>
              <c:layout>
                <c:manualLayout>
                  <c:x val="-3.6493227291312207E-2"/>
                  <c:y val="-0.18615066157967367"/>
                </c:manualLayout>
              </c:layout>
              <c:numFmt formatCode="#,##0\ &quot;$&quot;" sourceLinked="0"/>
              <c:spPr>
                <a:noFill/>
                <a:ln>
                  <a:noFill/>
                </a:ln>
                <a:effectLst/>
              </c:spPr>
              <c:txPr>
                <a:bodyPr rot="0" spcFirstLastPara="1" vertOverflow="ellipsis" vert="horz" wrap="square" lIns="38100" tIns="19050" rIns="38100" bIns="19050" anchor="t" anchorCtr="0">
                  <a:noAutofit/>
                </a:bodyPr>
                <a:lstStyle/>
                <a:p>
                  <a:pPr algn="r">
                    <a:defRPr sz="1000" b="0" i="0" u="none" strike="noStrike" kern="1200" baseline="0">
                      <a:solidFill>
                        <a:srgbClr val="002060"/>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59137788680937498"/>
                      <c:h val="0.19474781868482652"/>
                    </c:manualLayout>
                  </c15:layout>
                </c:ext>
                <c:ext xmlns:c16="http://schemas.microsoft.com/office/drawing/2014/chart" uri="{C3380CC4-5D6E-409C-BE32-E72D297353CC}">
                  <c16:uniqueId val="{00000005-F370-4332-9B1F-43321F41A2D1}"/>
                </c:ext>
              </c:extLst>
            </c:dLbl>
            <c:numFmt formatCode="#,##0\ &quot;$&quot;" sourceLinked="0"/>
            <c:spPr>
              <a:noFill/>
              <a:ln>
                <a:noFill/>
              </a:ln>
              <a:effectLst/>
            </c:spPr>
            <c:txPr>
              <a:bodyPr rot="0" spcFirstLastPara="1" vertOverflow="ellipsis" vert="horz" wrap="square" lIns="38100" tIns="19050" rIns="38100" bIns="19050" anchor="t" anchorCtr="1">
                <a:spAutoFit/>
              </a:bodyPr>
              <a:lstStyle/>
              <a:p>
                <a:pPr>
                  <a:defRPr sz="1000" b="0" i="0" u="none" strike="noStrike" kern="1200" baseline="0">
                    <a:solidFill>
                      <a:schemeClr val="tx1">
                        <a:lumMod val="75000"/>
                        <a:lumOff val="25000"/>
                      </a:schemeClr>
                    </a:solidFill>
                    <a:latin typeface="Bahnschrift Light 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'CALCULS Eau'!$I$283:$I$284</c:f>
              <c:strCache>
                <c:ptCount val="2"/>
                <c:pt idx="0">
                  <c:v>Coûts prévisionnels</c:v>
                </c:pt>
                <c:pt idx="1">
                  <c:v>Budget planifié</c:v>
                </c:pt>
              </c:strCache>
            </c:strRef>
          </c:cat>
          <c:val>
            <c:numRef>
              <c:f>'CALCULS Eau'!$K$283:$K$284</c:f>
              <c:numCache>
                <c:formatCode>#\ ##0\ "$"</c:formatCode>
                <c:ptCount val="2"/>
                <c:pt idx="0">
                  <c:v>0</c:v>
                </c:pt>
                <c:pt idx="1">
                  <c:v>0</c:v>
                </c:pt>
              </c:numCache>
            </c:numRef>
          </c:val>
          <c:extLst>
            <c:ext xmlns:c16="http://schemas.microsoft.com/office/drawing/2014/chart" uri="{C3380CC4-5D6E-409C-BE32-E72D297353CC}">
              <c16:uniqueId val="{00000007-F370-4332-9B1F-43321F41A2D1}"/>
            </c:ext>
          </c:extLst>
        </c:ser>
        <c:dLbls>
          <c:showLegendKey val="0"/>
          <c:showVal val="0"/>
          <c:showCatName val="0"/>
          <c:showSerName val="0"/>
          <c:showPercent val="0"/>
          <c:showBubbleSize val="0"/>
        </c:dLbls>
        <c:gapWidth val="16"/>
        <c:overlap val="100"/>
        <c:axId val="1692711760"/>
        <c:axId val="1692710096"/>
      </c:barChart>
      <c:catAx>
        <c:axId val="1692711760"/>
        <c:scaling>
          <c:orientation val="minMax"/>
        </c:scaling>
        <c:delete val="1"/>
        <c:axPos val="b"/>
        <c:numFmt formatCode="General" sourceLinked="1"/>
        <c:majorTickMark val="out"/>
        <c:minorTickMark val="none"/>
        <c:tickLblPos val="nextTo"/>
        <c:crossAx val="1692710096"/>
        <c:crosses val="autoZero"/>
        <c:auto val="1"/>
        <c:lblAlgn val="ctr"/>
        <c:lblOffset val="100"/>
        <c:noMultiLvlLbl val="0"/>
      </c:catAx>
      <c:valAx>
        <c:axId val="1692710096"/>
        <c:scaling>
          <c:orientation val="minMax"/>
        </c:scaling>
        <c:delete val="1"/>
        <c:axPos val="l"/>
        <c:numFmt formatCode="#\ ##0\ &quot;$&quot;" sourceLinked="1"/>
        <c:majorTickMark val="out"/>
        <c:minorTickMark val="none"/>
        <c:tickLblPos val="nextTo"/>
        <c:crossAx val="1692711760"/>
        <c:crossesAt val="1"/>
        <c:crossBetween val="between"/>
      </c:valAx>
      <c:spPr>
        <a:noFill/>
        <a:ln>
          <a:noFill/>
        </a:ln>
        <a:effectLst/>
      </c:spPr>
    </c:plotArea>
    <c:plotVisOnly val="1"/>
    <c:dispBlanksAs val="gap"/>
    <c:showDLblsOverMax val="0"/>
  </c:chart>
  <c:spPr>
    <a:solidFill>
      <a:schemeClr val="bg1">
        <a:alpha val="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619341757260535E-2"/>
          <c:y val="0"/>
          <c:w val="0.93378193703193368"/>
          <c:h val="0.99047619047619051"/>
        </c:manualLayout>
      </c:layout>
      <c:pieChart>
        <c:varyColors val="1"/>
        <c:ser>
          <c:idx val="0"/>
          <c:order val="0"/>
          <c:dPt>
            <c:idx val="0"/>
            <c:bubble3D val="0"/>
            <c:spPr>
              <a:solidFill>
                <a:srgbClr val="7CAFDE"/>
              </a:solidFill>
              <a:ln w="19050">
                <a:solidFill>
                  <a:schemeClr val="lt1"/>
                </a:solidFill>
              </a:ln>
              <a:effectLst/>
            </c:spPr>
            <c:extLst>
              <c:ext xmlns:c16="http://schemas.microsoft.com/office/drawing/2014/chart" uri="{C3380CC4-5D6E-409C-BE32-E72D297353CC}">
                <c16:uniqueId val="{00000001-6789-4420-B45A-1FCA06B165C0}"/>
              </c:ext>
            </c:extLst>
          </c:dPt>
          <c:dPt>
            <c:idx val="1"/>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3-6789-4420-B45A-1FCA06B165C0}"/>
              </c:ext>
            </c:extLst>
          </c:dPt>
          <c:dPt>
            <c:idx val="2"/>
            <c:bubble3D val="0"/>
            <c:spPr>
              <a:solidFill>
                <a:srgbClr val="2BB3A3"/>
              </a:solidFill>
              <a:ln w="19050">
                <a:solidFill>
                  <a:schemeClr val="lt1"/>
                </a:solidFill>
              </a:ln>
              <a:effectLst/>
            </c:spPr>
            <c:extLst>
              <c:ext xmlns:c16="http://schemas.microsoft.com/office/drawing/2014/chart" uri="{C3380CC4-5D6E-409C-BE32-E72D297353CC}">
                <c16:uniqueId val="{00000005-6789-4420-B45A-1FCA06B165C0}"/>
              </c:ext>
            </c:extLst>
          </c:dPt>
          <c:dLbls>
            <c:dLbl>
              <c:idx val="0"/>
              <c:layout>
                <c:manualLayout>
                  <c:x val="-6.2015503875968991E-2"/>
                  <c:y val="-0.16653661184573237"/>
                </c:manualLayout>
              </c:layout>
              <c:numFmt formatCode="0%;;" sourceLinked="0"/>
              <c:spPr>
                <a:noFill/>
                <a:ln>
                  <a:noFill/>
                </a:ln>
                <a:effectLst/>
              </c:spPr>
              <c:txPr>
                <a:bodyPr rot="0" spcFirstLastPara="1" vertOverflow="ellipsis" vert="horz" wrap="square" lIns="38100" tIns="19050" rIns="38100" bIns="19050" anchor="ctr" anchorCtr="0">
                  <a:noAutofit/>
                </a:bodyPr>
                <a:lstStyle/>
                <a:p>
                  <a:pPr algn="ctr">
                    <a:defRPr sz="1050" b="0" i="0" u="none" strike="noStrike" kern="1200" baseline="0">
                      <a:solidFill>
                        <a:schemeClr val="bg1"/>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48310077519379846"/>
                      <c:h val="0.37984348185028427"/>
                    </c:manualLayout>
                  </c15:layout>
                </c:ext>
                <c:ext xmlns:c16="http://schemas.microsoft.com/office/drawing/2014/chart" uri="{C3380CC4-5D6E-409C-BE32-E72D297353CC}">
                  <c16:uniqueId val="{00000001-6789-4420-B45A-1FCA06B165C0}"/>
                </c:ext>
              </c:extLst>
            </c:dLbl>
            <c:dLbl>
              <c:idx val="1"/>
              <c:layout>
                <c:manualLayout>
                  <c:x val="1.3507294146371227E-2"/>
                  <c:y val="5.2843252840708288E-2"/>
                </c:manualLayout>
              </c:layout>
              <c:numFmt formatCode="0%;;" sourceLinked="0"/>
              <c:spPr>
                <a:noFill/>
                <a:ln>
                  <a:noFill/>
                </a:ln>
                <a:effectLst/>
              </c:spPr>
              <c:txPr>
                <a:bodyPr rot="0" spcFirstLastPara="1" vertOverflow="ellipsis" vert="horz" wrap="square" lIns="38100" tIns="19050" rIns="38100" bIns="19050" anchor="ctr" anchorCtr="0">
                  <a:noAutofit/>
                </a:bodyPr>
                <a:lstStyle/>
                <a:p>
                  <a:pPr algn="ctr">
                    <a:defRPr sz="1050" b="0" i="0" u="none" strike="noStrike" kern="1200" baseline="0">
                      <a:solidFill>
                        <a:schemeClr val="bg1"/>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5397680522492827"/>
                      <c:h val="0.4417396811395064"/>
                    </c:manualLayout>
                  </c15:layout>
                </c:ext>
                <c:ext xmlns:c16="http://schemas.microsoft.com/office/drawing/2014/chart" uri="{C3380CC4-5D6E-409C-BE32-E72D297353CC}">
                  <c16:uniqueId val="{00000003-6789-4420-B45A-1FCA06B165C0}"/>
                </c:ext>
              </c:extLst>
            </c:dLbl>
            <c:dLbl>
              <c:idx val="2"/>
              <c:layout>
                <c:manualLayout>
                  <c:x val="0.1039467740950985"/>
                  <c:y val="1.8373070735686194E-2"/>
                </c:manualLayout>
              </c:layout>
              <c:numFmt formatCode="0%;;" sourceLinked="0"/>
              <c:spPr>
                <a:noFill/>
                <a:ln>
                  <a:noFill/>
                </a:ln>
                <a:effectLst/>
              </c:spPr>
              <c:txPr>
                <a:bodyPr rot="0" spcFirstLastPara="1" vertOverflow="ellipsis" vert="horz" wrap="square" lIns="38100" tIns="19050" rIns="38100" bIns="19050" anchor="ctr" anchorCtr="0">
                  <a:noAutofit/>
                </a:bodyPr>
                <a:lstStyle/>
                <a:p>
                  <a:pPr algn="ctr">
                    <a:defRPr sz="1050" b="0" i="0" u="none" strike="noStrike" kern="1200" baseline="0">
                      <a:solidFill>
                        <a:schemeClr val="bg1"/>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48178355612525187"/>
                      <c:h val="0.45969290098587207"/>
                    </c:manualLayout>
                  </c15:layout>
                </c:ext>
                <c:ext xmlns:c16="http://schemas.microsoft.com/office/drawing/2014/chart" uri="{C3380CC4-5D6E-409C-BE32-E72D297353CC}">
                  <c16:uniqueId val="{00000005-6789-4420-B45A-1FCA06B165C0}"/>
                </c:ext>
              </c:extLst>
            </c:dLbl>
            <c:numFmt formatCode="0%;;" sourceLinked="0"/>
            <c:spPr>
              <a:noFill/>
              <a:ln>
                <a:noFill/>
              </a:ln>
              <a:effectLst/>
            </c:spPr>
            <c:txPr>
              <a:bodyPr rot="0" spcFirstLastPara="1" vertOverflow="ellipsis" vert="horz" wrap="square" lIns="38100" tIns="19050" rIns="38100" bIns="19050" anchor="ctr" anchorCtr="0">
                <a:spAutoFit/>
              </a:bodyPr>
              <a:lstStyle/>
              <a:p>
                <a:pPr algn="ctr">
                  <a:defRPr sz="1050" b="0" i="0" u="none" strike="noStrike" kern="1200" baseline="0">
                    <a:solidFill>
                      <a:schemeClr val="bg1"/>
                    </a:solidFill>
                    <a:latin typeface="Bahnschrift Light SemiCondensed" panose="020B0502040204020203" pitchFamily="34" charset="0"/>
                    <a:ea typeface="+mn-ea"/>
                    <a:cs typeface="+mn-cs"/>
                  </a:defRPr>
                </a:pPr>
                <a:endParaRPr lang="fr-FR"/>
              </a:p>
            </c:txPr>
            <c:dLblPos val="inEnd"/>
            <c:showLegendKey val="0"/>
            <c:showVal val="0"/>
            <c:showCatName val="0"/>
            <c:showSerName val="0"/>
            <c:showPercent val="1"/>
            <c:showBubbleSize val="0"/>
            <c:showLeaderLines val="0"/>
            <c:extLst>
              <c:ext xmlns:c15="http://schemas.microsoft.com/office/drawing/2012/chart" uri="{CE6537A1-D6FC-4f65-9D91-7224C49458BB}"/>
            </c:extLst>
          </c:dLbls>
          <c:val>
            <c:numRef>
              <c:f>'CALCULS Eau'!$M$283:$M$285</c:f>
              <c:numCache>
                <c:formatCode>#\ ##0\ "$"</c:formatCode>
                <c:ptCount val="3"/>
                <c:pt idx="0">
                  <c:v>0</c:v>
                </c:pt>
                <c:pt idx="1">
                  <c:v>0</c:v>
                </c:pt>
                <c:pt idx="2">
                  <c:v>0</c:v>
                </c:pt>
              </c:numCache>
            </c:numRef>
          </c:val>
          <c:extLst>
            <c:ext xmlns:c16="http://schemas.microsoft.com/office/drawing/2014/chart" uri="{C3380CC4-5D6E-409C-BE32-E72D297353CC}">
              <c16:uniqueId val="{00000006-6789-4420-B45A-1FCA06B165C0}"/>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619341757260535E-2"/>
          <c:y val="0"/>
          <c:w val="0.93378193703193368"/>
          <c:h val="0.99047619047619051"/>
        </c:manualLayout>
      </c:layout>
      <c:pieChart>
        <c:varyColors val="1"/>
        <c:ser>
          <c:idx val="0"/>
          <c:order val="0"/>
          <c:dPt>
            <c:idx val="0"/>
            <c:bubble3D val="0"/>
            <c:spPr>
              <a:solidFill>
                <a:srgbClr val="BDD7EE"/>
              </a:solidFill>
              <a:ln w="19050">
                <a:solidFill>
                  <a:schemeClr val="lt1"/>
                </a:solidFill>
              </a:ln>
              <a:effectLst/>
            </c:spPr>
            <c:extLst>
              <c:ext xmlns:c16="http://schemas.microsoft.com/office/drawing/2014/chart" uri="{C3380CC4-5D6E-409C-BE32-E72D297353CC}">
                <c16:uniqueId val="{00000001-FA00-44A8-AAEF-573A23A9F3A1}"/>
              </c:ext>
            </c:extLst>
          </c:dPt>
          <c:dPt>
            <c:idx val="1"/>
            <c:bubble3D val="0"/>
            <c:spPr>
              <a:solidFill>
                <a:srgbClr val="DEC98E"/>
              </a:solidFill>
              <a:ln w="19050">
                <a:solidFill>
                  <a:schemeClr val="lt1"/>
                </a:solidFill>
              </a:ln>
              <a:effectLst/>
            </c:spPr>
            <c:extLst>
              <c:ext xmlns:c16="http://schemas.microsoft.com/office/drawing/2014/chart" uri="{C3380CC4-5D6E-409C-BE32-E72D297353CC}">
                <c16:uniqueId val="{00000003-FA00-44A8-AAEF-573A23A9F3A1}"/>
              </c:ext>
            </c:extLst>
          </c:dPt>
          <c:dPt>
            <c:idx val="2"/>
            <c:bubble3D val="0"/>
            <c:spPr>
              <a:solidFill>
                <a:srgbClr val="C6F2ED"/>
              </a:solidFill>
              <a:ln w="19050">
                <a:solidFill>
                  <a:schemeClr val="lt1"/>
                </a:solidFill>
              </a:ln>
              <a:effectLst/>
            </c:spPr>
            <c:extLst>
              <c:ext xmlns:c16="http://schemas.microsoft.com/office/drawing/2014/chart" uri="{C3380CC4-5D6E-409C-BE32-E72D297353CC}">
                <c16:uniqueId val="{00000005-FA00-44A8-AAEF-573A23A9F3A1}"/>
              </c:ext>
            </c:extLst>
          </c:dPt>
          <c:dLbls>
            <c:dLbl>
              <c:idx val="0"/>
              <c:layout>
                <c:manualLayout>
                  <c:x val="-2.8570039856129169E-2"/>
                  <c:y val="-0.10394178000477212"/>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51958523703055626"/>
                      <c:h val="0.48848484848484841"/>
                    </c:manualLayout>
                  </c15:layout>
                </c:ext>
                <c:ext xmlns:c16="http://schemas.microsoft.com/office/drawing/2014/chart" uri="{C3380CC4-5D6E-409C-BE32-E72D297353CC}">
                  <c16:uniqueId val="{00000001-FA00-44A8-AAEF-573A23A9F3A1}"/>
                </c:ext>
              </c:extLst>
            </c:dLbl>
            <c:dLbl>
              <c:idx val="1"/>
              <c:layout>
                <c:manualLayout>
                  <c:x val="8.6147564887722357E-3"/>
                  <c:y val="0.10684868936837441"/>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52921810699588467"/>
                      <c:h val="0.41922077922077916"/>
                    </c:manualLayout>
                  </c15:layout>
                </c:ext>
                <c:ext xmlns:c16="http://schemas.microsoft.com/office/drawing/2014/chart" uri="{C3380CC4-5D6E-409C-BE32-E72D297353CC}">
                  <c16:uniqueId val="{00000003-FA00-44A8-AAEF-573A23A9F3A1}"/>
                </c:ext>
              </c:extLst>
            </c:dLbl>
            <c:dLbl>
              <c:idx val="2"/>
              <c:layout>
                <c:manualLayout>
                  <c:x val="8.3343378373999549E-2"/>
                  <c:y val="4.1033507175239426E-3"/>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6198360390136417"/>
                      <c:h val="0.45385281385281379"/>
                    </c:manualLayout>
                  </c15:layout>
                </c:ext>
                <c:ext xmlns:c16="http://schemas.microsoft.com/office/drawing/2014/chart" uri="{C3380CC4-5D6E-409C-BE32-E72D297353CC}">
                  <c16:uniqueId val="{00000005-FA00-44A8-AAEF-573A23A9F3A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dLblPos val="inEnd"/>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'CALCULS Eau'!$M$288:$M$290</c:f>
              <c:numCache>
                <c:formatCode>#\ ##0\ "$"</c:formatCode>
                <c:ptCount val="3"/>
                <c:pt idx="0">
                  <c:v>0</c:v>
                </c:pt>
                <c:pt idx="1">
                  <c:v>0</c:v>
                </c:pt>
                <c:pt idx="2">
                  <c:v>0</c:v>
                </c:pt>
              </c:numCache>
            </c:numRef>
          </c:val>
          <c:extLst>
            <c:ext xmlns:c16="http://schemas.microsoft.com/office/drawing/2014/chart" uri="{C3380CC4-5D6E-409C-BE32-E72D297353CC}">
              <c16:uniqueId val="{00000006-FA00-44A8-AAEF-573A23A9F3A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170050250814353E-3"/>
          <c:y val="0.21920198177475006"/>
          <c:w val="0.98938752491378434"/>
          <c:h val="0.5681416745983674"/>
        </c:manualLayout>
      </c:layout>
      <c:barChart>
        <c:barDir val="col"/>
        <c:grouping val="stacked"/>
        <c:varyColors val="0"/>
        <c:ser>
          <c:idx val="0"/>
          <c:order val="0"/>
          <c:spPr>
            <a:solidFill>
              <a:schemeClr val="accent1"/>
            </a:solidFill>
            <a:ln>
              <a:noFill/>
            </a:ln>
            <a:effectLst/>
          </c:spPr>
          <c:invertIfNegative val="0"/>
          <c:dPt>
            <c:idx val="0"/>
            <c:invertIfNegative val="0"/>
            <c:bubble3D val="0"/>
            <c:spPr>
              <a:solidFill>
                <a:schemeClr val="accent2">
                  <a:lumMod val="75000"/>
                </a:schemeClr>
              </a:solidFill>
              <a:ln>
                <a:solidFill>
                  <a:srgbClr val="002060"/>
                </a:solidFill>
              </a:ln>
              <a:effectLst/>
            </c:spPr>
            <c:extLst>
              <c:ext xmlns:c16="http://schemas.microsoft.com/office/drawing/2014/chart" uri="{C3380CC4-5D6E-409C-BE32-E72D297353CC}">
                <c16:uniqueId val="{00000001-1E80-4761-956F-F1E7EF0CA813}"/>
              </c:ext>
            </c:extLst>
          </c:dPt>
          <c:dPt>
            <c:idx val="1"/>
            <c:invertIfNegative val="0"/>
            <c:bubble3D val="0"/>
            <c:spPr>
              <a:solidFill>
                <a:schemeClr val="bg1"/>
              </a:solidFill>
              <a:ln>
                <a:solidFill>
                  <a:schemeClr val="accent5">
                    <a:lumMod val="50000"/>
                  </a:schemeClr>
                </a:solidFill>
              </a:ln>
              <a:effectLst/>
            </c:spPr>
            <c:extLst>
              <c:ext xmlns:c16="http://schemas.microsoft.com/office/drawing/2014/chart" uri="{C3380CC4-5D6E-409C-BE32-E72D297353CC}">
                <c16:uniqueId val="{00000003-1E80-4761-956F-F1E7EF0CA813}"/>
              </c:ext>
            </c:extLst>
          </c:dPt>
          <c:dLbls>
            <c:dLbl>
              <c:idx val="0"/>
              <c:layout>
                <c:manualLayout>
                  <c:x val="3.157870598558473E-2"/>
                  <c:y val="0.3719454298981858"/>
                </c:manualLayout>
              </c:layout>
              <c:numFmt formatCode="#,##0\ &quot;$&quot;" sourceLinked="0"/>
              <c:spPr>
                <a:noFill/>
                <a:ln>
                  <a:noFill/>
                </a:ln>
                <a:effectLst/>
              </c:spPr>
              <c:txPr>
                <a:bodyPr rot="0" spcFirstLastPara="1" vertOverflow="ellipsis" vert="horz" wrap="square" lIns="38100" tIns="19050" rIns="38100" bIns="19050" anchor="b" anchorCtr="0">
                  <a:noAutofit/>
                </a:bodyPr>
                <a:lstStyle/>
                <a:p>
                  <a:pPr algn="l">
                    <a:defRPr sz="100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dLblPos val="ct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52298275782042569"/>
                      <c:h val="0.20058781113899224"/>
                    </c:manualLayout>
                  </c15:layout>
                </c:ext>
                <c:ext xmlns:c16="http://schemas.microsoft.com/office/drawing/2014/chart" uri="{C3380CC4-5D6E-409C-BE32-E72D297353CC}">
                  <c16:uniqueId val="{00000001-1E80-4761-956F-F1E7EF0CA813}"/>
                </c:ext>
              </c:extLst>
            </c:dLbl>
            <c:dLbl>
              <c:idx val="1"/>
              <c:layout>
                <c:manualLayout>
                  <c:x val="7.0175516149209721E-3"/>
                  <c:y val="0.21225173776354878"/>
                </c:manualLayout>
              </c:layout>
              <c:numFmt formatCode="#,##0\ &quot;$&quot;" sourceLinked="0"/>
              <c:spPr>
                <a:noFill/>
                <a:ln>
                  <a:noFill/>
                </a:ln>
                <a:effectLst/>
              </c:spPr>
              <c:txPr>
                <a:bodyPr rot="0" spcFirstLastPara="1" vertOverflow="ellipsis" vert="horz" wrap="square" lIns="38100" tIns="19050" rIns="38100" bIns="19050" anchor="b" anchorCtr="0">
                  <a:noAutofit/>
                </a:bodyPr>
                <a:lstStyle/>
                <a:p>
                  <a:pPr algn="r">
                    <a:defRPr sz="1000" b="0" i="0" u="none" strike="noStrike" kern="1200" baseline="0">
                      <a:solidFill>
                        <a:srgbClr val="002060"/>
                      </a:solidFill>
                      <a:latin typeface="Bahnschrift Light Condensed" panose="020B0502040204020203" pitchFamily="34" charset="0"/>
                      <a:ea typeface="+mn-ea"/>
                      <a:cs typeface="+mn-cs"/>
                    </a:defRPr>
                  </a:pPr>
                  <a:endParaRPr lang="fr-FR"/>
                </a:p>
              </c:txPr>
              <c:dLblPos val="ct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42452153559501105"/>
                      <c:h val="0.21722846441947566"/>
                    </c:manualLayout>
                  </c15:layout>
                </c:ext>
                <c:ext xmlns:c16="http://schemas.microsoft.com/office/drawing/2014/chart" uri="{C3380CC4-5D6E-409C-BE32-E72D297353CC}">
                  <c16:uniqueId val="{00000003-1E80-4761-956F-F1E7EF0CA813}"/>
                </c:ext>
              </c:extLst>
            </c:dLbl>
            <c:numFmt formatCode="#,##0\ &quot;$&quot;" sourceLinked="0"/>
            <c:spPr>
              <a:noFill/>
              <a:ln>
                <a:noFill/>
              </a:ln>
              <a:effectLst/>
            </c:spPr>
            <c:txPr>
              <a:bodyPr rot="0" spcFirstLastPara="1" vertOverflow="ellipsis" vert="horz" wrap="square" lIns="38100" tIns="19050" rIns="38100" bIns="19050" anchor="ctr" anchorCtr="0">
                <a:spAutoFit/>
              </a:bodyPr>
              <a:lstStyle/>
              <a:p>
                <a:pPr algn="l">
                  <a:defRPr sz="1000" b="0" i="0" u="none" strike="noStrike" kern="1200" baseline="0">
                    <a:solidFill>
                      <a:srgbClr val="002060"/>
                    </a:solidFill>
                    <a:latin typeface="Bahnschrift Light Condensed" panose="020B0502040204020203" pitchFamily="34" charset="0"/>
                    <a:ea typeface="+mn-ea"/>
                    <a:cs typeface="+mn-cs"/>
                  </a:defRPr>
                </a:pPr>
                <a:endParaRPr lang="fr-FR"/>
              </a:p>
            </c:txPr>
            <c:dLblPos val="inBase"/>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cat>
            <c:strRef>
              <c:f>'CALCULS Eau'!$I$326:$I$327</c:f>
              <c:strCache>
                <c:ptCount val="2"/>
                <c:pt idx="0">
                  <c:v>Coûts prévisionnels</c:v>
                </c:pt>
                <c:pt idx="1">
                  <c:v>Budget planifié</c:v>
                </c:pt>
              </c:strCache>
            </c:strRef>
          </c:cat>
          <c:val>
            <c:numRef>
              <c:f>'CALCULS Eau'!$J$326:$J$327</c:f>
              <c:numCache>
                <c:formatCode>#\ ##0\ "$"</c:formatCode>
                <c:ptCount val="2"/>
                <c:pt idx="0">
                  <c:v>0</c:v>
                </c:pt>
                <c:pt idx="1">
                  <c:v>0</c:v>
                </c:pt>
              </c:numCache>
            </c:numRef>
          </c:val>
          <c:extLst>
            <c:ext xmlns:c16="http://schemas.microsoft.com/office/drawing/2014/chart" uri="{C3380CC4-5D6E-409C-BE32-E72D297353CC}">
              <c16:uniqueId val="{00000004-1E80-4761-956F-F1E7EF0CA813}"/>
            </c:ext>
          </c:extLst>
        </c:ser>
        <c:ser>
          <c:idx val="1"/>
          <c:order val="1"/>
          <c:tx>
            <c:strRef>
              <c:f>'CALCULS Eau'!$K$324:$K$325</c:f>
              <c:strCache>
                <c:ptCount val="2"/>
                <c:pt idx="0">
                  <c:v>Déficit de financement</c:v>
                </c:pt>
              </c:strCache>
            </c:strRef>
          </c:tx>
          <c:spPr>
            <a:solidFill>
              <a:srgbClr val="C00000"/>
            </a:solidFill>
            <a:ln>
              <a:solidFill>
                <a:schemeClr val="accent5">
                  <a:lumMod val="50000"/>
                </a:schemeClr>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1E80-4761-956F-F1E7EF0CA813}"/>
                </c:ext>
              </c:extLst>
            </c:dLbl>
            <c:dLbl>
              <c:idx val="1"/>
              <c:layout>
                <c:manualLayout>
                  <c:x val="-2.2439035711049271E-2"/>
                  <c:y val="-0.29849808099830216"/>
                </c:manualLayout>
              </c:layout>
              <c:numFmt formatCode="#,##0\ &quot;$&quot;" sourceLinked="0"/>
              <c:spPr>
                <a:noFill/>
                <a:ln>
                  <a:noFill/>
                </a:ln>
                <a:effectLst/>
              </c:spPr>
              <c:txPr>
                <a:bodyPr rot="0" spcFirstLastPara="1" vertOverflow="ellipsis" vert="horz" wrap="square" lIns="38100" tIns="19050" rIns="38100" bIns="19050" anchor="t" anchorCtr="0">
                  <a:noAutofit/>
                </a:bodyPr>
                <a:lstStyle/>
                <a:p>
                  <a:pPr algn="r">
                    <a:defRPr sz="100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5807786498451718"/>
                      <c:h val="0.22199186640131521"/>
                    </c:manualLayout>
                  </c15:layout>
                </c:ext>
                <c:ext xmlns:c16="http://schemas.microsoft.com/office/drawing/2014/chart" uri="{C3380CC4-5D6E-409C-BE32-E72D297353CC}">
                  <c16:uniqueId val="{00000006-1E80-4761-956F-F1E7EF0CA81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'CALCULS Eau'!$I$326:$I$327</c:f>
              <c:strCache>
                <c:ptCount val="2"/>
                <c:pt idx="0">
                  <c:v>Coûts prévisionnels</c:v>
                </c:pt>
                <c:pt idx="1">
                  <c:v>Budget planifié</c:v>
                </c:pt>
              </c:strCache>
            </c:strRef>
          </c:cat>
          <c:val>
            <c:numRef>
              <c:f>'CALCULS Eau'!$K$326:$K$327</c:f>
              <c:numCache>
                <c:formatCode>#\ ##0\ "$"</c:formatCode>
                <c:ptCount val="2"/>
                <c:pt idx="0">
                  <c:v>0</c:v>
                </c:pt>
                <c:pt idx="1">
                  <c:v>0</c:v>
                </c:pt>
              </c:numCache>
            </c:numRef>
          </c:val>
          <c:extLst>
            <c:ext xmlns:c16="http://schemas.microsoft.com/office/drawing/2014/chart" uri="{C3380CC4-5D6E-409C-BE32-E72D297353CC}">
              <c16:uniqueId val="{00000007-1E80-4761-956F-F1E7EF0CA813}"/>
            </c:ext>
          </c:extLst>
        </c:ser>
        <c:dLbls>
          <c:showLegendKey val="0"/>
          <c:showVal val="0"/>
          <c:showCatName val="0"/>
          <c:showSerName val="0"/>
          <c:showPercent val="0"/>
          <c:showBubbleSize val="0"/>
        </c:dLbls>
        <c:gapWidth val="16"/>
        <c:overlap val="100"/>
        <c:axId val="1692711760"/>
        <c:axId val="1692710096"/>
      </c:barChart>
      <c:catAx>
        <c:axId val="1692711760"/>
        <c:scaling>
          <c:orientation val="minMax"/>
        </c:scaling>
        <c:delete val="1"/>
        <c:axPos val="b"/>
        <c:numFmt formatCode="General" sourceLinked="1"/>
        <c:majorTickMark val="out"/>
        <c:minorTickMark val="none"/>
        <c:tickLblPos val="nextTo"/>
        <c:crossAx val="1692710096"/>
        <c:crosses val="autoZero"/>
        <c:auto val="1"/>
        <c:lblAlgn val="ctr"/>
        <c:lblOffset val="100"/>
        <c:noMultiLvlLbl val="0"/>
      </c:catAx>
      <c:valAx>
        <c:axId val="1692710096"/>
        <c:scaling>
          <c:orientation val="minMax"/>
          <c:min val="0"/>
        </c:scaling>
        <c:delete val="1"/>
        <c:axPos val="l"/>
        <c:numFmt formatCode="#\ ##0\ &quot;$&quot;" sourceLinked="1"/>
        <c:majorTickMark val="out"/>
        <c:minorTickMark val="none"/>
        <c:tickLblPos val="nextTo"/>
        <c:crossAx val="1692711760"/>
        <c:crosses val="autoZero"/>
        <c:crossBetween val="between"/>
      </c:valAx>
      <c:spPr>
        <a:noFill/>
        <a:ln>
          <a:noFill/>
        </a:ln>
        <a:effectLst/>
      </c:spPr>
    </c:plotArea>
    <c:plotVisOnly val="1"/>
    <c:dispBlanksAs val="gap"/>
    <c:showDLblsOverMax val="0"/>
  </c:chart>
  <c:spPr>
    <a:solidFill>
      <a:schemeClr val="bg1">
        <a:alpha val="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619341757260535E-2"/>
          <c:y val="0"/>
          <c:w val="0.93378193703193368"/>
          <c:h val="0.99047619047619051"/>
        </c:manualLayout>
      </c:layout>
      <c:pieChart>
        <c:varyColors val="1"/>
        <c:ser>
          <c:idx val="0"/>
          <c:order val="0"/>
          <c:dPt>
            <c:idx val="0"/>
            <c:bubble3D val="0"/>
            <c:spPr>
              <a:solidFill>
                <a:srgbClr val="7CAFDE"/>
              </a:solidFill>
              <a:ln w="19050">
                <a:solidFill>
                  <a:schemeClr val="lt1"/>
                </a:solidFill>
              </a:ln>
              <a:effectLst/>
            </c:spPr>
            <c:extLst>
              <c:ext xmlns:c16="http://schemas.microsoft.com/office/drawing/2014/chart" uri="{C3380CC4-5D6E-409C-BE32-E72D297353CC}">
                <c16:uniqueId val="{00000001-5135-4B1B-9829-91A7E2179B82}"/>
              </c:ext>
            </c:extLst>
          </c:dPt>
          <c:dPt>
            <c:idx val="1"/>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3-5135-4B1B-9829-91A7E2179B82}"/>
              </c:ext>
            </c:extLst>
          </c:dPt>
          <c:dPt>
            <c:idx val="2"/>
            <c:bubble3D val="0"/>
            <c:spPr>
              <a:solidFill>
                <a:srgbClr val="2BB3A3"/>
              </a:solidFill>
              <a:ln w="19050">
                <a:solidFill>
                  <a:schemeClr val="lt1"/>
                </a:solidFill>
              </a:ln>
              <a:effectLst/>
            </c:spPr>
            <c:extLst>
              <c:ext xmlns:c16="http://schemas.microsoft.com/office/drawing/2014/chart" uri="{C3380CC4-5D6E-409C-BE32-E72D297353CC}">
                <c16:uniqueId val="{00000005-5135-4B1B-9829-91A7E2179B82}"/>
              </c:ext>
            </c:extLst>
          </c:dPt>
          <c:dLbls>
            <c:dLbl>
              <c:idx val="0"/>
              <c:layout>
                <c:manualLayout>
                  <c:x val="-3.5120922504882739E-17"/>
                  <c:y val="-4.5410968365796389E-2"/>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53800826620810327"/>
                      <c:h val="0.42473684210526313"/>
                    </c:manualLayout>
                  </c15:layout>
                </c:ext>
                <c:ext xmlns:c16="http://schemas.microsoft.com/office/drawing/2014/chart" uri="{C3380CC4-5D6E-409C-BE32-E72D297353CC}">
                  <c16:uniqueId val="{00000001-5135-4B1B-9829-91A7E2179B82}"/>
                </c:ext>
              </c:extLst>
            </c:dLbl>
            <c:dLbl>
              <c:idx val="1"/>
              <c:layout>
                <c:manualLayout>
                  <c:x val="-0.12522400217214236"/>
                  <c:y val="-8.7715844729935072E-2"/>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4091954022988506"/>
                      <c:h val="0.4949122807017543"/>
                    </c:manualLayout>
                  </c15:layout>
                </c:ext>
                <c:ext xmlns:c16="http://schemas.microsoft.com/office/drawing/2014/chart" uri="{C3380CC4-5D6E-409C-BE32-E72D297353CC}">
                  <c16:uniqueId val="{00000003-5135-4B1B-9829-91A7E2179B82}"/>
                </c:ext>
              </c:extLst>
            </c:dLbl>
            <c:dLbl>
              <c:idx val="2"/>
              <c:layout>
                <c:manualLayout>
                  <c:x val="1.4330105288563064E-3"/>
                  <c:y val="-0.19557742782152232"/>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50398527770235613"/>
                      <c:h val="0.4949122807017543"/>
                    </c:manualLayout>
                  </c15:layout>
                </c:ext>
                <c:ext xmlns:c16="http://schemas.microsoft.com/office/drawing/2014/chart" uri="{C3380CC4-5D6E-409C-BE32-E72D297353CC}">
                  <c16:uniqueId val="{00000005-5135-4B1B-9829-91A7E2179B8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'CALCULS Eau'!$M$326:$M$328</c:f>
              <c:numCache>
                <c:formatCode>#\ ##0\ "$"</c:formatCode>
                <c:ptCount val="3"/>
                <c:pt idx="0">
                  <c:v>0</c:v>
                </c:pt>
                <c:pt idx="1">
                  <c:v>0</c:v>
                </c:pt>
                <c:pt idx="2">
                  <c:v>0</c:v>
                </c:pt>
              </c:numCache>
            </c:numRef>
          </c:val>
          <c:extLst>
            <c:ext xmlns:c16="http://schemas.microsoft.com/office/drawing/2014/chart" uri="{C3380CC4-5D6E-409C-BE32-E72D297353CC}">
              <c16:uniqueId val="{00000006-5135-4B1B-9829-91A7E2179B8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619341757260535E-2"/>
          <c:y val="0"/>
          <c:w val="0.93378193703193368"/>
          <c:h val="0.99047619047619051"/>
        </c:manualLayout>
      </c:layout>
      <c:pieChart>
        <c:varyColors val="1"/>
        <c:ser>
          <c:idx val="0"/>
          <c:order val="0"/>
          <c:dPt>
            <c:idx val="0"/>
            <c:bubble3D val="0"/>
            <c:spPr>
              <a:solidFill>
                <a:srgbClr val="BDD7EE"/>
              </a:solidFill>
              <a:ln w="19050">
                <a:solidFill>
                  <a:schemeClr val="lt1"/>
                </a:solidFill>
              </a:ln>
              <a:effectLst/>
            </c:spPr>
            <c:extLst>
              <c:ext xmlns:c16="http://schemas.microsoft.com/office/drawing/2014/chart" uri="{C3380CC4-5D6E-409C-BE32-E72D297353CC}">
                <c16:uniqueId val="{00000001-0934-427F-BFBA-DA61D0711B09}"/>
              </c:ext>
            </c:extLst>
          </c:dPt>
          <c:dPt>
            <c:idx val="1"/>
            <c:bubble3D val="0"/>
            <c:spPr>
              <a:solidFill>
                <a:srgbClr val="DEC98E"/>
              </a:solidFill>
              <a:ln w="19050">
                <a:solidFill>
                  <a:schemeClr val="lt1"/>
                </a:solidFill>
              </a:ln>
              <a:effectLst/>
            </c:spPr>
            <c:extLst>
              <c:ext xmlns:c16="http://schemas.microsoft.com/office/drawing/2014/chart" uri="{C3380CC4-5D6E-409C-BE32-E72D297353CC}">
                <c16:uniqueId val="{00000003-0934-427F-BFBA-DA61D0711B09}"/>
              </c:ext>
            </c:extLst>
          </c:dPt>
          <c:dPt>
            <c:idx val="2"/>
            <c:bubble3D val="0"/>
            <c:spPr>
              <a:solidFill>
                <a:srgbClr val="C6F2ED"/>
              </a:solidFill>
              <a:ln w="19050">
                <a:solidFill>
                  <a:schemeClr val="lt1"/>
                </a:solidFill>
              </a:ln>
              <a:effectLst/>
            </c:spPr>
            <c:extLst>
              <c:ext xmlns:c16="http://schemas.microsoft.com/office/drawing/2014/chart" uri="{C3380CC4-5D6E-409C-BE32-E72D297353CC}">
                <c16:uniqueId val="{00000005-0934-427F-BFBA-DA61D0711B09}"/>
              </c:ext>
            </c:extLst>
          </c:dPt>
          <c:dLbls>
            <c:dLbl>
              <c:idx val="0"/>
              <c:layout>
                <c:manualLayout>
                  <c:x val="-4.6511627906976744E-2"/>
                  <c:y val="-0.18532337303990848"/>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49266678874443021"/>
                      <c:h val="0.39628777172084256"/>
                    </c:manualLayout>
                  </c15:layout>
                </c:ext>
                <c:ext xmlns:c16="http://schemas.microsoft.com/office/drawing/2014/chart" uri="{C3380CC4-5D6E-409C-BE32-E72D297353CC}">
                  <c16:uniqueId val="{00000001-0934-427F-BFBA-DA61D0711B09}"/>
                </c:ext>
              </c:extLst>
            </c:dLbl>
            <c:dLbl>
              <c:idx val="1"/>
              <c:layout>
                <c:manualLayout>
                  <c:x val="6.3077580418726678E-3"/>
                  <c:y val="-0.15019987886129618"/>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51751937984496121"/>
                      <c:h val="0.46153846153846156"/>
                    </c:manualLayout>
                  </c15:layout>
                </c:ext>
                <c:ext xmlns:c16="http://schemas.microsoft.com/office/drawing/2014/chart" uri="{C3380CC4-5D6E-409C-BE32-E72D297353CC}">
                  <c16:uniqueId val="{00000003-0934-427F-BFBA-DA61D0711B09}"/>
                </c:ext>
              </c:extLst>
            </c:dLbl>
            <c:dLbl>
              <c:idx val="2"/>
              <c:layout>
                <c:manualLayout>
                  <c:x val="4.6577549899285836E-2"/>
                  <c:y val="4.5350292751867555E-2"/>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49248123054385645"/>
                      <c:h val="0.46153846153846156"/>
                    </c:manualLayout>
                  </c15:layout>
                </c:ext>
                <c:ext xmlns:c16="http://schemas.microsoft.com/office/drawing/2014/chart" uri="{C3380CC4-5D6E-409C-BE32-E72D297353CC}">
                  <c16:uniqueId val="{00000005-0934-427F-BFBA-DA61D0711B0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'CALCULS Eau'!$M$331:$M$333</c:f>
              <c:numCache>
                <c:formatCode>#\ ##0\ "$"</c:formatCode>
                <c:ptCount val="3"/>
                <c:pt idx="0">
                  <c:v>0</c:v>
                </c:pt>
                <c:pt idx="1">
                  <c:v>0</c:v>
                </c:pt>
                <c:pt idx="2">
                  <c:v>0</c:v>
                </c:pt>
              </c:numCache>
            </c:numRef>
          </c:val>
          <c:extLst>
            <c:ext xmlns:c16="http://schemas.microsoft.com/office/drawing/2014/chart" uri="{C3380CC4-5D6E-409C-BE32-E72D297353CC}">
              <c16:uniqueId val="{00000006-0934-427F-BFBA-DA61D0711B09}"/>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740157480314962E-2"/>
          <c:y val="0.18316085738966581"/>
          <c:w val="0.9625753280839896"/>
          <c:h val="0.59850706344282301"/>
        </c:manualLayout>
      </c:layout>
      <c:barChart>
        <c:barDir val="col"/>
        <c:grouping val="stacked"/>
        <c:varyColors val="0"/>
        <c:ser>
          <c:idx val="0"/>
          <c:order val="0"/>
          <c:spPr>
            <a:solidFill>
              <a:schemeClr val="accent1"/>
            </a:solidFill>
            <a:ln>
              <a:noFill/>
            </a:ln>
            <a:effectLst/>
          </c:spPr>
          <c:invertIfNegative val="0"/>
          <c:dPt>
            <c:idx val="0"/>
            <c:invertIfNegative val="0"/>
            <c:bubble3D val="0"/>
            <c:spPr>
              <a:solidFill>
                <a:srgbClr val="EEB500"/>
              </a:solidFill>
              <a:ln>
                <a:solidFill>
                  <a:srgbClr val="002060"/>
                </a:solidFill>
              </a:ln>
              <a:effectLst/>
            </c:spPr>
            <c:extLst>
              <c:ext xmlns:c16="http://schemas.microsoft.com/office/drawing/2014/chart" uri="{C3380CC4-5D6E-409C-BE32-E72D297353CC}">
                <c16:uniqueId val="{00000001-6C36-4C65-A179-BE1D8C0BF2DE}"/>
              </c:ext>
            </c:extLst>
          </c:dPt>
          <c:dPt>
            <c:idx val="1"/>
            <c:invertIfNegative val="0"/>
            <c:bubble3D val="0"/>
            <c:spPr>
              <a:solidFill>
                <a:schemeClr val="bg1"/>
              </a:solidFill>
              <a:ln>
                <a:solidFill>
                  <a:srgbClr val="002060"/>
                </a:solidFill>
              </a:ln>
              <a:effectLst/>
            </c:spPr>
            <c:extLst>
              <c:ext xmlns:c16="http://schemas.microsoft.com/office/drawing/2014/chart" uri="{C3380CC4-5D6E-409C-BE32-E72D297353CC}">
                <c16:uniqueId val="{00000003-6C36-4C65-A179-BE1D8C0BF2DE}"/>
              </c:ext>
            </c:extLst>
          </c:dPt>
          <c:dLbls>
            <c:dLbl>
              <c:idx val="0"/>
              <c:layout>
                <c:manualLayout>
                  <c:x val="8.2064699673356951E-3"/>
                  <c:y val="0.37436871846312186"/>
                </c:manualLayout>
              </c:layout>
              <c:numFmt formatCode="###,\ ###,##0\ &quot;$&quot;" sourceLinked="0"/>
              <c:spPr>
                <a:noFill/>
                <a:ln>
                  <a:noFill/>
                </a:ln>
                <a:effectLst/>
              </c:spPr>
              <c:txPr>
                <a:bodyPr rot="0" spcFirstLastPara="1" vertOverflow="ellipsis" vert="horz" wrap="square" lIns="38100" tIns="19050" rIns="38100" bIns="19050" anchor="b" anchorCtr="0">
                  <a:noAutofit/>
                </a:bodyPr>
                <a:lstStyle/>
                <a:p>
                  <a:pPr algn="l">
                    <a:defRPr sz="100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dLblPos val="ct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50182208747769674"/>
                      <c:h val="0.22187220533485935"/>
                    </c:manualLayout>
                  </c15:layout>
                </c:ext>
                <c:ext xmlns:c16="http://schemas.microsoft.com/office/drawing/2014/chart" uri="{C3380CC4-5D6E-409C-BE32-E72D297353CC}">
                  <c16:uniqueId val="{00000001-6C36-4C65-A179-BE1D8C0BF2DE}"/>
                </c:ext>
              </c:extLst>
            </c:dLbl>
            <c:dLbl>
              <c:idx val="1"/>
              <c:layout>
                <c:manualLayout>
                  <c:x val="1.3071631376855861E-2"/>
                  <c:y val="0.20649080357978244"/>
                </c:manualLayout>
              </c:layout>
              <c:numFmt formatCode="#,##0\ &quot;$&quot;" sourceLinked="0"/>
              <c:spPr>
                <a:noFill/>
                <a:ln>
                  <a:noFill/>
                </a:ln>
                <a:effectLst/>
              </c:spPr>
              <c:txPr>
                <a:bodyPr rot="0" spcFirstLastPara="1" vertOverflow="ellipsis" vert="horz" wrap="square" lIns="38100" tIns="19050" rIns="38100" bIns="19050" anchor="b" anchorCtr="0">
                  <a:noAutofit/>
                </a:bodyPr>
                <a:lstStyle/>
                <a:p>
                  <a:pPr algn="r">
                    <a:defRPr sz="1000" b="0" i="0" u="none" strike="noStrike" kern="1200" baseline="0">
                      <a:solidFill>
                        <a:srgbClr val="002060"/>
                      </a:solidFill>
                      <a:latin typeface="Bahnschrift Light Condensed" panose="020B0502040204020203" pitchFamily="34" charset="0"/>
                      <a:ea typeface="+mn-ea"/>
                      <a:cs typeface="+mn-cs"/>
                    </a:defRPr>
                  </a:pPr>
                  <a:endParaRPr lang="fr-FR"/>
                </a:p>
              </c:txPr>
              <c:dLblPos val="ct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4143169796083182"/>
                      <c:h val="0.20626151012891344"/>
                    </c:manualLayout>
                  </c15:layout>
                </c:ext>
                <c:ext xmlns:c16="http://schemas.microsoft.com/office/drawing/2014/chart" uri="{C3380CC4-5D6E-409C-BE32-E72D297353CC}">
                  <c16:uniqueId val="{00000003-6C36-4C65-A179-BE1D8C0BF2DE}"/>
                </c:ext>
              </c:extLst>
            </c:dLbl>
            <c:spPr>
              <a:noFill/>
              <a:ln>
                <a:noFill/>
              </a:ln>
              <a:effectLst/>
            </c:spPr>
            <c:txPr>
              <a:bodyPr rot="0" spcFirstLastPara="1" vertOverflow="ellipsis" vert="horz" wrap="square" lIns="38100" tIns="19050" rIns="38100" bIns="19050" anchor="ctr" anchorCtr="0">
                <a:spAutoFit/>
              </a:bodyPr>
              <a:lstStyle/>
              <a:p>
                <a:pPr algn="l">
                  <a:defRPr sz="1000" b="0" i="0" u="none" strike="noStrike" kern="1200" baseline="0">
                    <a:solidFill>
                      <a:srgbClr val="002060"/>
                    </a:solidFill>
                    <a:latin typeface="Bahnschrift Light Condensed" panose="020B0502040204020203" pitchFamily="34" charset="0"/>
                    <a:ea typeface="+mn-ea"/>
                    <a:cs typeface="+mn-cs"/>
                  </a:defRPr>
                </a:pPr>
                <a:endParaRPr lang="fr-FR"/>
              </a:p>
            </c:txPr>
            <c:dLblPos val="inBase"/>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cat>
            <c:strRef>
              <c:f>'CALCULS Eau'!$I$305:$I$306</c:f>
              <c:strCache>
                <c:ptCount val="2"/>
                <c:pt idx="0">
                  <c:v>Coûts prévisionnels</c:v>
                </c:pt>
                <c:pt idx="1">
                  <c:v>Budget planifié</c:v>
                </c:pt>
              </c:strCache>
            </c:strRef>
          </c:cat>
          <c:val>
            <c:numRef>
              <c:f>'CALCULS Eau'!$J$305:$J$306</c:f>
              <c:numCache>
                <c:formatCode>#\ ##0\ "$"</c:formatCode>
                <c:ptCount val="2"/>
                <c:pt idx="0">
                  <c:v>0</c:v>
                </c:pt>
                <c:pt idx="1">
                  <c:v>0</c:v>
                </c:pt>
              </c:numCache>
            </c:numRef>
          </c:val>
          <c:extLst>
            <c:ext xmlns:c16="http://schemas.microsoft.com/office/drawing/2014/chart" uri="{C3380CC4-5D6E-409C-BE32-E72D297353CC}">
              <c16:uniqueId val="{00000004-6C36-4C65-A179-BE1D8C0BF2DE}"/>
            </c:ext>
          </c:extLst>
        </c:ser>
        <c:ser>
          <c:idx val="1"/>
          <c:order val="1"/>
          <c:tx>
            <c:strRef>
              <c:f>'CALCULS Eau'!$K$303:$K$304</c:f>
              <c:strCache>
                <c:ptCount val="2"/>
                <c:pt idx="0">
                  <c:v>Déficit de financement</c:v>
                </c:pt>
              </c:strCache>
            </c:strRef>
          </c:tx>
          <c:spPr>
            <a:solidFill>
              <a:srgbClr val="C00000"/>
            </a:solidFill>
            <a:ln>
              <a:solidFill>
                <a:schemeClr val="accent5">
                  <a:lumMod val="50000"/>
                </a:schemeClr>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C36-4C65-A179-BE1D8C0BF2DE}"/>
                </c:ext>
              </c:extLst>
            </c:dLbl>
            <c:dLbl>
              <c:idx val="1"/>
              <c:layout>
                <c:manualLayout>
                  <c:x val="-4.2831547646362295E-2"/>
                  <c:y val="-0.35085068263503871"/>
                </c:manualLayout>
              </c:layout>
              <c:numFmt formatCode="#,##0\ &quot;$&quot;" sourceLinked="0"/>
              <c:spPr>
                <a:noFill/>
                <a:ln>
                  <a:noFill/>
                </a:ln>
                <a:effectLst/>
              </c:spPr>
              <c:txPr>
                <a:bodyPr rot="0" spcFirstLastPara="1" vertOverflow="ellipsis" vert="horz" wrap="square" lIns="38100" tIns="19050" rIns="38100" bIns="19050" anchor="t" anchorCtr="0">
                  <a:noAutofit/>
                </a:bodyPr>
                <a:lstStyle/>
                <a:p>
                  <a:pPr algn="r">
                    <a:defRPr sz="1000" b="0" i="0" u="none" strike="noStrike" kern="1200" baseline="0">
                      <a:solidFill>
                        <a:srgbClr val="002060"/>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53069140513025304"/>
                      <c:h val="0.23826213442244132"/>
                    </c:manualLayout>
                  </c15:layout>
                </c:ext>
                <c:ext xmlns:c16="http://schemas.microsoft.com/office/drawing/2014/chart" uri="{C3380CC4-5D6E-409C-BE32-E72D297353CC}">
                  <c16:uniqueId val="{00000006-6C36-4C65-A179-BE1D8C0BF2DE}"/>
                </c:ext>
              </c:extLst>
            </c:dLbl>
            <c:numFmt formatCode="#,##0\ &quot;$&quot;" sourceLinked="0"/>
            <c:spPr>
              <a:noFill/>
              <a:ln>
                <a:noFill/>
              </a:ln>
              <a:effectLst/>
            </c:spPr>
            <c:txPr>
              <a:bodyPr rot="0" spcFirstLastPara="1" vertOverflow="ellipsis" vert="horz" wrap="square" lIns="38100" tIns="19050" rIns="38100" bIns="19050" anchor="t"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'CALCULS Eau'!$I$305:$I$306</c:f>
              <c:strCache>
                <c:ptCount val="2"/>
                <c:pt idx="0">
                  <c:v>Coûts prévisionnels</c:v>
                </c:pt>
                <c:pt idx="1">
                  <c:v>Budget planifié</c:v>
                </c:pt>
              </c:strCache>
            </c:strRef>
          </c:cat>
          <c:val>
            <c:numRef>
              <c:f>'CALCULS Eau'!$K$305:$K$306</c:f>
              <c:numCache>
                <c:formatCode>#\ ##0\ "$"</c:formatCode>
                <c:ptCount val="2"/>
                <c:pt idx="0">
                  <c:v>0</c:v>
                </c:pt>
                <c:pt idx="1">
                  <c:v>0</c:v>
                </c:pt>
              </c:numCache>
            </c:numRef>
          </c:val>
          <c:extLst>
            <c:ext xmlns:c16="http://schemas.microsoft.com/office/drawing/2014/chart" uri="{C3380CC4-5D6E-409C-BE32-E72D297353CC}">
              <c16:uniqueId val="{00000007-6C36-4C65-A179-BE1D8C0BF2DE}"/>
            </c:ext>
          </c:extLst>
        </c:ser>
        <c:dLbls>
          <c:showLegendKey val="0"/>
          <c:showVal val="0"/>
          <c:showCatName val="0"/>
          <c:showSerName val="0"/>
          <c:showPercent val="0"/>
          <c:showBubbleSize val="0"/>
        </c:dLbls>
        <c:gapWidth val="16"/>
        <c:overlap val="100"/>
        <c:axId val="1692711760"/>
        <c:axId val="1692710096"/>
      </c:barChart>
      <c:catAx>
        <c:axId val="1692711760"/>
        <c:scaling>
          <c:orientation val="minMax"/>
        </c:scaling>
        <c:delete val="1"/>
        <c:axPos val="b"/>
        <c:numFmt formatCode="General" sourceLinked="1"/>
        <c:majorTickMark val="out"/>
        <c:minorTickMark val="none"/>
        <c:tickLblPos val="nextTo"/>
        <c:crossAx val="1692710096"/>
        <c:crosses val="autoZero"/>
        <c:auto val="1"/>
        <c:lblAlgn val="ctr"/>
        <c:lblOffset val="100"/>
        <c:noMultiLvlLbl val="0"/>
      </c:catAx>
      <c:valAx>
        <c:axId val="1692710096"/>
        <c:scaling>
          <c:orientation val="minMax"/>
          <c:min val="0"/>
        </c:scaling>
        <c:delete val="1"/>
        <c:axPos val="l"/>
        <c:numFmt formatCode="#\ ##0\ &quot;$&quot;" sourceLinked="1"/>
        <c:majorTickMark val="out"/>
        <c:minorTickMark val="none"/>
        <c:tickLblPos val="nextTo"/>
        <c:crossAx val="1692711760"/>
        <c:crosses val="autoZero"/>
        <c:crossBetween val="between"/>
      </c:valAx>
      <c:spPr>
        <a:noFill/>
        <a:ln>
          <a:noFill/>
        </a:ln>
        <a:effectLst/>
      </c:spPr>
    </c:plotArea>
    <c:plotVisOnly val="1"/>
    <c:dispBlanksAs val="gap"/>
    <c:showDLblsOverMax val="0"/>
  </c:chart>
  <c:spPr>
    <a:solidFill>
      <a:schemeClr val="bg1">
        <a:alpha val="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619341757260535E-2"/>
          <c:y val="0"/>
          <c:w val="0.93378193703193368"/>
          <c:h val="0.99047619047619051"/>
        </c:manualLayout>
      </c:layout>
      <c:pieChart>
        <c:varyColors val="1"/>
        <c:ser>
          <c:idx val="0"/>
          <c:order val="0"/>
          <c:dPt>
            <c:idx val="0"/>
            <c:bubble3D val="0"/>
            <c:spPr>
              <a:solidFill>
                <a:srgbClr val="7CAFDE"/>
              </a:solidFill>
              <a:ln w="19050">
                <a:solidFill>
                  <a:schemeClr val="lt1"/>
                </a:solidFill>
              </a:ln>
              <a:effectLst/>
            </c:spPr>
            <c:extLst>
              <c:ext xmlns:c16="http://schemas.microsoft.com/office/drawing/2014/chart" uri="{C3380CC4-5D6E-409C-BE32-E72D297353CC}">
                <c16:uniqueId val="{00000001-83F7-457A-8E2C-9470DE98EC2E}"/>
              </c:ext>
            </c:extLst>
          </c:dPt>
          <c:dPt>
            <c:idx val="1"/>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3-83F7-457A-8E2C-9470DE98EC2E}"/>
              </c:ext>
            </c:extLst>
          </c:dPt>
          <c:dPt>
            <c:idx val="2"/>
            <c:bubble3D val="0"/>
            <c:spPr>
              <a:solidFill>
                <a:srgbClr val="2BB3A3"/>
              </a:solidFill>
              <a:ln w="19050">
                <a:solidFill>
                  <a:schemeClr val="lt1"/>
                </a:solidFill>
              </a:ln>
              <a:effectLst/>
            </c:spPr>
            <c:extLst>
              <c:ext xmlns:c16="http://schemas.microsoft.com/office/drawing/2014/chart" uri="{C3380CC4-5D6E-409C-BE32-E72D297353CC}">
                <c16:uniqueId val="{00000005-83F7-457A-8E2C-9470DE98EC2E}"/>
              </c:ext>
            </c:extLst>
          </c:dPt>
          <c:dLbls>
            <c:dLbl>
              <c:idx val="0"/>
              <c:layout>
                <c:manualLayout>
                  <c:x val="-6.4409168258646614E-7"/>
                  <c:y val="0.10666666666666667"/>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54249523694200719"/>
                      <c:h val="0.44751706036745409"/>
                    </c:manualLayout>
                  </c15:layout>
                </c:ext>
                <c:ext xmlns:c16="http://schemas.microsoft.com/office/drawing/2014/chart" uri="{C3380CC4-5D6E-409C-BE32-E72D297353CC}">
                  <c16:uniqueId val="{00000001-83F7-457A-8E2C-9470DE98EC2E}"/>
                </c:ext>
              </c:extLst>
            </c:dLbl>
            <c:dLbl>
              <c:idx val="1"/>
              <c:layout>
                <c:manualLayout>
                  <c:x val="4.8170328757276615E-2"/>
                  <c:y val="-0.12941242344706919"/>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56801672577281337"/>
                      <c:h val="0.41964514435695538"/>
                    </c:manualLayout>
                  </c15:layout>
                </c:ext>
                <c:ext xmlns:c16="http://schemas.microsoft.com/office/drawing/2014/chart" uri="{C3380CC4-5D6E-409C-BE32-E72D297353CC}">
                  <c16:uniqueId val="{00000003-83F7-457A-8E2C-9470DE98EC2E}"/>
                </c:ext>
              </c:extLst>
            </c:dLbl>
            <c:dLbl>
              <c:idx val="2"/>
              <c:layout>
                <c:manualLayout>
                  <c:x val="-3.271985747539248E-2"/>
                  <c:y val="1.8343307086614167E-2"/>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49202550087789698"/>
                      <c:h val="0.45520069991251094"/>
                    </c:manualLayout>
                  </c15:layout>
                </c:ext>
                <c:ext xmlns:c16="http://schemas.microsoft.com/office/drawing/2014/chart" uri="{C3380CC4-5D6E-409C-BE32-E72D297353CC}">
                  <c16:uniqueId val="{00000005-83F7-457A-8E2C-9470DE98EC2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'CALCULS Eau'!$M$305:$M$307</c:f>
              <c:numCache>
                <c:formatCode>#\ ##0\ "$"</c:formatCode>
                <c:ptCount val="3"/>
                <c:pt idx="0">
                  <c:v>0</c:v>
                </c:pt>
                <c:pt idx="1">
                  <c:v>0</c:v>
                </c:pt>
                <c:pt idx="2">
                  <c:v>0</c:v>
                </c:pt>
              </c:numCache>
            </c:numRef>
          </c:val>
          <c:extLst>
            <c:ext xmlns:c16="http://schemas.microsoft.com/office/drawing/2014/chart" uri="{C3380CC4-5D6E-409C-BE32-E72D297353CC}">
              <c16:uniqueId val="{00000006-83F7-457A-8E2C-9470DE98EC2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95412300432523"/>
          <c:y val="6.3291139240506333E-2"/>
          <c:w val="0.83578104056560576"/>
          <c:h val="0.69046153846153846"/>
        </c:manualLayout>
      </c:layout>
      <c:barChart>
        <c:barDir val="col"/>
        <c:grouping val="stacked"/>
        <c:varyColors val="0"/>
        <c:ser>
          <c:idx val="0"/>
          <c:order val="0"/>
          <c:tx>
            <c:strRef>
              <c:f>'CALCULS Eau potable'!$D$139</c:f>
              <c:strCache>
                <c:ptCount val="1"/>
                <c:pt idx="0">
                  <c:v>Exploitation</c:v>
                </c:pt>
              </c:strCache>
            </c:strRef>
          </c:tx>
          <c:spPr>
            <a:solidFill>
              <a:srgbClr val="00B0F0"/>
            </a:solidFill>
            <a:ln>
              <a:noFill/>
            </a:ln>
            <a:effectLst/>
          </c:spPr>
          <c:invertIfNegative val="0"/>
          <c:cat>
            <c:numRef>
              <c:f>'CALCULS Eau potable'!$E$137:$N$137</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'CALCULS Eau potable'!$E$139:$N$139</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A3E-4430-94E2-C4C5FF9B6022}"/>
            </c:ext>
          </c:extLst>
        </c:ser>
        <c:ser>
          <c:idx val="3"/>
          <c:order val="1"/>
          <c:tx>
            <c:strRef>
              <c:f>'CALCULS Eau potable'!$D$140</c:f>
              <c:strCache>
                <c:ptCount val="1"/>
                <c:pt idx="0">
                  <c:v>Entretien</c:v>
                </c:pt>
              </c:strCache>
            </c:strRef>
          </c:tx>
          <c:spPr>
            <a:solidFill>
              <a:srgbClr val="0070C0"/>
            </a:solidFill>
            <a:ln>
              <a:noFill/>
            </a:ln>
            <a:effectLst/>
          </c:spPr>
          <c:invertIfNegative val="0"/>
          <c:cat>
            <c:numRef>
              <c:f>'CALCULS Eau potable'!$E$137:$N$137</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'CALCULS Eau potable'!$E$140:$N$140</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CA3E-4430-94E2-C4C5FF9B6022}"/>
            </c:ext>
          </c:extLst>
        </c:ser>
        <c:ser>
          <c:idx val="4"/>
          <c:order val="2"/>
          <c:tx>
            <c:strRef>
              <c:f>'CALCULS Eau potable'!$D$141</c:f>
              <c:strCache>
                <c:ptCount val="1"/>
                <c:pt idx="0">
                  <c:v>Renouvellement</c:v>
                </c:pt>
              </c:strCache>
            </c:strRef>
          </c:tx>
          <c:spPr>
            <a:solidFill>
              <a:schemeClr val="accent4"/>
            </a:solidFill>
            <a:ln>
              <a:noFill/>
            </a:ln>
            <a:effectLst/>
          </c:spPr>
          <c:invertIfNegative val="0"/>
          <c:val>
            <c:numRef>
              <c:f>'CALCULS Eau potable'!$E$141:$N$141</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CA3E-4430-94E2-C4C5FF9B6022}"/>
            </c:ext>
          </c:extLst>
        </c:ser>
        <c:ser>
          <c:idx val="5"/>
          <c:order val="3"/>
          <c:tx>
            <c:strRef>
              <c:f>'CALCULS Eau potable'!$D$142</c:f>
              <c:strCache>
                <c:ptCount val="1"/>
                <c:pt idx="0">
                  <c:v>Acquisition</c:v>
                </c:pt>
              </c:strCache>
            </c:strRef>
          </c:tx>
          <c:spPr>
            <a:solidFill>
              <a:schemeClr val="accent2"/>
            </a:solidFill>
            <a:ln>
              <a:noFill/>
            </a:ln>
            <a:effectLst/>
          </c:spPr>
          <c:invertIfNegative val="0"/>
          <c:val>
            <c:numRef>
              <c:f>'CALCULS Eau potable'!$E$142:$N$142</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CA3E-4430-94E2-C4C5FF9B6022}"/>
            </c:ext>
          </c:extLst>
        </c:ser>
        <c:ser>
          <c:idx val="6"/>
          <c:order val="4"/>
          <c:tx>
            <c:strRef>
              <c:f>'CALCULS Eau potable'!$D$143</c:f>
              <c:strCache>
                <c:ptCount val="1"/>
                <c:pt idx="0">
                  <c:v>Disposition</c:v>
                </c:pt>
              </c:strCache>
            </c:strRef>
          </c:tx>
          <c:spPr>
            <a:solidFill>
              <a:schemeClr val="accent4">
                <a:lumMod val="50000"/>
              </a:schemeClr>
            </a:solidFill>
            <a:ln>
              <a:noFill/>
            </a:ln>
            <a:effectLst/>
          </c:spPr>
          <c:invertIfNegative val="0"/>
          <c:val>
            <c:numRef>
              <c:f>'CALCULS Eau potable'!$E$143:$N$143</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CA3E-4430-94E2-C4C5FF9B6022}"/>
            </c:ext>
          </c:extLst>
        </c:ser>
        <c:dLbls>
          <c:showLegendKey val="0"/>
          <c:showVal val="0"/>
          <c:showCatName val="0"/>
          <c:showSerName val="0"/>
          <c:showPercent val="0"/>
          <c:showBubbleSize val="0"/>
        </c:dLbls>
        <c:gapWidth val="130"/>
        <c:overlap val="100"/>
        <c:axId val="1704784576"/>
        <c:axId val="1704796224"/>
      </c:barChart>
      <c:lineChart>
        <c:grouping val="standard"/>
        <c:varyColors val="0"/>
        <c:ser>
          <c:idx val="1"/>
          <c:order val="5"/>
          <c:tx>
            <c:strRef>
              <c:f>'CALCULS Eau potable'!$D$138</c:f>
              <c:strCache>
                <c:ptCount val="1"/>
                <c:pt idx="0">
                  <c:v>Budget actuel</c:v>
                </c:pt>
              </c:strCache>
            </c:strRef>
          </c:tx>
          <c:spPr>
            <a:ln w="22225" cap="rnd">
              <a:solidFill>
                <a:schemeClr val="tx2">
                  <a:lumMod val="50000"/>
                </a:schemeClr>
              </a:solidFill>
              <a:round/>
            </a:ln>
            <a:effectLst/>
          </c:spPr>
          <c:marker>
            <c:symbol val="none"/>
          </c:marker>
          <c:val>
            <c:numRef>
              <c:f>'CALCULS Eau potable'!$E$138:$N$138</c:f>
              <c:numCache>
                <c:formatCode>#\ ##0\ "$"</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5-CA3E-4430-94E2-C4C5FF9B6022}"/>
            </c:ext>
          </c:extLst>
        </c:ser>
        <c:dLbls>
          <c:showLegendKey val="0"/>
          <c:showVal val="0"/>
          <c:showCatName val="0"/>
          <c:showSerName val="0"/>
          <c:showPercent val="0"/>
          <c:showBubbleSize val="0"/>
        </c:dLbls>
        <c:marker val="1"/>
        <c:smooth val="0"/>
        <c:axId val="1704784576"/>
        <c:axId val="1704796224"/>
      </c:lineChart>
      <c:catAx>
        <c:axId val="1704784576"/>
        <c:scaling>
          <c:orientation val="minMax"/>
        </c:scaling>
        <c:delete val="0"/>
        <c:axPos val="b"/>
        <c:numFmt formatCode="General" sourceLinked="1"/>
        <c:majorTickMark val="none"/>
        <c:minorTickMark val="none"/>
        <c:tickLblPos val="nextTo"/>
        <c:spPr>
          <a:noFill/>
          <a:ln w="9525" cap="flat" cmpd="sng" algn="ctr">
            <a:solidFill>
              <a:schemeClr val="tx2">
                <a:lumMod val="50000"/>
              </a:schemeClr>
            </a:solidFill>
            <a:round/>
          </a:ln>
          <a:effectLst/>
        </c:spPr>
        <c:txPr>
          <a:bodyPr rot="-60000000" spcFirstLastPara="1" vertOverflow="ellipsis" vert="horz" wrap="square" anchor="ctr" anchorCtr="1"/>
          <a:lstStyle/>
          <a:p>
            <a:pPr>
              <a:defRPr sz="10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crossAx val="1704796224"/>
        <c:crosses val="autoZero"/>
        <c:auto val="1"/>
        <c:lblAlgn val="ctr"/>
        <c:lblOffset val="100"/>
        <c:noMultiLvlLbl val="0"/>
      </c:catAx>
      <c:valAx>
        <c:axId val="1704796224"/>
        <c:scaling>
          <c:orientation val="minMax"/>
        </c:scaling>
        <c:delete val="0"/>
        <c:axPos val="l"/>
        <c:majorGridlines>
          <c:spPr>
            <a:ln w="9525" cap="flat" cmpd="sng" algn="ctr">
              <a:solidFill>
                <a:schemeClr val="tx1">
                  <a:lumMod val="15000"/>
                  <a:lumOff val="85000"/>
                </a:schemeClr>
              </a:solidFill>
              <a:round/>
            </a:ln>
            <a:effectLst/>
          </c:spPr>
        </c:majorGridlines>
        <c:numFmt formatCode="#\ ##0\ &quot;$&quot;" sourceLinked="1"/>
        <c:majorTickMark val="none"/>
        <c:minorTickMark val="none"/>
        <c:tickLblPos val="nextTo"/>
        <c:spPr>
          <a:noFill/>
          <a:ln>
            <a:solidFill>
              <a:schemeClr val="tx2">
                <a:lumMod val="50000"/>
              </a:schemeClr>
            </a:solidFill>
          </a:ln>
          <a:effectLst/>
        </c:spPr>
        <c:txPr>
          <a:bodyPr rot="-60000000" spcFirstLastPara="1" vertOverflow="ellipsis" vert="horz" wrap="square" anchor="ctr" anchorCtr="1"/>
          <a:lstStyle/>
          <a:p>
            <a:pPr>
              <a:defRPr sz="10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crossAx val="1704784576"/>
        <c:crosses val="autoZero"/>
        <c:crossBetween val="between"/>
      </c:valAx>
      <c:spPr>
        <a:noFill/>
        <a:ln>
          <a:noFill/>
        </a:ln>
        <a:effectLst/>
      </c:spPr>
    </c:plotArea>
    <c:legend>
      <c:legendPos val="b"/>
      <c:layout>
        <c:manualLayout>
          <c:xMode val="edge"/>
          <c:yMode val="edge"/>
          <c:x val="1.3843129159416871E-2"/>
          <c:y val="0.85348601957098236"/>
          <c:w val="0.97218424740172971"/>
          <c:h val="0.1192265101137976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619341757260535E-2"/>
          <c:y val="0"/>
          <c:w val="0.93378193703193368"/>
          <c:h val="0.99047619047619051"/>
        </c:manualLayout>
      </c:layout>
      <c:pieChart>
        <c:varyColors val="1"/>
        <c:ser>
          <c:idx val="0"/>
          <c:order val="0"/>
          <c:dPt>
            <c:idx val="0"/>
            <c:bubble3D val="0"/>
            <c:spPr>
              <a:solidFill>
                <a:srgbClr val="BDD7EE"/>
              </a:solidFill>
              <a:ln w="19050">
                <a:solidFill>
                  <a:schemeClr val="lt1"/>
                </a:solidFill>
              </a:ln>
              <a:effectLst/>
            </c:spPr>
            <c:extLst>
              <c:ext xmlns:c16="http://schemas.microsoft.com/office/drawing/2014/chart" uri="{C3380CC4-5D6E-409C-BE32-E72D297353CC}">
                <c16:uniqueId val="{00000001-35A1-4D75-9446-5BB2484F5A15}"/>
              </c:ext>
            </c:extLst>
          </c:dPt>
          <c:dPt>
            <c:idx val="1"/>
            <c:bubble3D val="0"/>
            <c:spPr>
              <a:solidFill>
                <a:srgbClr val="DEC98E"/>
              </a:solidFill>
              <a:ln w="19050">
                <a:solidFill>
                  <a:schemeClr val="lt1"/>
                </a:solidFill>
              </a:ln>
              <a:effectLst/>
            </c:spPr>
            <c:extLst>
              <c:ext xmlns:c16="http://schemas.microsoft.com/office/drawing/2014/chart" uri="{C3380CC4-5D6E-409C-BE32-E72D297353CC}">
                <c16:uniqueId val="{00000003-35A1-4D75-9446-5BB2484F5A15}"/>
              </c:ext>
            </c:extLst>
          </c:dPt>
          <c:dPt>
            <c:idx val="2"/>
            <c:bubble3D val="0"/>
            <c:spPr>
              <a:solidFill>
                <a:srgbClr val="C6F2ED"/>
              </a:solidFill>
              <a:ln w="19050">
                <a:solidFill>
                  <a:schemeClr val="lt1"/>
                </a:solidFill>
              </a:ln>
              <a:effectLst/>
            </c:spPr>
            <c:extLst>
              <c:ext xmlns:c16="http://schemas.microsoft.com/office/drawing/2014/chart" uri="{C3380CC4-5D6E-409C-BE32-E72D297353CC}">
                <c16:uniqueId val="{00000005-35A1-4D75-9446-5BB2484F5A15}"/>
              </c:ext>
            </c:extLst>
          </c:dPt>
          <c:dLbls>
            <c:dLbl>
              <c:idx val="0"/>
              <c:layout>
                <c:manualLayout>
                  <c:x val="-4.7058823529411764E-2"/>
                  <c:y val="-0.11333939026852413"/>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55019669600123511"/>
                      <c:h val="0.41384615384615375"/>
                    </c:manualLayout>
                  </c15:layout>
                </c:ext>
                <c:ext xmlns:c16="http://schemas.microsoft.com/office/drawing/2014/chart" uri="{C3380CC4-5D6E-409C-BE32-E72D297353CC}">
                  <c16:uniqueId val="{00000001-35A1-4D75-9446-5BB2484F5A15}"/>
                </c:ext>
              </c:extLst>
            </c:dLbl>
            <c:dLbl>
              <c:idx val="1"/>
              <c:layout>
                <c:manualLayout>
                  <c:x val="5.4591940713293194E-2"/>
                  <c:y val="5.2685914260717399E-2"/>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56125490196078431"/>
                      <c:h val="0.39675213675213677"/>
                    </c:manualLayout>
                  </c15:layout>
                </c:ext>
                <c:ext xmlns:c16="http://schemas.microsoft.com/office/drawing/2014/chart" uri="{C3380CC4-5D6E-409C-BE32-E72D297353CC}">
                  <c16:uniqueId val="{00000003-35A1-4D75-9446-5BB2484F5A15}"/>
                </c:ext>
              </c:extLst>
            </c:dLbl>
            <c:dLbl>
              <c:idx val="2"/>
              <c:layout>
                <c:manualLayout>
                  <c:x val="0.11764705882352933"/>
                  <c:y val="-2.4391278013325215E-2"/>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49725490196078426"/>
                      <c:h val="0.39675213675213677"/>
                    </c:manualLayout>
                  </c15:layout>
                </c:ext>
                <c:ext xmlns:c16="http://schemas.microsoft.com/office/drawing/2014/chart" uri="{C3380CC4-5D6E-409C-BE32-E72D297353CC}">
                  <c16:uniqueId val="{00000005-35A1-4D75-9446-5BB2484F5A1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'CALCULS Eau'!$M$310:$M$312</c:f>
              <c:numCache>
                <c:formatCode>#\ ##0\ "$"</c:formatCode>
                <c:ptCount val="3"/>
                <c:pt idx="0">
                  <c:v>0</c:v>
                </c:pt>
                <c:pt idx="1">
                  <c:v>0</c:v>
                </c:pt>
                <c:pt idx="2">
                  <c:v>0</c:v>
                </c:pt>
              </c:numCache>
            </c:numRef>
          </c:val>
          <c:extLst>
            <c:ext xmlns:c16="http://schemas.microsoft.com/office/drawing/2014/chart" uri="{C3380CC4-5D6E-409C-BE32-E72D297353CC}">
              <c16:uniqueId val="{00000006-35A1-4D75-9446-5BB2484F5A15}"/>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22579984193448E-3"/>
          <c:y val="1.0784464305503434E-2"/>
          <c:w val="0.98920371942354812"/>
          <c:h val="0.97631384015973521"/>
        </c:manualLayout>
      </c:layout>
      <c:barChart>
        <c:barDir val="bar"/>
        <c:grouping val="percentStacked"/>
        <c:varyColors val="0"/>
        <c:ser>
          <c:idx val="0"/>
          <c:order val="0"/>
          <c:tx>
            <c:strRef>
              <c:f>'CALCULS Eau potable'!$D$193</c:f>
              <c:strCache>
                <c:ptCount val="1"/>
                <c:pt idx="0">
                  <c:v>Exploitation</c:v>
                </c:pt>
              </c:strCache>
            </c:strRef>
          </c:tx>
          <c:spPr>
            <a:solidFill>
              <a:srgbClr val="00B0F0"/>
            </a:solidFill>
            <a:ln>
              <a:noFill/>
            </a:ln>
            <a:effectLst/>
          </c:spPr>
          <c:invertIfNegative val="0"/>
          <c:val>
            <c:numRef>
              <c:f>'CALCULS Eau potable'!$O$193</c:f>
              <c:numCache>
                <c:formatCode>#\ ##0\ "$"</c:formatCode>
                <c:ptCount val="1"/>
                <c:pt idx="0">
                  <c:v>0</c:v>
                </c:pt>
              </c:numCache>
            </c:numRef>
          </c:val>
          <c:extLst>
            <c:ext xmlns:c16="http://schemas.microsoft.com/office/drawing/2014/chart" uri="{C3380CC4-5D6E-409C-BE32-E72D297353CC}">
              <c16:uniqueId val="{00000001-201A-46CD-A51E-C95DEDFFDD01}"/>
            </c:ext>
          </c:extLst>
        </c:ser>
        <c:ser>
          <c:idx val="1"/>
          <c:order val="1"/>
          <c:tx>
            <c:strRef>
              <c:f>'CALCULS Eau potable'!$D$194</c:f>
              <c:strCache>
                <c:ptCount val="1"/>
                <c:pt idx="0">
                  <c:v>Entretien</c:v>
                </c:pt>
              </c:strCache>
            </c:strRef>
          </c:tx>
          <c:spPr>
            <a:solidFill>
              <a:srgbClr val="0070C0"/>
            </a:solidFill>
            <a:ln>
              <a:noFill/>
            </a:ln>
            <a:effectLst/>
          </c:spPr>
          <c:invertIfNegative val="0"/>
          <c:val>
            <c:numRef>
              <c:f>'CALCULS Eau potable'!$O$194</c:f>
              <c:numCache>
                <c:formatCode>#\ ##0\ "$"</c:formatCode>
                <c:ptCount val="1"/>
                <c:pt idx="0">
                  <c:v>0</c:v>
                </c:pt>
              </c:numCache>
            </c:numRef>
          </c:val>
          <c:extLst>
            <c:ext xmlns:c16="http://schemas.microsoft.com/office/drawing/2014/chart" uri="{C3380CC4-5D6E-409C-BE32-E72D297353CC}">
              <c16:uniqueId val="{00000003-201A-46CD-A51E-C95DEDFFDD01}"/>
            </c:ext>
          </c:extLst>
        </c:ser>
        <c:ser>
          <c:idx val="2"/>
          <c:order val="2"/>
          <c:tx>
            <c:strRef>
              <c:f>'CALCULS Eau potable'!$D$195</c:f>
              <c:strCache>
                <c:ptCount val="1"/>
                <c:pt idx="0">
                  <c:v>Renouvellement</c:v>
                </c:pt>
              </c:strCache>
            </c:strRef>
          </c:tx>
          <c:spPr>
            <a:solidFill>
              <a:schemeClr val="accent4"/>
            </a:solidFill>
            <a:ln>
              <a:noFill/>
            </a:ln>
            <a:effectLst/>
          </c:spPr>
          <c:invertIfNegative val="0"/>
          <c:val>
            <c:numRef>
              <c:f>'CALCULS Eau potable'!$O$195</c:f>
              <c:numCache>
                <c:formatCode>#\ ##0\ "$"</c:formatCode>
                <c:ptCount val="1"/>
                <c:pt idx="0">
                  <c:v>0</c:v>
                </c:pt>
              </c:numCache>
            </c:numRef>
          </c:val>
          <c:extLst>
            <c:ext xmlns:c16="http://schemas.microsoft.com/office/drawing/2014/chart" uri="{C3380CC4-5D6E-409C-BE32-E72D297353CC}">
              <c16:uniqueId val="{00000005-201A-46CD-A51E-C95DEDFFDD01}"/>
            </c:ext>
          </c:extLst>
        </c:ser>
        <c:ser>
          <c:idx val="3"/>
          <c:order val="3"/>
          <c:tx>
            <c:strRef>
              <c:f>'CALCULS Eau potable'!$D$196</c:f>
              <c:strCache>
                <c:ptCount val="1"/>
                <c:pt idx="0">
                  <c:v>Acquisition</c:v>
                </c:pt>
              </c:strCache>
            </c:strRef>
          </c:tx>
          <c:spPr>
            <a:solidFill>
              <a:schemeClr val="accent2"/>
            </a:solidFill>
            <a:ln>
              <a:noFill/>
            </a:ln>
            <a:effectLst/>
          </c:spPr>
          <c:invertIfNegative val="0"/>
          <c:val>
            <c:numRef>
              <c:f>'CALCULS Eau potable'!$O$196</c:f>
              <c:numCache>
                <c:formatCode>#\ ##0\ "$"</c:formatCode>
                <c:ptCount val="1"/>
                <c:pt idx="0">
                  <c:v>0</c:v>
                </c:pt>
              </c:numCache>
            </c:numRef>
          </c:val>
          <c:extLst>
            <c:ext xmlns:c16="http://schemas.microsoft.com/office/drawing/2014/chart" uri="{C3380CC4-5D6E-409C-BE32-E72D297353CC}">
              <c16:uniqueId val="{00000007-201A-46CD-A51E-C95DEDFFDD01}"/>
            </c:ext>
          </c:extLst>
        </c:ser>
        <c:ser>
          <c:idx val="4"/>
          <c:order val="4"/>
          <c:tx>
            <c:strRef>
              <c:f>'CALCULS Eau potable'!$D$197</c:f>
              <c:strCache>
                <c:ptCount val="1"/>
                <c:pt idx="0">
                  <c:v>Disposition</c:v>
                </c:pt>
              </c:strCache>
            </c:strRef>
          </c:tx>
          <c:spPr>
            <a:solidFill>
              <a:schemeClr val="accent4">
                <a:lumMod val="50000"/>
              </a:schemeClr>
            </a:solidFill>
            <a:ln>
              <a:noFill/>
            </a:ln>
            <a:effectLst/>
          </c:spPr>
          <c:invertIfNegative val="0"/>
          <c:val>
            <c:numRef>
              <c:f>'CALCULS Eau potable'!$O$197</c:f>
              <c:numCache>
                <c:formatCode>#\ ##0\ "$"</c:formatCode>
                <c:ptCount val="1"/>
                <c:pt idx="0">
                  <c:v>0</c:v>
                </c:pt>
              </c:numCache>
            </c:numRef>
          </c:val>
          <c:extLst>
            <c:ext xmlns:c16="http://schemas.microsoft.com/office/drawing/2014/chart" uri="{C3380CC4-5D6E-409C-BE32-E72D297353CC}">
              <c16:uniqueId val="{00000009-201A-46CD-A51E-C95DEDFFDD01}"/>
            </c:ext>
          </c:extLst>
        </c:ser>
        <c:dLbls>
          <c:showLegendKey val="0"/>
          <c:showVal val="0"/>
          <c:showCatName val="0"/>
          <c:showSerName val="0"/>
          <c:showPercent val="0"/>
          <c:showBubbleSize val="0"/>
        </c:dLbls>
        <c:gapWidth val="78"/>
        <c:overlap val="100"/>
        <c:axId val="1866470080"/>
        <c:axId val="1866468832"/>
      </c:barChart>
      <c:catAx>
        <c:axId val="1866470080"/>
        <c:scaling>
          <c:orientation val="minMax"/>
        </c:scaling>
        <c:delete val="1"/>
        <c:axPos val="l"/>
        <c:numFmt formatCode="General" sourceLinked="1"/>
        <c:majorTickMark val="none"/>
        <c:minorTickMark val="none"/>
        <c:tickLblPos val="nextTo"/>
        <c:crossAx val="1866468832"/>
        <c:crosses val="autoZero"/>
        <c:auto val="1"/>
        <c:lblAlgn val="ctr"/>
        <c:lblOffset val="100"/>
        <c:noMultiLvlLbl val="0"/>
      </c:catAx>
      <c:valAx>
        <c:axId val="1866468832"/>
        <c:scaling>
          <c:orientation val="minMax"/>
        </c:scaling>
        <c:delete val="1"/>
        <c:axPos val="b"/>
        <c:numFmt formatCode="0%" sourceLinked="1"/>
        <c:majorTickMark val="none"/>
        <c:minorTickMark val="none"/>
        <c:tickLblPos val="nextTo"/>
        <c:crossAx val="18664700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accent1">
              <a:lumMod val="50000"/>
            </a:schemeClr>
          </a:solidFill>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518961863871071E-3"/>
          <c:y val="6.0124234470691151E-2"/>
          <c:w val="0.98333055188910634"/>
          <c:h val="0.8997322834645668"/>
        </c:manualLayout>
      </c:layout>
      <c:barChart>
        <c:barDir val="bar"/>
        <c:grouping val="percentStacked"/>
        <c:varyColors val="0"/>
        <c:ser>
          <c:idx val="0"/>
          <c:order val="0"/>
          <c:tx>
            <c:strRef>
              <c:f>'CALCULS Eau potable'!$D$210</c:f>
              <c:strCache>
                <c:ptCount val="1"/>
                <c:pt idx="0">
                  <c:v>Exploitation</c:v>
                </c:pt>
              </c:strCache>
            </c:strRef>
          </c:tx>
          <c:spPr>
            <a:solidFill>
              <a:schemeClr val="accent1"/>
            </a:solidFill>
            <a:ln>
              <a:noFill/>
            </a:ln>
            <a:effectLst/>
          </c:spPr>
          <c:invertIfNegative val="0"/>
          <c:dPt>
            <c:idx val="0"/>
            <c:invertIfNegative val="0"/>
            <c:bubble3D val="0"/>
            <c:spPr>
              <a:solidFill>
                <a:srgbClr val="00B0F0"/>
              </a:solidFill>
              <a:ln>
                <a:noFill/>
              </a:ln>
              <a:effectLst/>
            </c:spPr>
            <c:extLst>
              <c:ext xmlns:c16="http://schemas.microsoft.com/office/drawing/2014/chart" uri="{C3380CC4-5D6E-409C-BE32-E72D297353CC}">
                <c16:uniqueId val="{00000001-E573-4FAA-9E64-B852289C9E71}"/>
              </c:ext>
            </c:extLst>
          </c:dPt>
          <c:val>
            <c:numRef>
              <c:f>'CALCULS Eau potable'!$O$210</c:f>
              <c:numCache>
                <c:formatCode>#\ ##0\ "$"</c:formatCode>
                <c:ptCount val="1"/>
                <c:pt idx="0">
                  <c:v>0</c:v>
                </c:pt>
              </c:numCache>
            </c:numRef>
          </c:val>
          <c:extLst>
            <c:ext xmlns:c16="http://schemas.microsoft.com/office/drawing/2014/chart" uri="{C3380CC4-5D6E-409C-BE32-E72D297353CC}">
              <c16:uniqueId val="{00000002-E573-4FAA-9E64-B852289C9E71}"/>
            </c:ext>
          </c:extLst>
        </c:ser>
        <c:ser>
          <c:idx val="1"/>
          <c:order val="1"/>
          <c:tx>
            <c:strRef>
              <c:f>'CALCULS Eau potable'!$D$211</c:f>
              <c:strCache>
                <c:ptCount val="1"/>
                <c:pt idx="0">
                  <c:v>Entretien</c:v>
                </c:pt>
              </c:strCache>
            </c:strRef>
          </c:tx>
          <c:spPr>
            <a:solidFill>
              <a:srgbClr val="0070C0"/>
            </a:solidFill>
            <a:ln>
              <a:noFill/>
            </a:ln>
            <a:effectLst/>
          </c:spPr>
          <c:invertIfNegative val="0"/>
          <c:val>
            <c:numRef>
              <c:f>'CALCULS Eau potable'!$O$211</c:f>
              <c:numCache>
                <c:formatCode>#\ ##0\ "$"</c:formatCode>
                <c:ptCount val="1"/>
                <c:pt idx="0">
                  <c:v>0</c:v>
                </c:pt>
              </c:numCache>
            </c:numRef>
          </c:val>
          <c:extLst>
            <c:ext xmlns:c16="http://schemas.microsoft.com/office/drawing/2014/chart" uri="{C3380CC4-5D6E-409C-BE32-E72D297353CC}">
              <c16:uniqueId val="{00000004-E573-4FAA-9E64-B852289C9E71}"/>
            </c:ext>
          </c:extLst>
        </c:ser>
        <c:ser>
          <c:idx val="2"/>
          <c:order val="2"/>
          <c:tx>
            <c:strRef>
              <c:f>'CALCULS Eau potable'!$D$212</c:f>
              <c:strCache>
                <c:ptCount val="1"/>
                <c:pt idx="0">
                  <c:v>Renouvellement</c:v>
                </c:pt>
              </c:strCache>
            </c:strRef>
          </c:tx>
          <c:spPr>
            <a:solidFill>
              <a:schemeClr val="accent4"/>
            </a:solidFill>
            <a:ln>
              <a:noFill/>
            </a:ln>
            <a:effectLst/>
          </c:spPr>
          <c:invertIfNegative val="0"/>
          <c:val>
            <c:numRef>
              <c:f>'CALCULS Eau potable'!$O$212</c:f>
              <c:numCache>
                <c:formatCode>#\ ##0\ "$"</c:formatCode>
                <c:ptCount val="1"/>
                <c:pt idx="0">
                  <c:v>0</c:v>
                </c:pt>
              </c:numCache>
            </c:numRef>
          </c:val>
          <c:extLst>
            <c:ext xmlns:c16="http://schemas.microsoft.com/office/drawing/2014/chart" uri="{C3380CC4-5D6E-409C-BE32-E72D297353CC}">
              <c16:uniqueId val="{00000006-E573-4FAA-9E64-B852289C9E71}"/>
            </c:ext>
          </c:extLst>
        </c:ser>
        <c:ser>
          <c:idx val="3"/>
          <c:order val="3"/>
          <c:tx>
            <c:strRef>
              <c:f>'CALCULS Eau potable'!$D$213</c:f>
              <c:strCache>
                <c:ptCount val="1"/>
                <c:pt idx="0">
                  <c:v>Acquisition</c:v>
                </c:pt>
              </c:strCache>
            </c:strRef>
          </c:tx>
          <c:spPr>
            <a:solidFill>
              <a:schemeClr val="accent2"/>
            </a:solidFill>
            <a:ln>
              <a:noFill/>
            </a:ln>
            <a:effectLst/>
          </c:spPr>
          <c:invertIfNegative val="0"/>
          <c:val>
            <c:numRef>
              <c:f>'CALCULS Eau potable'!$O$213</c:f>
              <c:numCache>
                <c:formatCode>#\ ##0\ "$"</c:formatCode>
                <c:ptCount val="1"/>
                <c:pt idx="0">
                  <c:v>0</c:v>
                </c:pt>
              </c:numCache>
            </c:numRef>
          </c:val>
          <c:extLst>
            <c:ext xmlns:c16="http://schemas.microsoft.com/office/drawing/2014/chart" uri="{C3380CC4-5D6E-409C-BE32-E72D297353CC}">
              <c16:uniqueId val="{00000008-E573-4FAA-9E64-B852289C9E71}"/>
            </c:ext>
          </c:extLst>
        </c:ser>
        <c:ser>
          <c:idx val="4"/>
          <c:order val="4"/>
          <c:tx>
            <c:strRef>
              <c:f>'CALCULS Eau potable'!$D$214</c:f>
              <c:strCache>
                <c:ptCount val="1"/>
                <c:pt idx="0">
                  <c:v>Disposition</c:v>
                </c:pt>
              </c:strCache>
            </c:strRef>
          </c:tx>
          <c:spPr>
            <a:solidFill>
              <a:schemeClr val="accent4">
                <a:lumMod val="50000"/>
              </a:schemeClr>
            </a:solidFill>
            <a:ln>
              <a:noFill/>
            </a:ln>
            <a:effectLst/>
          </c:spPr>
          <c:invertIfNegative val="0"/>
          <c:val>
            <c:numRef>
              <c:f>'CALCULS Eau potable'!$O$214</c:f>
              <c:numCache>
                <c:formatCode>#\ ##0\ "$"</c:formatCode>
                <c:ptCount val="1"/>
                <c:pt idx="0">
                  <c:v>0</c:v>
                </c:pt>
              </c:numCache>
            </c:numRef>
          </c:val>
          <c:extLst>
            <c:ext xmlns:c16="http://schemas.microsoft.com/office/drawing/2014/chart" uri="{C3380CC4-5D6E-409C-BE32-E72D297353CC}">
              <c16:uniqueId val="{0000000A-E573-4FAA-9E64-B852289C9E71}"/>
            </c:ext>
          </c:extLst>
        </c:ser>
        <c:dLbls>
          <c:showLegendKey val="0"/>
          <c:showVal val="0"/>
          <c:showCatName val="0"/>
          <c:showSerName val="0"/>
          <c:showPercent val="0"/>
          <c:showBubbleSize val="0"/>
        </c:dLbls>
        <c:gapWidth val="78"/>
        <c:overlap val="100"/>
        <c:axId val="1866470080"/>
        <c:axId val="1866468832"/>
      </c:barChart>
      <c:catAx>
        <c:axId val="1866470080"/>
        <c:scaling>
          <c:orientation val="minMax"/>
        </c:scaling>
        <c:delete val="1"/>
        <c:axPos val="l"/>
        <c:numFmt formatCode="General" sourceLinked="1"/>
        <c:majorTickMark val="none"/>
        <c:minorTickMark val="none"/>
        <c:tickLblPos val="nextTo"/>
        <c:crossAx val="1866468832"/>
        <c:crosses val="autoZero"/>
        <c:auto val="1"/>
        <c:lblAlgn val="ctr"/>
        <c:lblOffset val="100"/>
        <c:noMultiLvlLbl val="0"/>
      </c:catAx>
      <c:valAx>
        <c:axId val="1866468832"/>
        <c:scaling>
          <c:orientation val="minMax"/>
        </c:scaling>
        <c:delete val="1"/>
        <c:axPos val="b"/>
        <c:numFmt formatCode="0%" sourceLinked="1"/>
        <c:majorTickMark val="none"/>
        <c:minorTickMark val="none"/>
        <c:tickLblPos val="nextTo"/>
        <c:crossAx val="18664700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accent1">
              <a:lumMod val="50000"/>
            </a:schemeClr>
          </a:solidFill>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693929387858773E-2"/>
          <c:y val="2.2002200220022004E-2"/>
          <c:w val="0.87266770092400159"/>
          <c:h val="0.97799775028121483"/>
        </c:manualLayout>
      </c:layout>
      <c:doughnut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1423-4C13-BDEC-61FD5B415C8E}"/>
              </c:ext>
            </c:extLst>
          </c:dPt>
          <c:dPt>
            <c:idx val="1"/>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3-1423-4C13-BDEC-61FD5B415C8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423-4C13-BDEC-61FD5B415C8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423-4C13-BDEC-61FD5B415C8E}"/>
              </c:ext>
            </c:extLst>
          </c:dPt>
          <c:dPt>
            <c:idx val="4"/>
            <c:bubble3D val="0"/>
            <c:spPr>
              <a:solidFill>
                <a:schemeClr val="tx2">
                  <a:lumMod val="60000"/>
                  <a:lumOff val="40000"/>
                </a:schemeClr>
              </a:solidFill>
              <a:ln w="19050">
                <a:solidFill>
                  <a:schemeClr val="lt1"/>
                </a:solidFill>
              </a:ln>
              <a:effectLst/>
            </c:spPr>
            <c:extLst>
              <c:ext xmlns:c16="http://schemas.microsoft.com/office/drawing/2014/chart" uri="{C3380CC4-5D6E-409C-BE32-E72D297353CC}">
                <c16:uniqueId val="{00000009-1423-4C13-BDEC-61FD5B415C8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423-4C13-BDEC-61FD5B415C8E}"/>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423-4C13-BDEC-61FD5B415C8E}"/>
              </c:ext>
            </c:extLst>
          </c:dPt>
          <c:dPt>
            <c:idx val="7"/>
            <c:bubble3D val="0"/>
            <c:spPr>
              <a:solidFill>
                <a:srgbClr val="FF8181"/>
              </a:solidFill>
              <a:ln w="19050">
                <a:solidFill>
                  <a:schemeClr val="lt1"/>
                </a:solidFill>
              </a:ln>
              <a:effectLst/>
            </c:spPr>
            <c:extLst>
              <c:ext xmlns:c16="http://schemas.microsoft.com/office/drawing/2014/chart" uri="{C3380CC4-5D6E-409C-BE32-E72D297353CC}">
                <c16:uniqueId val="{0000000F-1423-4C13-BDEC-61FD5B415C8E}"/>
              </c:ext>
            </c:extLst>
          </c:dPt>
          <c:dPt>
            <c:idx val="8"/>
            <c:bubble3D val="0"/>
            <c:spPr>
              <a:solidFill>
                <a:srgbClr val="FFCCCC"/>
              </a:solidFill>
              <a:ln w="19050">
                <a:solidFill>
                  <a:schemeClr val="lt1"/>
                </a:solidFill>
              </a:ln>
              <a:effectLst/>
            </c:spPr>
            <c:extLst>
              <c:ext xmlns:c16="http://schemas.microsoft.com/office/drawing/2014/chart" uri="{C3380CC4-5D6E-409C-BE32-E72D297353CC}">
                <c16:uniqueId val="{00000011-1423-4C13-BDEC-61FD5B415C8E}"/>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1423-4C13-BDEC-61FD5B415C8E}"/>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1423-4C13-BDEC-61FD5B415C8E}"/>
              </c:ext>
            </c:extLst>
          </c:dPt>
          <c:dLbls>
            <c:dLbl>
              <c:idx val="4"/>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9-1423-4C13-BDEC-61FD5B415C8E}"/>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'CALCULS Eau potable'!$L$236:$L$246</c:f>
              <c:numCache>
                <c:formatCode>General</c:formatCode>
                <c:ptCount val="11"/>
              </c:numCache>
            </c:numRef>
          </c:cat>
          <c:val>
            <c:numRef>
              <c:f>'CALCULS Eau potable'!$M$236:$M$246</c:f>
              <c:numCache>
                <c:formatCode>#\ ##0\ "$"</c:formatCode>
                <c:ptCount val="11"/>
                <c:pt idx="0">
                  <c:v>0</c:v>
                </c:pt>
                <c:pt idx="1">
                  <c:v>0</c:v>
                </c:pt>
                <c:pt idx="4">
                  <c:v>0</c:v>
                </c:pt>
                <c:pt idx="7">
                  <c:v>0</c:v>
                </c:pt>
                <c:pt idx="8">
                  <c:v>0</c:v>
                </c:pt>
              </c:numCache>
            </c:numRef>
          </c:val>
          <c:extLst>
            <c:ext xmlns:c16="http://schemas.microsoft.com/office/drawing/2014/chart" uri="{C3380CC4-5D6E-409C-BE32-E72D297353CC}">
              <c16:uniqueId val="{00000016-1423-4C13-BDEC-61FD5B415C8E}"/>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withinLinear" id="14">
  <a:schemeClr val="accent1"/>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withinLinear" id="14">
  <a:schemeClr val="accent1"/>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3" Type="http://schemas.openxmlformats.org/officeDocument/2006/relationships/chart" Target="../charts/chart2.xml"/><Relationship Id="rId7" Type="http://schemas.openxmlformats.org/officeDocument/2006/relationships/chart" Target="../charts/chart6.xml"/><Relationship Id="rId12" Type="http://schemas.openxmlformats.org/officeDocument/2006/relationships/chart" Target="../charts/chart11.xml"/><Relationship Id="rId2" Type="http://schemas.openxmlformats.org/officeDocument/2006/relationships/image" Target="../media/image7.emf"/><Relationship Id="rId16" Type="http://schemas.openxmlformats.org/officeDocument/2006/relationships/image" Target="../media/image8.emf"/><Relationship Id="rId1" Type="http://schemas.openxmlformats.org/officeDocument/2006/relationships/chart" Target="../charts/chart1.xml"/><Relationship Id="rId6" Type="http://schemas.openxmlformats.org/officeDocument/2006/relationships/chart" Target="../charts/chart5.xml"/><Relationship Id="rId11" Type="http://schemas.openxmlformats.org/officeDocument/2006/relationships/chart" Target="../charts/chart10.xml"/><Relationship Id="rId5" Type="http://schemas.openxmlformats.org/officeDocument/2006/relationships/chart" Target="../charts/chart4.xml"/><Relationship Id="rId15" Type="http://schemas.openxmlformats.org/officeDocument/2006/relationships/chart" Target="../charts/chart1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 Id="rId14" Type="http://schemas.openxmlformats.org/officeDocument/2006/relationships/chart" Target="../charts/chart13.xml"/></Relationships>
</file>

<file path=xl/drawings/_rels/drawing4.xml.rels><?xml version="1.0" encoding="UTF-8" standalone="yes"?>
<Relationships xmlns="http://schemas.openxmlformats.org/package/2006/relationships"><Relationship Id="rId8" Type="http://schemas.openxmlformats.org/officeDocument/2006/relationships/chart" Target="../charts/chart21.xml"/><Relationship Id="rId13" Type="http://schemas.openxmlformats.org/officeDocument/2006/relationships/chart" Target="../charts/chart25.xml"/><Relationship Id="rId3" Type="http://schemas.openxmlformats.org/officeDocument/2006/relationships/chart" Target="../charts/chart17.xml"/><Relationship Id="rId7" Type="http://schemas.openxmlformats.org/officeDocument/2006/relationships/image" Target="../media/image8.emf"/><Relationship Id="rId12" Type="http://schemas.openxmlformats.org/officeDocument/2006/relationships/chart" Target="../charts/chart24.xml"/><Relationship Id="rId2" Type="http://schemas.openxmlformats.org/officeDocument/2006/relationships/chart" Target="../charts/chart16.xml"/><Relationship Id="rId16" Type="http://schemas.openxmlformats.org/officeDocument/2006/relationships/chart" Target="../charts/chart28.xml"/><Relationship Id="rId1" Type="http://schemas.openxmlformats.org/officeDocument/2006/relationships/chart" Target="../charts/chart15.xml"/><Relationship Id="rId6" Type="http://schemas.openxmlformats.org/officeDocument/2006/relationships/chart" Target="../charts/chart20.xml"/><Relationship Id="rId11" Type="http://schemas.openxmlformats.org/officeDocument/2006/relationships/image" Target="../media/image7.emf"/><Relationship Id="rId5" Type="http://schemas.openxmlformats.org/officeDocument/2006/relationships/chart" Target="../charts/chart19.xml"/><Relationship Id="rId15" Type="http://schemas.openxmlformats.org/officeDocument/2006/relationships/chart" Target="../charts/chart27.xml"/><Relationship Id="rId10" Type="http://schemas.openxmlformats.org/officeDocument/2006/relationships/chart" Target="../charts/chart23.xml"/><Relationship Id="rId4" Type="http://schemas.openxmlformats.org/officeDocument/2006/relationships/chart" Target="../charts/chart18.xml"/><Relationship Id="rId9" Type="http://schemas.openxmlformats.org/officeDocument/2006/relationships/chart" Target="../charts/chart22.xml"/><Relationship Id="rId14" Type="http://schemas.openxmlformats.org/officeDocument/2006/relationships/chart" Target="../charts/chart26.xml"/></Relationships>
</file>

<file path=xl/drawings/_rels/drawing5.xml.rels><?xml version="1.0" encoding="UTF-8" standalone="yes"?>
<Relationships xmlns="http://schemas.openxmlformats.org/package/2006/relationships"><Relationship Id="rId8" Type="http://schemas.openxmlformats.org/officeDocument/2006/relationships/chart" Target="../charts/chart35.xml"/><Relationship Id="rId13" Type="http://schemas.openxmlformats.org/officeDocument/2006/relationships/chart" Target="../charts/chart39.xml"/><Relationship Id="rId3" Type="http://schemas.openxmlformats.org/officeDocument/2006/relationships/chart" Target="../charts/chart31.xml"/><Relationship Id="rId7" Type="http://schemas.openxmlformats.org/officeDocument/2006/relationships/image" Target="../media/image7.emf"/><Relationship Id="rId12" Type="http://schemas.openxmlformats.org/officeDocument/2006/relationships/chart" Target="../charts/chart38.xml"/><Relationship Id="rId2" Type="http://schemas.openxmlformats.org/officeDocument/2006/relationships/chart" Target="../charts/chart30.xml"/><Relationship Id="rId16" Type="http://schemas.openxmlformats.org/officeDocument/2006/relationships/chart" Target="../charts/chart42.xml"/><Relationship Id="rId1" Type="http://schemas.openxmlformats.org/officeDocument/2006/relationships/chart" Target="../charts/chart29.xml"/><Relationship Id="rId6" Type="http://schemas.openxmlformats.org/officeDocument/2006/relationships/chart" Target="../charts/chart34.xml"/><Relationship Id="rId11" Type="http://schemas.openxmlformats.org/officeDocument/2006/relationships/image" Target="../media/image8.emf"/><Relationship Id="rId5" Type="http://schemas.openxmlformats.org/officeDocument/2006/relationships/chart" Target="../charts/chart33.xml"/><Relationship Id="rId15" Type="http://schemas.openxmlformats.org/officeDocument/2006/relationships/chart" Target="../charts/chart41.xml"/><Relationship Id="rId10" Type="http://schemas.openxmlformats.org/officeDocument/2006/relationships/chart" Target="../charts/chart37.xml"/><Relationship Id="rId4" Type="http://schemas.openxmlformats.org/officeDocument/2006/relationships/chart" Target="../charts/chart32.xml"/><Relationship Id="rId9" Type="http://schemas.openxmlformats.org/officeDocument/2006/relationships/chart" Target="../charts/chart36.xml"/><Relationship Id="rId14" Type="http://schemas.openxmlformats.org/officeDocument/2006/relationships/chart" Target="../charts/chart40.xml"/></Relationships>
</file>

<file path=xl/drawings/_rels/drawing6.xml.rels><?xml version="1.0" encoding="UTF-8" standalone="yes"?>
<Relationships xmlns="http://schemas.openxmlformats.org/package/2006/relationships"><Relationship Id="rId2" Type="http://schemas.openxmlformats.org/officeDocument/2006/relationships/image" Target="../media/image11.emf"/><Relationship Id="rId1" Type="http://schemas.openxmlformats.org/officeDocument/2006/relationships/chart" Target="../charts/chart43.xml"/></Relationships>
</file>

<file path=xl/drawings/_rels/drawing7.xml.rels><?xml version="1.0" encoding="UTF-8" standalone="yes"?>
<Relationships xmlns="http://schemas.openxmlformats.org/package/2006/relationships"><Relationship Id="rId8" Type="http://schemas.openxmlformats.org/officeDocument/2006/relationships/image" Target="../media/image13.emf"/><Relationship Id="rId13" Type="http://schemas.openxmlformats.org/officeDocument/2006/relationships/chart" Target="../charts/chart55.xml"/><Relationship Id="rId18" Type="http://schemas.openxmlformats.org/officeDocument/2006/relationships/chart" Target="../charts/chart60.xml"/><Relationship Id="rId3" Type="http://schemas.openxmlformats.org/officeDocument/2006/relationships/chart" Target="../charts/chart46.xml"/><Relationship Id="rId7" Type="http://schemas.openxmlformats.org/officeDocument/2006/relationships/chart" Target="../charts/chart50.xml"/><Relationship Id="rId12" Type="http://schemas.openxmlformats.org/officeDocument/2006/relationships/chart" Target="../charts/chart54.xml"/><Relationship Id="rId17" Type="http://schemas.openxmlformats.org/officeDocument/2006/relationships/chart" Target="../charts/chart59.xml"/><Relationship Id="rId2" Type="http://schemas.openxmlformats.org/officeDocument/2006/relationships/chart" Target="../charts/chart45.xml"/><Relationship Id="rId16" Type="http://schemas.openxmlformats.org/officeDocument/2006/relationships/chart" Target="../charts/chart58.xml"/><Relationship Id="rId1" Type="http://schemas.openxmlformats.org/officeDocument/2006/relationships/chart" Target="../charts/chart44.xml"/><Relationship Id="rId6" Type="http://schemas.openxmlformats.org/officeDocument/2006/relationships/chart" Target="../charts/chart49.xml"/><Relationship Id="rId11" Type="http://schemas.openxmlformats.org/officeDocument/2006/relationships/chart" Target="../charts/chart53.xml"/><Relationship Id="rId5" Type="http://schemas.openxmlformats.org/officeDocument/2006/relationships/chart" Target="../charts/chart48.xml"/><Relationship Id="rId15" Type="http://schemas.openxmlformats.org/officeDocument/2006/relationships/chart" Target="../charts/chart57.xml"/><Relationship Id="rId10" Type="http://schemas.openxmlformats.org/officeDocument/2006/relationships/chart" Target="../charts/chart52.xml"/><Relationship Id="rId19" Type="http://schemas.openxmlformats.org/officeDocument/2006/relationships/image" Target="../media/image14.emf"/><Relationship Id="rId4" Type="http://schemas.openxmlformats.org/officeDocument/2006/relationships/chart" Target="../charts/chart47.xml"/><Relationship Id="rId9" Type="http://schemas.openxmlformats.org/officeDocument/2006/relationships/chart" Target="../charts/chart51.xml"/><Relationship Id="rId14" Type="http://schemas.openxmlformats.org/officeDocument/2006/relationships/chart" Target="../charts/chart56.xml"/></Relationships>
</file>

<file path=xl/drawings/_rels/drawing8.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10.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editAs="oneCell">
    <xdr:from>
      <xdr:col>0</xdr:col>
      <xdr:colOff>257175</xdr:colOff>
      <xdr:row>5</xdr:row>
      <xdr:rowOff>59095</xdr:rowOff>
    </xdr:from>
    <xdr:to>
      <xdr:col>2</xdr:col>
      <xdr:colOff>295275</xdr:colOff>
      <xdr:row>7</xdr:row>
      <xdr:rowOff>381852</xdr:rowOff>
    </xdr:to>
    <xdr:pic>
      <xdr:nvPicPr>
        <xdr:cNvPr id="8" name="Imag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7175" y="1106845"/>
          <a:ext cx="666750" cy="852982"/>
        </a:xfrm>
        <a:prstGeom prst="rect">
          <a:avLst/>
        </a:prstGeom>
      </xdr:spPr>
    </xdr:pic>
    <xdr:clientData/>
  </xdr:twoCellAnchor>
  <xdr:twoCellAnchor editAs="oneCell">
    <xdr:from>
      <xdr:col>14</xdr:col>
      <xdr:colOff>1276350</xdr:colOff>
      <xdr:row>5</xdr:row>
      <xdr:rowOff>57151</xdr:rowOff>
    </xdr:from>
    <xdr:to>
      <xdr:col>17</xdr:col>
      <xdr:colOff>38672</xdr:colOff>
      <xdr:row>7</xdr:row>
      <xdr:rowOff>268195</xdr:rowOff>
    </xdr:to>
    <xdr:pic>
      <xdr:nvPicPr>
        <xdr:cNvPr id="2" name="Image 1">
          <a:extLst>
            <a:ext uri="{FF2B5EF4-FFF2-40B4-BE49-F238E27FC236}">
              <a16:creationId xmlns:a16="http://schemas.microsoft.com/office/drawing/2014/main" id="{00000000-0008-0000-0200-000002000000}"/>
            </a:ext>
          </a:extLst>
        </xdr:cNvPr>
        <xdr:cNvPicPr>
          <a:picLocks/>
        </xdr:cNvPicPr>
      </xdr:nvPicPr>
      <xdr:blipFill>
        <a:blip xmlns:r="http://schemas.openxmlformats.org/officeDocument/2006/relationships" r:embed="rId2"/>
        <a:stretch>
          <a:fillRect/>
        </a:stretch>
      </xdr:blipFill>
      <xdr:spPr>
        <a:xfrm>
          <a:off x="12849225" y="914401"/>
          <a:ext cx="1778572" cy="747619"/>
        </a:xfrm>
        <a:prstGeom prst="rect">
          <a:avLst/>
        </a:prstGeom>
      </xdr:spPr>
    </xdr:pic>
    <xdr:clientData/>
  </xdr:twoCellAnchor>
  <xdr:twoCellAnchor editAs="oneCell">
    <xdr:from>
      <xdr:col>7</xdr:col>
      <xdr:colOff>466725</xdr:colOff>
      <xdr:row>5</xdr:row>
      <xdr:rowOff>140153</xdr:rowOff>
    </xdr:from>
    <xdr:to>
      <xdr:col>10</xdr:col>
      <xdr:colOff>837565</xdr:colOff>
      <xdr:row>10</xdr:row>
      <xdr:rowOff>304709</xdr:rowOff>
    </xdr:to>
    <xdr:pic>
      <xdr:nvPicPr>
        <xdr:cNvPr id="3" name="Image 2">
          <a:extLst>
            <a:ext uri="{FF2B5EF4-FFF2-40B4-BE49-F238E27FC236}">
              <a16:creationId xmlns:a16="http://schemas.microsoft.com/office/drawing/2014/main" id="{00000000-0008-0000-0200-000003000000}"/>
            </a:ext>
          </a:extLst>
        </xdr:cNvPr>
        <xdr:cNvPicPr>
          <a:picLocks noChangeAspect="1"/>
        </xdr:cNvPicPr>
      </xdr:nvPicPr>
      <xdr:blipFill rotWithShape="1">
        <a:blip xmlns:r="http://schemas.openxmlformats.org/officeDocument/2006/relationships" r:embed="rId3"/>
        <a:srcRect t="11555" b="14216"/>
        <a:stretch/>
      </xdr:blipFill>
      <xdr:spPr>
        <a:xfrm>
          <a:off x="5057775" y="997403"/>
          <a:ext cx="5320665" cy="1999706"/>
        </a:xfrm>
        <a:prstGeom prst="rect">
          <a:avLst/>
        </a:prstGeom>
      </xdr:spPr>
    </xdr:pic>
    <xdr:clientData/>
  </xdr:twoCellAnchor>
  <xdr:twoCellAnchor editAs="oneCell">
    <xdr:from>
      <xdr:col>2</xdr:col>
      <xdr:colOff>212710</xdr:colOff>
      <xdr:row>44</xdr:row>
      <xdr:rowOff>45026</xdr:rowOff>
    </xdr:from>
    <xdr:to>
      <xdr:col>3</xdr:col>
      <xdr:colOff>553168</xdr:colOff>
      <xdr:row>48</xdr:row>
      <xdr:rowOff>124077</xdr:rowOff>
    </xdr:to>
    <xdr:pic>
      <xdr:nvPicPr>
        <xdr:cNvPr id="4" name="Image 3" descr="Une image contenant conception, diagramme&#10;&#10;Description générée automatiquement">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98485" y="9465251"/>
          <a:ext cx="740508" cy="787076"/>
        </a:xfrm>
        <a:prstGeom prst="rect">
          <a:avLst/>
        </a:prstGeom>
      </xdr:spPr>
    </xdr:pic>
    <xdr:clientData/>
  </xdr:twoCellAnchor>
  <xdr:twoCellAnchor editAs="oneCell">
    <xdr:from>
      <xdr:col>2</xdr:col>
      <xdr:colOff>215656</xdr:colOff>
      <xdr:row>34</xdr:row>
      <xdr:rowOff>55071</xdr:rowOff>
    </xdr:from>
    <xdr:to>
      <xdr:col>3</xdr:col>
      <xdr:colOff>542667</xdr:colOff>
      <xdr:row>38</xdr:row>
      <xdr:rowOff>144052</xdr:rowOff>
    </xdr:to>
    <xdr:pic>
      <xdr:nvPicPr>
        <xdr:cNvPr id="5" name="Image 4" descr="Une image contenant conception, diagramme, croquis, ligne&#10;&#10;Description générée automatiquement">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01431" y="7646496"/>
          <a:ext cx="723886" cy="793831"/>
        </a:xfrm>
        <a:prstGeom prst="rect">
          <a:avLst/>
        </a:prstGeom>
      </xdr:spPr>
    </xdr:pic>
    <xdr:clientData/>
  </xdr:twoCellAnchor>
  <xdr:twoCellAnchor editAs="oneCell">
    <xdr:from>
      <xdr:col>2</xdr:col>
      <xdr:colOff>226394</xdr:colOff>
      <xdr:row>39</xdr:row>
      <xdr:rowOff>44788</xdr:rowOff>
    </xdr:from>
    <xdr:to>
      <xdr:col>3</xdr:col>
      <xdr:colOff>551983</xdr:colOff>
      <xdr:row>43</xdr:row>
      <xdr:rowOff>142025</xdr:rowOff>
    </xdr:to>
    <xdr:pic>
      <xdr:nvPicPr>
        <xdr:cNvPr id="6" name="Image 5" descr="Une image contenant conception, diagramme, croquis, ligne&#10;&#10;Description générée automatiquement">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12169" y="8550613"/>
          <a:ext cx="722464" cy="805262"/>
        </a:xfrm>
        <a:prstGeom prst="rect">
          <a:avLst/>
        </a:prstGeom>
      </xdr:spPr>
    </xdr:pic>
    <xdr:clientData/>
  </xdr:twoCellAnchor>
  <xdr:twoCellAnchor editAs="oneCell">
    <xdr:from>
      <xdr:col>2</xdr:col>
      <xdr:colOff>200025</xdr:colOff>
      <xdr:row>29</xdr:row>
      <xdr:rowOff>47625</xdr:rowOff>
    </xdr:from>
    <xdr:to>
      <xdr:col>3</xdr:col>
      <xdr:colOff>562593</xdr:colOff>
      <xdr:row>33</xdr:row>
      <xdr:rowOff>163085</xdr:rowOff>
    </xdr:to>
    <xdr:pic>
      <xdr:nvPicPr>
        <xdr:cNvPr id="7" name="Image 6" descr="Une image contenant cercle, Graphique, conception&#10;&#10;Description générée automatiquement">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85800" y="6724650"/>
          <a:ext cx="759443" cy="8171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142876</xdr:colOff>
      <xdr:row>33</xdr:row>
      <xdr:rowOff>47626</xdr:rowOff>
    </xdr:from>
    <xdr:to>
      <xdr:col>10</xdr:col>
      <xdr:colOff>685800</xdr:colOff>
      <xdr:row>33</xdr:row>
      <xdr:rowOff>276226</xdr:rowOff>
    </xdr:to>
    <xdr:sp macro="" textlink="">
      <xdr:nvSpPr>
        <xdr:cNvPr id="3" name="Flèche droite 2">
          <a:extLst>
            <a:ext uri="{FF2B5EF4-FFF2-40B4-BE49-F238E27FC236}">
              <a16:creationId xmlns:a16="http://schemas.microsoft.com/office/drawing/2014/main" id="{00000000-0008-0000-0300-000003000000}"/>
            </a:ext>
          </a:extLst>
        </xdr:cNvPr>
        <xdr:cNvSpPr/>
      </xdr:nvSpPr>
      <xdr:spPr>
        <a:xfrm>
          <a:off x="6972301" y="7934326"/>
          <a:ext cx="542924" cy="228600"/>
        </a:xfrm>
        <a:prstGeom prst="rightArrow">
          <a:avLst>
            <a:gd name="adj1" fmla="val 34637"/>
            <a:gd name="adj2" fmla="val 70165"/>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fr-CA" sz="1050" i="1">
            <a:solidFill>
              <a:schemeClr val="bg1">
                <a:lumMod val="50000"/>
              </a:schemeClr>
            </a:solidFill>
          </a:endParaRPr>
        </a:p>
      </xdr:txBody>
    </xdr:sp>
    <xdr:clientData/>
  </xdr:twoCellAnchor>
  <xdr:twoCellAnchor>
    <xdr:from>
      <xdr:col>10</xdr:col>
      <xdr:colOff>142875</xdr:colOff>
      <xdr:row>37</xdr:row>
      <xdr:rowOff>28575</xdr:rowOff>
    </xdr:from>
    <xdr:to>
      <xdr:col>10</xdr:col>
      <xdr:colOff>685799</xdr:colOff>
      <xdr:row>37</xdr:row>
      <xdr:rowOff>257175</xdr:rowOff>
    </xdr:to>
    <xdr:sp macro="" textlink="">
      <xdr:nvSpPr>
        <xdr:cNvPr id="4" name="Flèche droite 3">
          <a:extLst>
            <a:ext uri="{FF2B5EF4-FFF2-40B4-BE49-F238E27FC236}">
              <a16:creationId xmlns:a16="http://schemas.microsoft.com/office/drawing/2014/main" id="{00000000-0008-0000-0300-000004000000}"/>
            </a:ext>
          </a:extLst>
        </xdr:cNvPr>
        <xdr:cNvSpPr/>
      </xdr:nvSpPr>
      <xdr:spPr>
        <a:xfrm>
          <a:off x="6972300" y="8848725"/>
          <a:ext cx="542924" cy="228600"/>
        </a:xfrm>
        <a:prstGeom prst="rightArrow">
          <a:avLst>
            <a:gd name="adj1" fmla="val 34637"/>
            <a:gd name="adj2" fmla="val 70165"/>
          </a:avLst>
        </a:prstGeom>
        <a:solidFill>
          <a:srgbClr val="239587"/>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fr-CA" sz="1050" i="1">
            <a:solidFill>
              <a:schemeClr val="bg1">
                <a:lumMod val="50000"/>
              </a:schemeClr>
            </a:solidFill>
          </a:endParaRPr>
        </a:p>
      </xdr:txBody>
    </xdr:sp>
    <xdr:clientData/>
  </xdr:twoCellAnchor>
  <xdr:twoCellAnchor>
    <xdr:from>
      <xdr:col>10</xdr:col>
      <xdr:colOff>142875</xdr:colOff>
      <xdr:row>35</xdr:row>
      <xdr:rowOff>47625</xdr:rowOff>
    </xdr:from>
    <xdr:to>
      <xdr:col>10</xdr:col>
      <xdr:colOff>685799</xdr:colOff>
      <xdr:row>35</xdr:row>
      <xdr:rowOff>276225</xdr:rowOff>
    </xdr:to>
    <xdr:sp macro="" textlink="">
      <xdr:nvSpPr>
        <xdr:cNvPr id="5" name="Flèche droite 4">
          <a:extLst>
            <a:ext uri="{FF2B5EF4-FFF2-40B4-BE49-F238E27FC236}">
              <a16:creationId xmlns:a16="http://schemas.microsoft.com/office/drawing/2014/main" id="{00000000-0008-0000-0300-000005000000}"/>
            </a:ext>
          </a:extLst>
        </xdr:cNvPr>
        <xdr:cNvSpPr/>
      </xdr:nvSpPr>
      <xdr:spPr>
        <a:xfrm>
          <a:off x="6972300" y="8401050"/>
          <a:ext cx="542924" cy="228600"/>
        </a:xfrm>
        <a:prstGeom prst="rightArrow">
          <a:avLst>
            <a:gd name="adj1" fmla="val 34637"/>
            <a:gd name="adj2" fmla="val 70165"/>
          </a:avLst>
        </a:prstGeom>
        <a:solidFill>
          <a:schemeClr val="accent4">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fr-CA" sz="1050" i="1">
            <a:solidFill>
              <a:schemeClr val="bg1">
                <a:lumMod val="50000"/>
              </a:schemeClr>
            </a:solidFill>
          </a:endParaRPr>
        </a:p>
      </xdr:txBody>
    </xdr:sp>
    <xdr:clientData/>
  </xdr:twoCellAnchor>
  <xdr:twoCellAnchor>
    <xdr:from>
      <xdr:col>13</xdr:col>
      <xdr:colOff>161925</xdr:colOff>
      <xdr:row>35</xdr:row>
      <xdr:rowOff>19049</xdr:rowOff>
    </xdr:from>
    <xdr:to>
      <xdr:col>13</xdr:col>
      <xdr:colOff>895350</xdr:colOff>
      <xdr:row>35</xdr:row>
      <xdr:rowOff>257174</xdr:rowOff>
    </xdr:to>
    <xdr:sp macro="" textlink="">
      <xdr:nvSpPr>
        <xdr:cNvPr id="6" name="Flèche droite 5">
          <a:extLst>
            <a:ext uri="{FF2B5EF4-FFF2-40B4-BE49-F238E27FC236}">
              <a16:creationId xmlns:a16="http://schemas.microsoft.com/office/drawing/2014/main" id="{00000000-0008-0000-0300-000006000000}"/>
            </a:ext>
          </a:extLst>
        </xdr:cNvPr>
        <xdr:cNvSpPr/>
      </xdr:nvSpPr>
      <xdr:spPr>
        <a:xfrm>
          <a:off x="8734425" y="4610099"/>
          <a:ext cx="733425" cy="238125"/>
        </a:xfrm>
        <a:prstGeom prst="rightArrow">
          <a:avLst>
            <a:gd name="adj1" fmla="val 34637"/>
            <a:gd name="adj2" fmla="val 70165"/>
          </a:avLst>
        </a:prstGeom>
        <a:solidFill>
          <a:schemeClr val="accent5">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fr-CA" sz="1050" i="1">
            <a:solidFill>
              <a:schemeClr val="bg1">
                <a:lumMod val="50000"/>
              </a:schemeClr>
            </a:solidFill>
          </a:endParaRPr>
        </a:p>
      </xdr:txBody>
    </xdr:sp>
    <xdr:clientData/>
  </xdr:twoCellAnchor>
  <xdr:twoCellAnchor>
    <xdr:from>
      <xdr:col>13</xdr:col>
      <xdr:colOff>142009</xdr:colOff>
      <xdr:row>36</xdr:row>
      <xdr:rowOff>94671</xdr:rowOff>
    </xdr:from>
    <xdr:to>
      <xdr:col>13</xdr:col>
      <xdr:colOff>929943</xdr:colOff>
      <xdr:row>37</xdr:row>
      <xdr:rowOff>193848</xdr:rowOff>
    </xdr:to>
    <xdr:sp macro="" textlink="">
      <xdr:nvSpPr>
        <xdr:cNvPr id="7" name="Flèche droite 6">
          <a:extLst>
            <a:ext uri="{FF2B5EF4-FFF2-40B4-BE49-F238E27FC236}">
              <a16:creationId xmlns:a16="http://schemas.microsoft.com/office/drawing/2014/main" id="{00000000-0008-0000-0300-000007000000}"/>
            </a:ext>
          </a:extLst>
        </xdr:cNvPr>
        <xdr:cNvSpPr/>
      </xdr:nvSpPr>
      <xdr:spPr>
        <a:xfrm rot="20605992">
          <a:off x="9800359" y="6933621"/>
          <a:ext cx="787934" cy="223002"/>
        </a:xfrm>
        <a:prstGeom prst="rightArrow">
          <a:avLst>
            <a:gd name="adj1" fmla="val 34637"/>
            <a:gd name="adj2" fmla="val 70165"/>
          </a:avLst>
        </a:prstGeom>
        <a:solidFill>
          <a:schemeClr val="accent5">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fr-CA" sz="1050" i="1">
            <a:solidFill>
              <a:schemeClr val="bg1">
                <a:lumMod val="50000"/>
              </a:schemeClr>
            </a:solidFill>
          </a:endParaRPr>
        </a:p>
      </xdr:txBody>
    </xdr:sp>
    <xdr:clientData/>
  </xdr:twoCellAnchor>
  <xdr:twoCellAnchor>
    <xdr:from>
      <xdr:col>13</xdr:col>
      <xdr:colOff>130827</xdr:colOff>
      <xdr:row>33</xdr:row>
      <xdr:rowOff>118740</xdr:rowOff>
    </xdr:from>
    <xdr:to>
      <xdr:col>13</xdr:col>
      <xdr:colOff>910082</xdr:colOff>
      <xdr:row>34</xdr:row>
      <xdr:rowOff>69044</xdr:rowOff>
    </xdr:to>
    <xdr:sp macro="" textlink="">
      <xdr:nvSpPr>
        <xdr:cNvPr id="9" name="Flèche droite 8">
          <a:extLst>
            <a:ext uri="{FF2B5EF4-FFF2-40B4-BE49-F238E27FC236}">
              <a16:creationId xmlns:a16="http://schemas.microsoft.com/office/drawing/2014/main" id="{00000000-0008-0000-0300-000009000000}"/>
            </a:ext>
          </a:extLst>
        </xdr:cNvPr>
        <xdr:cNvSpPr/>
      </xdr:nvSpPr>
      <xdr:spPr>
        <a:xfrm rot="946478">
          <a:off x="8703327" y="4243065"/>
          <a:ext cx="779255" cy="236054"/>
        </a:xfrm>
        <a:prstGeom prst="rightArrow">
          <a:avLst>
            <a:gd name="adj1" fmla="val 34637"/>
            <a:gd name="adj2" fmla="val 70165"/>
          </a:avLst>
        </a:prstGeom>
        <a:solidFill>
          <a:schemeClr val="accent5">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fr-CA" sz="1050" i="1">
            <a:solidFill>
              <a:schemeClr val="bg1">
                <a:lumMod val="50000"/>
              </a:schemeClr>
            </a:solidFill>
          </a:endParaRPr>
        </a:p>
      </xdr:txBody>
    </xdr:sp>
    <xdr:clientData/>
  </xdr:twoCellAnchor>
  <xdr:twoCellAnchor>
    <xdr:from>
      <xdr:col>7</xdr:col>
      <xdr:colOff>103301</xdr:colOff>
      <xdr:row>33</xdr:row>
      <xdr:rowOff>169874</xdr:rowOff>
    </xdr:from>
    <xdr:to>
      <xdr:col>7</xdr:col>
      <xdr:colOff>957496</xdr:colOff>
      <xdr:row>34</xdr:row>
      <xdr:rowOff>106374</xdr:rowOff>
    </xdr:to>
    <xdr:sp macro="" textlink="">
      <xdr:nvSpPr>
        <xdr:cNvPr id="10" name="Flèche droite 9">
          <a:extLst>
            <a:ext uri="{FF2B5EF4-FFF2-40B4-BE49-F238E27FC236}">
              <a16:creationId xmlns:a16="http://schemas.microsoft.com/office/drawing/2014/main" id="{00000000-0008-0000-0300-00000A000000}"/>
            </a:ext>
          </a:extLst>
        </xdr:cNvPr>
        <xdr:cNvSpPr/>
      </xdr:nvSpPr>
      <xdr:spPr>
        <a:xfrm rot="20471623">
          <a:off x="2589326" y="7904174"/>
          <a:ext cx="854195" cy="222250"/>
        </a:xfrm>
        <a:prstGeom prst="rightArrow">
          <a:avLst>
            <a:gd name="adj1" fmla="val 34637"/>
            <a:gd name="adj2" fmla="val 70165"/>
          </a:avLst>
        </a:prstGeom>
        <a:solidFill>
          <a:schemeClr val="accent5">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fr-CA" sz="1050" i="1">
            <a:solidFill>
              <a:schemeClr val="bg1">
                <a:lumMod val="50000"/>
              </a:schemeClr>
            </a:solidFill>
          </a:endParaRPr>
        </a:p>
      </xdr:txBody>
    </xdr:sp>
    <xdr:clientData/>
  </xdr:twoCellAnchor>
  <xdr:twoCellAnchor>
    <xdr:from>
      <xdr:col>7</xdr:col>
      <xdr:colOff>179748</xdr:colOff>
      <xdr:row>35</xdr:row>
      <xdr:rowOff>26919</xdr:rowOff>
    </xdr:from>
    <xdr:to>
      <xdr:col>7</xdr:col>
      <xdr:colOff>872436</xdr:colOff>
      <xdr:row>35</xdr:row>
      <xdr:rowOff>256653</xdr:rowOff>
    </xdr:to>
    <xdr:sp macro="" textlink="">
      <xdr:nvSpPr>
        <xdr:cNvPr id="11" name="Flèche droite 10">
          <a:extLst>
            <a:ext uri="{FF2B5EF4-FFF2-40B4-BE49-F238E27FC236}">
              <a16:creationId xmlns:a16="http://schemas.microsoft.com/office/drawing/2014/main" id="{00000000-0008-0000-0300-00000B000000}"/>
            </a:ext>
          </a:extLst>
        </xdr:cNvPr>
        <xdr:cNvSpPr/>
      </xdr:nvSpPr>
      <xdr:spPr>
        <a:xfrm>
          <a:off x="2665773" y="8227944"/>
          <a:ext cx="692688" cy="229734"/>
        </a:xfrm>
        <a:prstGeom prst="rightArrow">
          <a:avLst>
            <a:gd name="adj1" fmla="val 34637"/>
            <a:gd name="adj2" fmla="val 70165"/>
          </a:avLst>
        </a:prstGeom>
        <a:solidFill>
          <a:schemeClr val="accent5">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fr-CA" sz="1050" i="1">
            <a:solidFill>
              <a:schemeClr val="bg1">
                <a:lumMod val="50000"/>
              </a:schemeClr>
            </a:solidFill>
          </a:endParaRPr>
        </a:p>
      </xdr:txBody>
    </xdr:sp>
    <xdr:clientData/>
  </xdr:twoCellAnchor>
  <xdr:twoCellAnchor>
    <xdr:from>
      <xdr:col>7</xdr:col>
      <xdr:colOff>75944</xdr:colOff>
      <xdr:row>36</xdr:row>
      <xdr:rowOff>48911</xdr:rowOff>
    </xdr:from>
    <xdr:to>
      <xdr:col>7</xdr:col>
      <xdr:colOff>946511</xdr:colOff>
      <xdr:row>37</xdr:row>
      <xdr:rowOff>144938</xdr:rowOff>
    </xdr:to>
    <xdr:sp macro="" textlink="">
      <xdr:nvSpPr>
        <xdr:cNvPr id="12" name="Flèche droite 11">
          <a:extLst>
            <a:ext uri="{FF2B5EF4-FFF2-40B4-BE49-F238E27FC236}">
              <a16:creationId xmlns:a16="http://schemas.microsoft.com/office/drawing/2014/main" id="{00000000-0008-0000-0300-00000C000000}"/>
            </a:ext>
          </a:extLst>
        </xdr:cNvPr>
        <xdr:cNvSpPr/>
      </xdr:nvSpPr>
      <xdr:spPr>
        <a:xfrm rot="1234713">
          <a:off x="3819269" y="6887861"/>
          <a:ext cx="870567" cy="219852"/>
        </a:xfrm>
        <a:prstGeom prst="rightArrow">
          <a:avLst>
            <a:gd name="adj1" fmla="val 34637"/>
            <a:gd name="adj2" fmla="val 70165"/>
          </a:avLst>
        </a:prstGeom>
        <a:solidFill>
          <a:schemeClr val="accent5">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fr-CA" sz="1050" i="1">
            <a:solidFill>
              <a:schemeClr val="bg1">
                <a:lumMod val="50000"/>
              </a:schemeClr>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152400</xdr:colOff>
      <xdr:row>11</xdr:row>
      <xdr:rowOff>238126</xdr:rowOff>
    </xdr:from>
    <xdr:to>
      <xdr:col>29</xdr:col>
      <xdr:colOff>104775</xdr:colOff>
      <xdr:row>25</xdr:row>
      <xdr:rowOff>161925</xdr:rowOff>
    </xdr:to>
    <xdr:graphicFrame macro="">
      <xdr:nvGraphicFramePr>
        <xdr:cNvPr id="20" name="Graphique 19">
          <a:extLst>
            <a:ext uri="{FF2B5EF4-FFF2-40B4-BE49-F238E27FC236}">
              <a16:creationId xmlns:a16="http://schemas.microsoft.com/office/drawing/2014/main" id="{00000000-0008-0000-08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19</xdr:col>
          <xdr:colOff>123825</xdr:colOff>
          <xdr:row>17</xdr:row>
          <xdr:rowOff>19051</xdr:rowOff>
        </xdr:from>
        <xdr:to>
          <xdr:col>24</xdr:col>
          <xdr:colOff>342900</xdr:colOff>
          <xdr:row>19</xdr:row>
          <xdr:rowOff>95250</xdr:rowOff>
        </xdr:to>
        <xdr:pic>
          <xdr:nvPicPr>
            <xdr:cNvPr id="23" name="Image 22">
              <a:extLst>
                <a:ext uri="{FF2B5EF4-FFF2-40B4-BE49-F238E27FC236}">
                  <a16:creationId xmlns:a16="http://schemas.microsoft.com/office/drawing/2014/main" id="{00000000-0008-0000-0800-000017000000}"/>
                </a:ext>
              </a:extLst>
            </xdr:cNvPr>
            <xdr:cNvPicPr>
              <a:picLocks noChangeAspect="1" noChangeArrowheads="1"/>
              <a:extLst>
                <a:ext uri="{84589F7E-364E-4C9E-8A38-B11213B215E9}">
                  <a14:cameraTool cellRange="'CALCULS Eau potable'!$E$28" spid="_x0000_s769757"/>
                </a:ext>
              </a:extLst>
            </xdr:cNvPicPr>
          </xdr:nvPicPr>
          <xdr:blipFill rotWithShape="1">
            <a:blip xmlns:r="http://schemas.openxmlformats.org/officeDocument/2006/relationships" r:embed="rId2"/>
            <a:srcRect l="4959" t="-2778" r="6612" b="-1"/>
            <a:stretch>
              <a:fillRect/>
            </a:stretch>
          </xdr:blipFill>
          <xdr:spPr bwMode="auto">
            <a:xfrm>
              <a:off x="3609975" y="3343276"/>
              <a:ext cx="1019175" cy="40957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37</xdr:col>
      <xdr:colOff>114300</xdr:colOff>
      <xdr:row>15</xdr:row>
      <xdr:rowOff>38100</xdr:rowOff>
    </xdr:from>
    <xdr:to>
      <xdr:col>56</xdr:col>
      <xdr:colOff>142875</xdr:colOff>
      <xdr:row>22</xdr:row>
      <xdr:rowOff>180975</xdr:rowOff>
    </xdr:to>
    <xdr:graphicFrame macro="">
      <xdr:nvGraphicFramePr>
        <xdr:cNvPr id="24" name="Graphique 23">
          <a:extLst>
            <a:ext uri="{FF2B5EF4-FFF2-40B4-BE49-F238E27FC236}">
              <a16:creationId xmlns:a16="http://schemas.microsoft.com/office/drawing/2014/main" id="{00000000-0008-0000-08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114300</xdr:colOff>
      <xdr:row>24</xdr:row>
      <xdr:rowOff>66675</xdr:rowOff>
    </xdr:from>
    <xdr:to>
      <xdr:col>56</xdr:col>
      <xdr:colOff>152400</xdr:colOff>
      <xdr:row>31</xdr:row>
      <xdr:rowOff>76200</xdr:rowOff>
    </xdr:to>
    <xdr:graphicFrame macro="">
      <xdr:nvGraphicFramePr>
        <xdr:cNvPr id="26" name="Graphique 25">
          <a:extLst>
            <a:ext uri="{FF2B5EF4-FFF2-40B4-BE49-F238E27FC236}">
              <a16:creationId xmlns:a16="http://schemas.microsoft.com/office/drawing/2014/main" id="{00000000-0008-0000-08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62</xdr:col>
      <xdr:colOff>123825</xdr:colOff>
      <xdr:row>15</xdr:row>
      <xdr:rowOff>38101</xdr:rowOff>
    </xdr:from>
    <xdr:to>
      <xdr:col>87</xdr:col>
      <xdr:colOff>57150</xdr:colOff>
      <xdr:row>23</xdr:row>
      <xdr:rowOff>19050</xdr:rowOff>
    </xdr:to>
    <xdr:graphicFrame macro="">
      <xdr:nvGraphicFramePr>
        <xdr:cNvPr id="27" name="Graphique 26">
          <a:extLst>
            <a:ext uri="{FF2B5EF4-FFF2-40B4-BE49-F238E27FC236}">
              <a16:creationId xmlns:a16="http://schemas.microsoft.com/office/drawing/2014/main" id="{00000000-0008-0000-08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62</xdr:col>
      <xdr:colOff>123825</xdr:colOff>
      <xdr:row>24</xdr:row>
      <xdr:rowOff>57150</xdr:rowOff>
    </xdr:from>
    <xdr:to>
      <xdr:col>87</xdr:col>
      <xdr:colOff>76200</xdr:colOff>
      <xdr:row>31</xdr:row>
      <xdr:rowOff>57150</xdr:rowOff>
    </xdr:to>
    <xdr:graphicFrame macro="">
      <xdr:nvGraphicFramePr>
        <xdr:cNvPr id="28" name="Graphique 27">
          <a:extLst>
            <a:ext uri="{FF2B5EF4-FFF2-40B4-BE49-F238E27FC236}">
              <a16:creationId xmlns:a16="http://schemas.microsoft.com/office/drawing/2014/main" id="{00000000-0008-0000-08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104775</xdr:colOff>
      <xdr:row>82</xdr:row>
      <xdr:rowOff>76200</xdr:rowOff>
    </xdr:from>
    <xdr:to>
      <xdr:col>32</xdr:col>
      <xdr:colOff>19050</xdr:colOff>
      <xdr:row>96</xdr:row>
      <xdr:rowOff>190499</xdr:rowOff>
    </xdr:to>
    <xdr:graphicFrame macro="">
      <xdr:nvGraphicFramePr>
        <xdr:cNvPr id="29" name="Graphique 28">
          <a:extLst>
            <a:ext uri="{FF2B5EF4-FFF2-40B4-BE49-F238E27FC236}">
              <a16:creationId xmlns:a16="http://schemas.microsoft.com/office/drawing/2014/main" id="{00000000-0008-0000-08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95250</xdr:colOff>
      <xdr:row>106</xdr:row>
      <xdr:rowOff>9525</xdr:rowOff>
    </xdr:from>
    <xdr:to>
      <xdr:col>31</xdr:col>
      <xdr:colOff>123826</xdr:colOff>
      <xdr:row>110</xdr:row>
      <xdr:rowOff>76200</xdr:rowOff>
    </xdr:to>
    <xdr:graphicFrame macro="">
      <xdr:nvGraphicFramePr>
        <xdr:cNvPr id="30" name="Graphique 29">
          <a:extLst>
            <a:ext uri="{FF2B5EF4-FFF2-40B4-BE49-F238E27FC236}">
              <a16:creationId xmlns:a16="http://schemas.microsoft.com/office/drawing/2014/main" id="{00000000-0008-0000-08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47625</xdr:colOff>
      <xdr:row>105</xdr:row>
      <xdr:rowOff>200026</xdr:rowOff>
    </xdr:from>
    <xdr:to>
      <xdr:col>64</xdr:col>
      <xdr:colOff>161926</xdr:colOff>
      <xdr:row>110</xdr:row>
      <xdr:rowOff>76201</xdr:rowOff>
    </xdr:to>
    <xdr:graphicFrame macro="">
      <xdr:nvGraphicFramePr>
        <xdr:cNvPr id="31" name="Graphique 30">
          <a:extLst>
            <a:ext uri="{FF2B5EF4-FFF2-40B4-BE49-F238E27FC236}">
              <a16:creationId xmlns:a16="http://schemas.microsoft.com/office/drawing/2014/main" id="{00000000-0008-0000-08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70</xdr:col>
      <xdr:colOff>266700</xdr:colOff>
      <xdr:row>82</xdr:row>
      <xdr:rowOff>209550</xdr:rowOff>
    </xdr:from>
    <xdr:to>
      <xdr:col>87</xdr:col>
      <xdr:colOff>142875</xdr:colOff>
      <xdr:row>82</xdr:row>
      <xdr:rowOff>47625</xdr:rowOff>
    </xdr:to>
    <xdr:graphicFrame macro="">
      <xdr:nvGraphicFramePr>
        <xdr:cNvPr id="32" name="Graphique 31">
          <a:extLst>
            <a:ext uri="{FF2B5EF4-FFF2-40B4-BE49-F238E27FC236}">
              <a16:creationId xmlns:a16="http://schemas.microsoft.com/office/drawing/2014/main" id="{00000000-0008-0000-08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104775</xdr:colOff>
      <xdr:row>125</xdr:row>
      <xdr:rowOff>57149</xdr:rowOff>
    </xdr:from>
    <xdr:to>
      <xdr:col>25</xdr:col>
      <xdr:colOff>190500</xdr:colOff>
      <xdr:row>127</xdr:row>
      <xdr:rowOff>38099</xdr:rowOff>
    </xdr:to>
    <xdr:graphicFrame macro="">
      <xdr:nvGraphicFramePr>
        <xdr:cNvPr id="21" name="Graphique 20">
          <a:extLst>
            <a:ext uri="{FF2B5EF4-FFF2-40B4-BE49-F238E27FC236}">
              <a16:creationId xmlns:a16="http://schemas.microsoft.com/office/drawing/2014/main" id="{00000000-0008-0000-08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28</xdr:col>
      <xdr:colOff>19050</xdr:colOff>
      <xdr:row>125</xdr:row>
      <xdr:rowOff>28577</xdr:rowOff>
    </xdr:from>
    <xdr:to>
      <xdr:col>54</xdr:col>
      <xdr:colOff>180975</xdr:colOff>
      <xdr:row>127</xdr:row>
      <xdr:rowOff>19050</xdr:rowOff>
    </xdr:to>
    <xdr:graphicFrame macro="">
      <xdr:nvGraphicFramePr>
        <xdr:cNvPr id="22" name="Graphique 21">
          <a:extLst>
            <a:ext uri="{FF2B5EF4-FFF2-40B4-BE49-F238E27FC236}">
              <a16:creationId xmlns:a16="http://schemas.microsoft.com/office/drawing/2014/main" id="{00000000-0008-0000-08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58</xdr:col>
      <xdr:colOff>47625</xdr:colOff>
      <xdr:row>125</xdr:row>
      <xdr:rowOff>19049</xdr:rowOff>
    </xdr:from>
    <xdr:to>
      <xdr:col>88</xdr:col>
      <xdr:colOff>76200</xdr:colOff>
      <xdr:row>126</xdr:row>
      <xdr:rowOff>361949</xdr:rowOff>
    </xdr:to>
    <xdr:graphicFrame macro="">
      <xdr:nvGraphicFramePr>
        <xdr:cNvPr id="33" name="Graphique 32">
          <a:extLst>
            <a:ext uri="{FF2B5EF4-FFF2-40B4-BE49-F238E27FC236}">
              <a16:creationId xmlns:a16="http://schemas.microsoft.com/office/drawing/2014/main" id="{00000000-0008-0000-08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9525</xdr:colOff>
      <xdr:row>59</xdr:row>
      <xdr:rowOff>38100</xdr:rowOff>
    </xdr:from>
    <xdr:to>
      <xdr:col>41</xdr:col>
      <xdr:colOff>171451</xdr:colOff>
      <xdr:row>71</xdr:row>
      <xdr:rowOff>38100</xdr:rowOff>
    </xdr:to>
    <xdr:graphicFrame macro="">
      <xdr:nvGraphicFramePr>
        <xdr:cNvPr id="35" name="Graphique 34">
          <a:extLst>
            <a:ext uri="{FF2B5EF4-FFF2-40B4-BE49-F238E27FC236}">
              <a16:creationId xmlns:a16="http://schemas.microsoft.com/office/drawing/2014/main" id="{00000000-0008-0000-08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70</xdr:col>
      <xdr:colOff>323849</xdr:colOff>
      <xdr:row>82</xdr:row>
      <xdr:rowOff>180975</xdr:rowOff>
    </xdr:from>
    <xdr:to>
      <xdr:col>87</xdr:col>
      <xdr:colOff>19049</xdr:colOff>
      <xdr:row>95</xdr:row>
      <xdr:rowOff>85724</xdr:rowOff>
    </xdr:to>
    <xdr:graphicFrame macro="">
      <xdr:nvGraphicFramePr>
        <xdr:cNvPr id="36" name="Graphique 35">
          <a:extLst>
            <a:ext uri="{FF2B5EF4-FFF2-40B4-BE49-F238E27FC236}">
              <a16:creationId xmlns:a16="http://schemas.microsoft.com/office/drawing/2014/main" id="{00000000-0008-0000-08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mc:AlternateContent xmlns:mc="http://schemas.openxmlformats.org/markup-compatibility/2006">
    <mc:Choice xmlns:a14="http://schemas.microsoft.com/office/drawing/2010/main" Requires="a14">
      <xdr:twoCellAnchor editAs="oneCell">
        <xdr:from>
          <xdr:col>75</xdr:col>
          <xdr:colOff>160515</xdr:colOff>
          <xdr:row>88</xdr:row>
          <xdr:rowOff>57150</xdr:rowOff>
        </xdr:from>
        <xdr:to>
          <xdr:col>83</xdr:col>
          <xdr:colOff>57151</xdr:colOff>
          <xdr:row>89</xdr:row>
          <xdr:rowOff>66675</xdr:rowOff>
        </xdr:to>
        <xdr:pic>
          <xdr:nvPicPr>
            <xdr:cNvPr id="34" name="Image 33">
              <a:extLst>
                <a:ext uri="{FF2B5EF4-FFF2-40B4-BE49-F238E27FC236}">
                  <a16:creationId xmlns:a16="http://schemas.microsoft.com/office/drawing/2014/main" id="{00000000-0008-0000-0800-000022000000}"/>
                </a:ext>
              </a:extLst>
            </xdr:cNvPr>
            <xdr:cNvPicPr>
              <a:picLocks noChangeAspect="1" noChangeArrowheads="1"/>
              <a:extLst>
                <a:ext uri="{84589F7E-364E-4C9E-8A38-B11213B215E9}">
                  <a14:cameraTool cellRange="'CALCULS Eau potable'!$L$247" spid="_x0000_s769758"/>
                </a:ext>
              </a:extLst>
            </xdr:cNvPicPr>
          </xdr:nvPicPr>
          <xdr:blipFill rotWithShape="1">
            <a:blip xmlns:r="http://schemas.openxmlformats.org/officeDocument/2006/relationships" r:embed="rId16"/>
            <a:srcRect l="19293" t="12098" r="19721" b="14583"/>
            <a:stretch>
              <a:fillRect/>
            </a:stretch>
          </xdr:blipFill>
          <xdr:spPr bwMode="auto">
            <a:xfrm>
              <a:off x="12590640" y="14868525"/>
              <a:ext cx="896761" cy="25717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70</xdr:col>
      <xdr:colOff>266700</xdr:colOff>
      <xdr:row>82</xdr:row>
      <xdr:rowOff>209550</xdr:rowOff>
    </xdr:from>
    <xdr:to>
      <xdr:col>87</xdr:col>
      <xdr:colOff>142875</xdr:colOff>
      <xdr:row>82</xdr:row>
      <xdr:rowOff>47625</xdr:rowOff>
    </xdr:to>
    <xdr:graphicFrame macro="">
      <xdr:nvGraphicFramePr>
        <xdr:cNvPr id="11" name="Graphique 10">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58</xdr:col>
      <xdr:colOff>9525</xdr:colOff>
      <xdr:row>125</xdr:row>
      <xdr:rowOff>57149</xdr:rowOff>
    </xdr:from>
    <xdr:to>
      <xdr:col>88</xdr:col>
      <xdr:colOff>66675</xdr:colOff>
      <xdr:row>127</xdr:row>
      <xdr:rowOff>19049</xdr:rowOff>
    </xdr:to>
    <xdr:graphicFrame macro="">
      <xdr:nvGraphicFramePr>
        <xdr:cNvPr id="18" name="Graphique 17">
          <a:extLst>
            <a:ext uri="{FF2B5EF4-FFF2-40B4-BE49-F238E27FC236}">
              <a16:creationId xmlns:a16="http://schemas.microsoft.com/office/drawing/2014/main" id="{00000000-0008-0000-0B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85725</xdr:colOff>
      <xdr:row>125</xdr:row>
      <xdr:rowOff>28576</xdr:rowOff>
    </xdr:from>
    <xdr:to>
      <xdr:col>54</xdr:col>
      <xdr:colOff>190500</xdr:colOff>
      <xdr:row>127</xdr:row>
      <xdr:rowOff>9525</xdr:rowOff>
    </xdr:to>
    <xdr:graphicFrame macro="">
      <xdr:nvGraphicFramePr>
        <xdr:cNvPr id="19" name="Graphique 18">
          <a:extLst>
            <a:ext uri="{FF2B5EF4-FFF2-40B4-BE49-F238E27FC236}">
              <a16:creationId xmlns:a16="http://schemas.microsoft.com/office/drawing/2014/main" id="{00000000-0008-0000-0B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123825</xdr:colOff>
      <xdr:row>125</xdr:row>
      <xdr:rowOff>38100</xdr:rowOff>
    </xdr:from>
    <xdr:to>
      <xdr:col>25</xdr:col>
      <xdr:colOff>180974</xdr:colOff>
      <xdr:row>127</xdr:row>
      <xdr:rowOff>9524</xdr:rowOff>
    </xdr:to>
    <xdr:graphicFrame macro="">
      <xdr:nvGraphicFramePr>
        <xdr:cNvPr id="20" name="Graphique 19">
          <a:extLst>
            <a:ext uri="{FF2B5EF4-FFF2-40B4-BE49-F238E27FC236}">
              <a16:creationId xmlns:a16="http://schemas.microsoft.com/office/drawing/2014/main" id="{00000000-0008-0000-0B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95251</xdr:colOff>
      <xdr:row>82</xdr:row>
      <xdr:rowOff>0</xdr:rowOff>
    </xdr:from>
    <xdr:to>
      <xdr:col>31</xdr:col>
      <xdr:colOff>142875</xdr:colOff>
      <xdr:row>96</xdr:row>
      <xdr:rowOff>190500</xdr:rowOff>
    </xdr:to>
    <xdr:graphicFrame macro="">
      <xdr:nvGraphicFramePr>
        <xdr:cNvPr id="21" name="Graphique 20">
          <a:extLst>
            <a:ext uri="{FF2B5EF4-FFF2-40B4-BE49-F238E27FC236}">
              <a16:creationId xmlns:a16="http://schemas.microsoft.com/office/drawing/2014/main" id="{00000000-0008-0000-0B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73</xdr:col>
      <xdr:colOff>28575</xdr:colOff>
      <xdr:row>82</xdr:row>
      <xdr:rowOff>200025</xdr:rowOff>
    </xdr:from>
    <xdr:to>
      <xdr:col>88</xdr:col>
      <xdr:colOff>104775</xdr:colOff>
      <xdr:row>95</xdr:row>
      <xdr:rowOff>123825</xdr:rowOff>
    </xdr:to>
    <xdr:graphicFrame macro="">
      <xdr:nvGraphicFramePr>
        <xdr:cNvPr id="22" name="Graphique 21">
          <a:extLst>
            <a:ext uri="{FF2B5EF4-FFF2-40B4-BE49-F238E27FC236}">
              <a16:creationId xmlns:a16="http://schemas.microsoft.com/office/drawing/2014/main" id="{00000000-0008-0000-0B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mc:AlternateContent xmlns:mc="http://schemas.openxmlformats.org/markup-compatibility/2006">
    <mc:Choice xmlns:a14="http://schemas.microsoft.com/office/drawing/2010/main" Requires="a14">
      <xdr:twoCellAnchor editAs="oneCell">
        <xdr:from>
          <xdr:col>77</xdr:col>
          <xdr:colOff>161924</xdr:colOff>
          <xdr:row>88</xdr:row>
          <xdr:rowOff>47624</xdr:rowOff>
        </xdr:from>
        <xdr:to>
          <xdr:col>84</xdr:col>
          <xdr:colOff>142875</xdr:colOff>
          <xdr:row>90</xdr:row>
          <xdr:rowOff>47624</xdr:rowOff>
        </xdr:to>
        <xdr:pic>
          <xdr:nvPicPr>
            <xdr:cNvPr id="23" name="Image 22">
              <a:extLst>
                <a:ext uri="{FF2B5EF4-FFF2-40B4-BE49-F238E27FC236}">
                  <a16:creationId xmlns:a16="http://schemas.microsoft.com/office/drawing/2014/main" id="{00000000-0008-0000-0B00-000017000000}"/>
                </a:ext>
              </a:extLst>
            </xdr:cNvPr>
            <xdr:cNvPicPr>
              <a:picLocks noChangeAspect="1" noChangeArrowheads="1"/>
              <a:extLst>
                <a:ext uri="{84589F7E-364E-4C9E-8A38-B11213B215E9}">
                  <a14:cameraTool cellRange="'CALCULS Eaux usées'!$L$247" spid="_x0000_s795185"/>
                </a:ext>
              </a:extLst>
            </xdr:cNvPicPr>
          </xdr:nvPicPr>
          <xdr:blipFill rotWithShape="1">
            <a:blip xmlns:r="http://schemas.openxmlformats.org/officeDocument/2006/relationships" r:embed="rId7"/>
            <a:srcRect l="19975" r="22003" b="1604"/>
            <a:stretch>
              <a:fillRect/>
            </a:stretch>
          </xdr:blipFill>
          <xdr:spPr bwMode="auto">
            <a:xfrm>
              <a:off x="12839699" y="14858999"/>
              <a:ext cx="933451" cy="33337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35</xdr:col>
      <xdr:colOff>47625</xdr:colOff>
      <xdr:row>105</xdr:row>
      <xdr:rowOff>200025</xdr:rowOff>
    </xdr:from>
    <xdr:to>
      <xdr:col>64</xdr:col>
      <xdr:colOff>152400</xdr:colOff>
      <xdr:row>110</xdr:row>
      <xdr:rowOff>66675</xdr:rowOff>
    </xdr:to>
    <xdr:graphicFrame macro="">
      <xdr:nvGraphicFramePr>
        <xdr:cNvPr id="24" name="Graphique 23">
          <a:extLst>
            <a:ext uri="{FF2B5EF4-FFF2-40B4-BE49-F238E27FC236}">
              <a16:creationId xmlns:a16="http://schemas.microsoft.com/office/drawing/2014/main" id="{00000000-0008-0000-0B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95249</xdr:colOff>
      <xdr:row>105</xdr:row>
      <xdr:rowOff>180975</xdr:rowOff>
    </xdr:from>
    <xdr:to>
      <xdr:col>31</xdr:col>
      <xdr:colOff>133350</xdr:colOff>
      <xdr:row>110</xdr:row>
      <xdr:rowOff>85725</xdr:rowOff>
    </xdr:to>
    <xdr:graphicFrame macro="">
      <xdr:nvGraphicFramePr>
        <xdr:cNvPr id="25" name="Graphique 24">
          <a:extLst>
            <a:ext uri="{FF2B5EF4-FFF2-40B4-BE49-F238E27FC236}">
              <a16:creationId xmlns:a16="http://schemas.microsoft.com/office/drawing/2014/main" id="{00000000-0008-0000-0B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85724</xdr:colOff>
      <xdr:row>11</xdr:row>
      <xdr:rowOff>266699</xdr:rowOff>
    </xdr:from>
    <xdr:to>
      <xdr:col>29</xdr:col>
      <xdr:colOff>190500</xdr:colOff>
      <xdr:row>25</xdr:row>
      <xdr:rowOff>171449</xdr:rowOff>
    </xdr:to>
    <xdr:graphicFrame macro="">
      <xdr:nvGraphicFramePr>
        <xdr:cNvPr id="26" name="Graphique 25">
          <a:extLst>
            <a:ext uri="{FF2B5EF4-FFF2-40B4-BE49-F238E27FC236}">
              <a16:creationId xmlns:a16="http://schemas.microsoft.com/office/drawing/2014/main" id="{00000000-0008-0000-0B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mc:AlternateContent xmlns:mc="http://schemas.openxmlformats.org/markup-compatibility/2006">
    <mc:Choice xmlns:a14="http://schemas.microsoft.com/office/drawing/2010/main" Requires="a14">
      <xdr:twoCellAnchor editAs="oneCell">
        <xdr:from>
          <xdr:col>19</xdr:col>
          <xdr:colOff>47625</xdr:colOff>
          <xdr:row>17</xdr:row>
          <xdr:rowOff>57150</xdr:rowOff>
        </xdr:from>
        <xdr:to>
          <xdr:col>24</xdr:col>
          <xdr:colOff>361951</xdr:colOff>
          <xdr:row>19</xdr:row>
          <xdr:rowOff>123825</xdr:rowOff>
        </xdr:to>
        <xdr:pic>
          <xdr:nvPicPr>
            <xdr:cNvPr id="27" name="Image 26">
              <a:extLst>
                <a:ext uri="{FF2B5EF4-FFF2-40B4-BE49-F238E27FC236}">
                  <a16:creationId xmlns:a16="http://schemas.microsoft.com/office/drawing/2014/main" id="{00000000-0008-0000-0B00-00001B000000}"/>
                </a:ext>
              </a:extLst>
            </xdr:cNvPr>
            <xdr:cNvPicPr>
              <a:picLocks noChangeAspect="1" noChangeArrowheads="1"/>
              <a:extLst>
                <a:ext uri="{84589F7E-364E-4C9E-8A38-B11213B215E9}">
                  <a14:cameraTool cellRange="'CALCULS Eaux usées'!$E$28" spid="_x0000_s795186"/>
                </a:ext>
              </a:extLst>
            </xdr:cNvPicPr>
          </xdr:nvPicPr>
          <xdr:blipFill rotWithShape="1">
            <a:blip xmlns:r="http://schemas.openxmlformats.org/officeDocument/2006/relationships" r:embed="rId11"/>
            <a:srcRect l="2415" t="4471" r="3361" b="1636"/>
            <a:stretch>
              <a:fillRect/>
            </a:stretch>
          </xdr:blipFill>
          <xdr:spPr bwMode="auto">
            <a:xfrm>
              <a:off x="3629025" y="3381375"/>
              <a:ext cx="1114426" cy="4000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37</xdr:col>
      <xdr:colOff>133350</xdr:colOff>
      <xdr:row>15</xdr:row>
      <xdr:rowOff>9524</xdr:rowOff>
    </xdr:from>
    <xdr:to>
      <xdr:col>56</xdr:col>
      <xdr:colOff>161925</xdr:colOff>
      <xdr:row>23</xdr:row>
      <xdr:rowOff>9524</xdr:rowOff>
    </xdr:to>
    <xdr:graphicFrame macro="">
      <xdr:nvGraphicFramePr>
        <xdr:cNvPr id="28" name="Graphique 27">
          <a:extLst>
            <a:ext uri="{FF2B5EF4-FFF2-40B4-BE49-F238E27FC236}">
              <a16:creationId xmlns:a16="http://schemas.microsoft.com/office/drawing/2014/main" id="{00000000-0008-0000-0B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37</xdr:col>
      <xdr:colOff>123825</xdr:colOff>
      <xdr:row>24</xdr:row>
      <xdr:rowOff>57151</xdr:rowOff>
    </xdr:from>
    <xdr:to>
      <xdr:col>56</xdr:col>
      <xdr:colOff>180975</xdr:colOff>
      <xdr:row>31</xdr:row>
      <xdr:rowOff>76200</xdr:rowOff>
    </xdr:to>
    <xdr:graphicFrame macro="">
      <xdr:nvGraphicFramePr>
        <xdr:cNvPr id="29" name="Graphique 28">
          <a:extLst>
            <a:ext uri="{FF2B5EF4-FFF2-40B4-BE49-F238E27FC236}">
              <a16:creationId xmlns:a16="http://schemas.microsoft.com/office/drawing/2014/main" id="{00000000-0008-0000-0B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62</xdr:col>
      <xdr:colOff>104776</xdr:colOff>
      <xdr:row>15</xdr:row>
      <xdr:rowOff>38100</xdr:rowOff>
    </xdr:from>
    <xdr:to>
      <xdr:col>87</xdr:col>
      <xdr:colOff>85725</xdr:colOff>
      <xdr:row>22</xdr:row>
      <xdr:rowOff>171450</xdr:rowOff>
    </xdr:to>
    <xdr:graphicFrame macro="">
      <xdr:nvGraphicFramePr>
        <xdr:cNvPr id="30" name="Graphique 29">
          <a:extLst>
            <a:ext uri="{FF2B5EF4-FFF2-40B4-BE49-F238E27FC236}">
              <a16:creationId xmlns:a16="http://schemas.microsoft.com/office/drawing/2014/main" id="{00000000-0008-0000-0B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62</xdr:col>
      <xdr:colOff>104775</xdr:colOff>
      <xdr:row>24</xdr:row>
      <xdr:rowOff>38100</xdr:rowOff>
    </xdr:from>
    <xdr:to>
      <xdr:col>87</xdr:col>
      <xdr:colOff>95250</xdr:colOff>
      <xdr:row>31</xdr:row>
      <xdr:rowOff>66675</xdr:rowOff>
    </xdr:to>
    <xdr:graphicFrame macro="">
      <xdr:nvGraphicFramePr>
        <xdr:cNvPr id="31" name="Graphique 30">
          <a:extLst>
            <a:ext uri="{FF2B5EF4-FFF2-40B4-BE49-F238E27FC236}">
              <a16:creationId xmlns:a16="http://schemas.microsoft.com/office/drawing/2014/main" id="{00000000-0008-0000-0B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9525</xdr:colOff>
      <xdr:row>59</xdr:row>
      <xdr:rowOff>0</xdr:rowOff>
    </xdr:from>
    <xdr:to>
      <xdr:col>42</xdr:col>
      <xdr:colOff>0</xdr:colOff>
      <xdr:row>71</xdr:row>
      <xdr:rowOff>66675</xdr:rowOff>
    </xdr:to>
    <xdr:graphicFrame macro="">
      <xdr:nvGraphicFramePr>
        <xdr:cNvPr id="32" name="Graphique 31">
          <a:extLst>
            <a:ext uri="{FF2B5EF4-FFF2-40B4-BE49-F238E27FC236}">
              <a16:creationId xmlns:a16="http://schemas.microsoft.com/office/drawing/2014/main" id="{00000000-0008-0000-0B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70</xdr:col>
      <xdr:colOff>266700</xdr:colOff>
      <xdr:row>82</xdr:row>
      <xdr:rowOff>209550</xdr:rowOff>
    </xdr:from>
    <xdr:to>
      <xdr:col>87</xdr:col>
      <xdr:colOff>142875</xdr:colOff>
      <xdr:row>82</xdr:row>
      <xdr:rowOff>47625</xdr:rowOff>
    </xdr:to>
    <xdr:graphicFrame macro="">
      <xdr:nvGraphicFramePr>
        <xdr:cNvPr id="11" name="Graphique 10">
          <a:extLst>
            <a:ext uri="{FF2B5EF4-FFF2-40B4-BE49-F238E27FC236}">
              <a16:creationId xmlns:a16="http://schemas.microsoft.com/office/drawing/2014/main" id="{00000000-0008-0000-0E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104775</xdr:colOff>
      <xdr:row>15</xdr:row>
      <xdr:rowOff>9525</xdr:rowOff>
    </xdr:from>
    <xdr:to>
      <xdr:col>56</xdr:col>
      <xdr:colOff>190500</xdr:colOff>
      <xdr:row>22</xdr:row>
      <xdr:rowOff>161926</xdr:rowOff>
    </xdr:to>
    <xdr:graphicFrame macro="">
      <xdr:nvGraphicFramePr>
        <xdr:cNvPr id="18" name="Graphique 17">
          <a:extLst>
            <a:ext uri="{FF2B5EF4-FFF2-40B4-BE49-F238E27FC236}">
              <a16:creationId xmlns:a16="http://schemas.microsoft.com/office/drawing/2014/main" id="{00000000-0008-0000-0E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37</xdr:col>
      <xdr:colOff>133349</xdr:colOff>
      <xdr:row>24</xdr:row>
      <xdr:rowOff>47625</xdr:rowOff>
    </xdr:from>
    <xdr:to>
      <xdr:col>56</xdr:col>
      <xdr:colOff>180975</xdr:colOff>
      <xdr:row>32</xdr:row>
      <xdr:rowOff>0</xdr:rowOff>
    </xdr:to>
    <xdr:graphicFrame macro="">
      <xdr:nvGraphicFramePr>
        <xdr:cNvPr id="19" name="Graphique 18">
          <a:extLst>
            <a:ext uri="{FF2B5EF4-FFF2-40B4-BE49-F238E27FC236}">
              <a16:creationId xmlns:a16="http://schemas.microsoft.com/office/drawing/2014/main" id="{00000000-0008-0000-0E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62</xdr:col>
      <xdr:colOff>85725</xdr:colOff>
      <xdr:row>15</xdr:row>
      <xdr:rowOff>28575</xdr:rowOff>
    </xdr:from>
    <xdr:to>
      <xdr:col>87</xdr:col>
      <xdr:colOff>114300</xdr:colOff>
      <xdr:row>22</xdr:row>
      <xdr:rowOff>180975</xdr:rowOff>
    </xdr:to>
    <xdr:graphicFrame macro="">
      <xdr:nvGraphicFramePr>
        <xdr:cNvPr id="20" name="Graphique 19">
          <a:extLst>
            <a:ext uri="{FF2B5EF4-FFF2-40B4-BE49-F238E27FC236}">
              <a16:creationId xmlns:a16="http://schemas.microsoft.com/office/drawing/2014/main" id="{00000000-0008-0000-0E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62</xdr:col>
      <xdr:colOff>114301</xdr:colOff>
      <xdr:row>24</xdr:row>
      <xdr:rowOff>57149</xdr:rowOff>
    </xdr:from>
    <xdr:to>
      <xdr:col>87</xdr:col>
      <xdr:colOff>114301</xdr:colOff>
      <xdr:row>31</xdr:row>
      <xdr:rowOff>57149</xdr:rowOff>
    </xdr:to>
    <xdr:graphicFrame macro="">
      <xdr:nvGraphicFramePr>
        <xdr:cNvPr id="21" name="Graphique 20">
          <a:extLst>
            <a:ext uri="{FF2B5EF4-FFF2-40B4-BE49-F238E27FC236}">
              <a16:creationId xmlns:a16="http://schemas.microsoft.com/office/drawing/2014/main" id="{00000000-0008-0000-0E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95250</xdr:colOff>
      <xdr:row>12</xdr:row>
      <xdr:rowOff>9525</xdr:rowOff>
    </xdr:from>
    <xdr:to>
      <xdr:col>30</xdr:col>
      <xdr:colOff>0</xdr:colOff>
      <xdr:row>25</xdr:row>
      <xdr:rowOff>209550</xdr:rowOff>
    </xdr:to>
    <xdr:graphicFrame macro="">
      <xdr:nvGraphicFramePr>
        <xdr:cNvPr id="22" name="Graphique 21">
          <a:extLst>
            <a:ext uri="{FF2B5EF4-FFF2-40B4-BE49-F238E27FC236}">
              <a16:creationId xmlns:a16="http://schemas.microsoft.com/office/drawing/2014/main" id="{00000000-0008-0000-0E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mc:AlternateContent xmlns:mc="http://schemas.openxmlformats.org/markup-compatibility/2006">
    <mc:Choice xmlns:a14="http://schemas.microsoft.com/office/drawing/2010/main" Requires="a14">
      <xdr:twoCellAnchor editAs="oneCell">
        <xdr:from>
          <xdr:col>19</xdr:col>
          <xdr:colOff>38100</xdr:colOff>
          <xdr:row>17</xdr:row>
          <xdr:rowOff>85725</xdr:rowOff>
        </xdr:from>
        <xdr:to>
          <xdr:col>24</xdr:col>
          <xdr:colOff>333376</xdr:colOff>
          <xdr:row>19</xdr:row>
          <xdr:rowOff>114300</xdr:rowOff>
        </xdr:to>
        <xdr:pic>
          <xdr:nvPicPr>
            <xdr:cNvPr id="23" name="Image 22">
              <a:extLst>
                <a:ext uri="{FF2B5EF4-FFF2-40B4-BE49-F238E27FC236}">
                  <a16:creationId xmlns:a16="http://schemas.microsoft.com/office/drawing/2014/main" id="{00000000-0008-0000-0E00-000017000000}"/>
                </a:ext>
              </a:extLst>
            </xdr:cNvPr>
            <xdr:cNvPicPr>
              <a:picLocks noChangeAspect="1" noChangeArrowheads="1"/>
              <a:extLst>
                <a:ext uri="{84589F7E-364E-4C9E-8A38-B11213B215E9}">
                  <a14:cameraTool cellRange="'CALCULS Eaux pluviales'!$E$28" spid="_x0000_s800287"/>
                </a:ext>
              </a:extLst>
            </xdr:cNvPicPr>
          </xdr:nvPicPr>
          <xdr:blipFill rotWithShape="1">
            <a:blip xmlns:r="http://schemas.openxmlformats.org/officeDocument/2006/relationships" r:embed="rId7"/>
            <a:srcRect l="7463" t="8431" r="6716" b="12877"/>
            <a:stretch>
              <a:fillRect/>
            </a:stretch>
          </xdr:blipFill>
          <xdr:spPr bwMode="auto">
            <a:xfrm>
              <a:off x="3619500" y="3457575"/>
              <a:ext cx="1095376" cy="3619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7</xdr:col>
      <xdr:colOff>9525</xdr:colOff>
      <xdr:row>59</xdr:row>
      <xdr:rowOff>9525</xdr:rowOff>
    </xdr:from>
    <xdr:to>
      <xdr:col>42</xdr:col>
      <xdr:colOff>0</xdr:colOff>
      <xdr:row>71</xdr:row>
      <xdr:rowOff>57150</xdr:rowOff>
    </xdr:to>
    <xdr:graphicFrame macro="">
      <xdr:nvGraphicFramePr>
        <xdr:cNvPr id="24" name="Graphique 23">
          <a:extLst>
            <a:ext uri="{FF2B5EF4-FFF2-40B4-BE49-F238E27FC236}">
              <a16:creationId xmlns:a16="http://schemas.microsoft.com/office/drawing/2014/main" id="{00000000-0008-0000-0E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82</xdr:row>
      <xdr:rowOff>28576</xdr:rowOff>
    </xdr:from>
    <xdr:to>
      <xdr:col>31</xdr:col>
      <xdr:colOff>123825</xdr:colOff>
      <xdr:row>96</xdr:row>
      <xdr:rowOff>180976</xdr:rowOff>
    </xdr:to>
    <xdr:graphicFrame macro="">
      <xdr:nvGraphicFramePr>
        <xdr:cNvPr id="25" name="Graphique 24">
          <a:extLst>
            <a:ext uri="{FF2B5EF4-FFF2-40B4-BE49-F238E27FC236}">
              <a16:creationId xmlns:a16="http://schemas.microsoft.com/office/drawing/2014/main" id="{00000000-0008-0000-0E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73</xdr:col>
      <xdr:colOff>38101</xdr:colOff>
      <xdr:row>82</xdr:row>
      <xdr:rowOff>190501</xdr:rowOff>
    </xdr:from>
    <xdr:to>
      <xdr:col>88</xdr:col>
      <xdr:colOff>133350</xdr:colOff>
      <xdr:row>95</xdr:row>
      <xdr:rowOff>114301</xdr:rowOff>
    </xdr:to>
    <xdr:graphicFrame macro="">
      <xdr:nvGraphicFramePr>
        <xdr:cNvPr id="26" name="Graphique 25">
          <a:extLst>
            <a:ext uri="{FF2B5EF4-FFF2-40B4-BE49-F238E27FC236}">
              <a16:creationId xmlns:a16="http://schemas.microsoft.com/office/drawing/2014/main" id="{00000000-0008-0000-0E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mc:AlternateContent xmlns:mc="http://schemas.openxmlformats.org/markup-compatibility/2006">
    <mc:Choice xmlns:a14="http://schemas.microsoft.com/office/drawing/2010/main" Requires="a14">
      <xdr:twoCellAnchor editAs="oneCell">
        <xdr:from>
          <xdr:col>77</xdr:col>
          <xdr:colOff>190499</xdr:colOff>
          <xdr:row>88</xdr:row>
          <xdr:rowOff>38099</xdr:rowOff>
        </xdr:from>
        <xdr:to>
          <xdr:col>85</xdr:col>
          <xdr:colOff>19050</xdr:colOff>
          <xdr:row>90</xdr:row>
          <xdr:rowOff>38801</xdr:rowOff>
        </xdr:to>
        <xdr:pic>
          <xdr:nvPicPr>
            <xdr:cNvPr id="27" name="Image 26">
              <a:extLst>
                <a:ext uri="{FF2B5EF4-FFF2-40B4-BE49-F238E27FC236}">
                  <a16:creationId xmlns:a16="http://schemas.microsoft.com/office/drawing/2014/main" id="{00000000-0008-0000-0E00-00001B000000}"/>
                </a:ext>
              </a:extLst>
            </xdr:cNvPr>
            <xdr:cNvPicPr>
              <a:picLocks noChangeAspect="1" noChangeArrowheads="1"/>
              <a:extLst>
                <a:ext uri="{84589F7E-364E-4C9E-8A38-B11213B215E9}">
                  <a14:cameraTool cellRange="'CALCULS Eaux pluviales'!$L$247" spid="_x0000_s800288"/>
                </a:ext>
              </a:extLst>
            </xdr:cNvPicPr>
          </xdr:nvPicPr>
          <xdr:blipFill rotWithShape="1">
            <a:blip xmlns:r="http://schemas.openxmlformats.org/officeDocument/2006/relationships" r:embed="rId11"/>
            <a:srcRect l="18098" t="-100" r="19219" b="-6150"/>
            <a:stretch>
              <a:fillRect/>
            </a:stretch>
          </xdr:blipFill>
          <xdr:spPr bwMode="auto">
            <a:xfrm>
              <a:off x="12868274" y="14897099"/>
              <a:ext cx="933451" cy="334077"/>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38101</xdr:colOff>
      <xdr:row>105</xdr:row>
      <xdr:rowOff>161924</xdr:rowOff>
    </xdr:from>
    <xdr:to>
      <xdr:col>31</xdr:col>
      <xdr:colOff>190501</xdr:colOff>
      <xdr:row>110</xdr:row>
      <xdr:rowOff>66674</xdr:rowOff>
    </xdr:to>
    <xdr:graphicFrame macro="">
      <xdr:nvGraphicFramePr>
        <xdr:cNvPr id="28" name="Graphique 27">
          <a:extLst>
            <a:ext uri="{FF2B5EF4-FFF2-40B4-BE49-F238E27FC236}">
              <a16:creationId xmlns:a16="http://schemas.microsoft.com/office/drawing/2014/main" id="{00000000-0008-0000-0E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35</xdr:col>
      <xdr:colOff>19050</xdr:colOff>
      <xdr:row>106</xdr:row>
      <xdr:rowOff>0</xdr:rowOff>
    </xdr:from>
    <xdr:to>
      <xdr:col>64</xdr:col>
      <xdr:colOff>180975</xdr:colOff>
      <xdr:row>110</xdr:row>
      <xdr:rowOff>85725</xdr:rowOff>
    </xdr:to>
    <xdr:graphicFrame macro="">
      <xdr:nvGraphicFramePr>
        <xdr:cNvPr id="29" name="Graphique 28">
          <a:extLst>
            <a:ext uri="{FF2B5EF4-FFF2-40B4-BE49-F238E27FC236}">
              <a16:creationId xmlns:a16="http://schemas.microsoft.com/office/drawing/2014/main" id="{00000000-0008-0000-0E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38100</xdr:colOff>
      <xdr:row>125</xdr:row>
      <xdr:rowOff>19050</xdr:rowOff>
    </xdr:from>
    <xdr:to>
      <xdr:col>26</xdr:col>
      <xdr:colOff>9525</xdr:colOff>
      <xdr:row>127</xdr:row>
      <xdr:rowOff>0</xdr:rowOff>
    </xdr:to>
    <xdr:graphicFrame macro="">
      <xdr:nvGraphicFramePr>
        <xdr:cNvPr id="30" name="Graphique 29">
          <a:extLst>
            <a:ext uri="{FF2B5EF4-FFF2-40B4-BE49-F238E27FC236}">
              <a16:creationId xmlns:a16="http://schemas.microsoft.com/office/drawing/2014/main" id="{00000000-0008-0000-0E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28</xdr:col>
      <xdr:colOff>19050</xdr:colOff>
      <xdr:row>125</xdr:row>
      <xdr:rowOff>28575</xdr:rowOff>
    </xdr:from>
    <xdr:to>
      <xdr:col>54</xdr:col>
      <xdr:colOff>142876</xdr:colOff>
      <xdr:row>127</xdr:row>
      <xdr:rowOff>0</xdr:rowOff>
    </xdr:to>
    <xdr:graphicFrame macro="">
      <xdr:nvGraphicFramePr>
        <xdr:cNvPr id="31" name="Graphique 30">
          <a:extLst>
            <a:ext uri="{FF2B5EF4-FFF2-40B4-BE49-F238E27FC236}">
              <a16:creationId xmlns:a16="http://schemas.microsoft.com/office/drawing/2014/main" id="{00000000-0008-0000-0E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57</xdr:col>
      <xdr:colOff>28575</xdr:colOff>
      <xdr:row>125</xdr:row>
      <xdr:rowOff>38100</xdr:rowOff>
    </xdr:from>
    <xdr:to>
      <xdr:col>88</xdr:col>
      <xdr:colOff>133350</xdr:colOff>
      <xdr:row>127</xdr:row>
      <xdr:rowOff>0</xdr:rowOff>
    </xdr:to>
    <xdr:graphicFrame macro="">
      <xdr:nvGraphicFramePr>
        <xdr:cNvPr id="32" name="Graphique 31">
          <a:extLst>
            <a:ext uri="{FF2B5EF4-FFF2-40B4-BE49-F238E27FC236}">
              <a16:creationId xmlns:a16="http://schemas.microsoft.com/office/drawing/2014/main" id="{00000000-0008-0000-0E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15</xdr:col>
      <xdr:colOff>1895475</xdr:colOff>
      <xdr:row>220</xdr:row>
      <xdr:rowOff>19049</xdr:rowOff>
    </xdr:from>
    <xdr:to>
      <xdr:col>15</xdr:col>
      <xdr:colOff>4848225</xdr:colOff>
      <xdr:row>220</xdr:row>
      <xdr:rowOff>2905124</xdr:rowOff>
    </xdr:to>
    <xdr:graphicFrame macro="">
      <xdr:nvGraphicFramePr>
        <xdr:cNvPr id="20" name="Graphique 19">
          <a:extLst>
            <a:ext uri="{FF2B5EF4-FFF2-40B4-BE49-F238E27FC236}">
              <a16:creationId xmlns:a16="http://schemas.microsoft.com/office/drawing/2014/main" id="{00000000-0008-0000-0F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16</xdr:col>
          <xdr:colOff>0</xdr:colOff>
          <xdr:row>220</xdr:row>
          <xdr:rowOff>1266825</xdr:rowOff>
        </xdr:from>
        <xdr:to>
          <xdr:col>17</xdr:col>
          <xdr:colOff>19050</xdr:colOff>
          <xdr:row>221</xdr:row>
          <xdr:rowOff>190500</xdr:rowOff>
        </xdr:to>
        <xdr:pic>
          <xdr:nvPicPr>
            <xdr:cNvPr id="22" name="Image 21">
              <a:extLst>
                <a:ext uri="{FF2B5EF4-FFF2-40B4-BE49-F238E27FC236}">
                  <a16:creationId xmlns:a16="http://schemas.microsoft.com/office/drawing/2014/main" id="{00000000-0008-0000-0F00-000016000000}"/>
                </a:ext>
              </a:extLst>
            </xdr:cNvPr>
            <xdr:cNvPicPr>
              <a:picLocks noChangeAspect="1" noChangeArrowheads="1"/>
              <a:extLst>
                <a:ext uri="{84589F7E-364E-4C9E-8A38-B11213B215E9}">
                  <a14:cameraTool cellRange="#REF!" spid="_x0000_s838659"/>
                </a:ext>
              </a:extLst>
            </xdr:cNvPicPr>
          </xdr:nvPicPr>
          <xdr:blipFill rotWithShape="1">
            <a:blip xmlns:r="http://schemas.openxmlformats.org/officeDocument/2006/relationships" r:embed="rId2"/>
            <a:srcRect l="22267" t="5555" r="23888"/>
            <a:stretch>
              <a:fillRect/>
            </a:stretch>
          </xdr:blipFill>
          <xdr:spPr bwMode="auto">
            <a:xfrm>
              <a:off x="19802475" y="68780025"/>
              <a:ext cx="781050" cy="1905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10</xdr:col>
      <xdr:colOff>19049</xdr:colOff>
      <xdr:row>12</xdr:row>
      <xdr:rowOff>9525</xdr:rowOff>
    </xdr:from>
    <xdr:to>
      <xdr:col>17</xdr:col>
      <xdr:colOff>95249</xdr:colOff>
      <xdr:row>24</xdr:row>
      <xdr:rowOff>85726</xdr:rowOff>
    </xdr:to>
    <xdr:graphicFrame macro="">
      <xdr:nvGraphicFramePr>
        <xdr:cNvPr id="35" name="Graphique 34">
          <a:extLst>
            <a:ext uri="{FF2B5EF4-FFF2-40B4-BE49-F238E27FC236}">
              <a16:creationId xmlns:a16="http://schemas.microsoft.com/office/drawing/2014/main" id="{00000000-0008-0000-10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66677</xdr:colOff>
      <xdr:row>12</xdr:row>
      <xdr:rowOff>19050</xdr:rowOff>
    </xdr:from>
    <xdr:to>
      <xdr:col>38</xdr:col>
      <xdr:colOff>142875</xdr:colOff>
      <xdr:row>25</xdr:row>
      <xdr:rowOff>9525</xdr:rowOff>
    </xdr:to>
    <xdr:graphicFrame macro="">
      <xdr:nvGraphicFramePr>
        <xdr:cNvPr id="36" name="Graphique 35">
          <a:extLst>
            <a:ext uri="{FF2B5EF4-FFF2-40B4-BE49-F238E27FC236}">
              <a16:creationId xmlns:a16="http://schemas.microsoft.com/office/drawing/2014/main" id="{00000000-0008-0000-10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38</xdr:col>
      <xdr:colOff>171450</xdr:colOff>
      <xdr:row>14</xdr:row>
      <xdr:rowOff>219075</xdr:rowOff>
    </xdr:from>
    <xdr:to>
      <xdr:col>43</xdr:col>
      <xdr:colOff>9525</xdr:colOff>
      <xdr:row>22</xdr:row>
      <xdr:rowOff>66676</xdr:rowOff>
    </xdr:to>
    <xdr:sp macro="" textlink="">
      <xdr:nvSpPr>
        <xdr:cNvPr id="37" name="Rectangle 36">
          <a:extLst>
            <a:ext uri="{FF2B5EF4-FFF2-40B4-BE49-F238E27FC236}">
              <a16:creationId xmlns:a16="http://schemas.microsoft.com/office/drawing/2014/main" id="{00000000-0008-0000-1000-000025000000}"/>
            </a:ext>
          </a:extLst>
        </xdr:cNvPr>
        <xdr:cNvSpPr/>
      </xdr:nvSpPr>
      <xdr:spPr>
        <a:xfrm>
          <a:off x="10201275" y="2609850"/>
          <a:ext cx="828675" cy="1609726"/>
        </a:xfrm>
        <a:prstGeom prst="rect">
          <a:avLst/>
        </a:prstGeom>
        <a:noFill/>
        <a:ln>
          <a:solidFill>
            <a:schemeClr val="tx2">
              <a:lumMod val="60000"/>
              <a:lumOff val="40000"/>
            </a:schemeClr>
          </a:solid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fr-CA" sz="1050" i="1">
            <a:solidFill>
              <a:schemeClr val="bg1">
                <a:lumMod val="50000"/>
              </a:schemeClr>
            </a:solidFill>
          </a:endParaRPr>
        </a:p>
      </xdr:txBody>
    </xdr:sp>
    <xdr:clientData/>
  </xdr:twoCellAnchor>
  <xdr:twoCellAnchor>
    <xdr:from>
      <xdr:col>38</xdr:col>
      <xdr:colOff>180975</xdr:colOff>
      <xdr:row>18</xdr:row>
      <xdr:rowOff>19050</xdr:rowOff>
    </xdr:from>
    <xdr:to>
      <xdr:col>42</xdr:col>
      <xdr:colOff>361950</xdr:colOff>
      <xdr:row>22</xdr:row>
      <xdr:rowOff>47625</xdr:rowOff>
    </xdr:to>
    <xdr:graphicFrame macro="">
      <xdr:nvGraphicFramePr>
        <xdr:cNvPr id="38" name="Graphique 37">
          <a:extLst>
            <a:ext uri="{FF2B5EF4-FFF2-40B4-BE49-F238E27FC236}">
              <a16:creationId xmlns:a16="http://schemas.microsoft.com/office/drawing/2014/main" id="{00000000-0008-0000-10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123825</xdr:colOff>
      <xdr:row>31</xdr:row>
      <xdr:rowOff>38100</xdr:rowOff>
    </xdr:from>
    <xdr:to>
      <xdr:col>38</xdr:col>
      <xdr:colOff>57150</xdr:colOff>
      <xdr:row>45</xdr:row>
      <xdr:rowOff>152399</xdr:rowOff>
    </xdr:to>
    <xdr:graphicFrame macro="">
      <xdr:nvGraphicFramePr>
        <xdr:cNvPr id="24" name="Graphique 23">
          <a:extLst>
            <a:ext uri="{FF2B5EF4-FFF2-40B4-BE49-F238E27FC236}">
              <a16:creationId xmlns:a16="http://schemas.microsoft.com/office/drawing/2014/main" id="{00000000-0008-0000-1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38</xdr:col>
      <xdr:colOff>161925</xdr:colOff>
      <xdr:row>34</xdr:row>
      <xdr:rowOff>9525</xdr:rowOff>
    </xdr:from>
    <xdr:to>
      <xdr:col>43</xdr:col>
      <xdr:colOff>9525</xdr:colOff>
      <xdr:row>43</xdr:row>
      <xdr:rowOff>66675</xdr:rowOff>
    </xdr:to>
    <xdr:sp macro="" textlink="">
      <xdr:nvSpPr>
        <xdr:cNvPr id="28" name="Rectangle 27">
          <a:extLst>
            <a:ext uri="{FF2B5EF4-FFF2-40B4-BE49-F238E27FC236}">
              <a16:creationId xmlns:a16="http://schemas.microsoft.com/office/drawing/2014/main" id="{00000000-0008-0000-1000-00001C000000}"/>
            </a:ext>
          </a:extLst>
        </xdr:cNvPr>
        <xdr:cNvSpPr/>
      </xdr:nvSpPr>
      <xdr:spPr>
        <a:xfrm>
          <a:off x="10210800" y="5934075"/>
          <a:ext cx="876300" cy="1590675"/>
        </a:xfrm>
        <a:prstGeom prst="rect">
          <a:avLst/>
        </a:prstGeom>
        <a:noFill/>
        <a:ln>
          <a:solidFill>
            <a:schemeClr val="tx2">
              <a:lumMod val="60000"/>
              <a:lumOff val="40000"/>
            </a:schemeClr>
          </a:solid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fr-CA" sz="1050" i="1">
            <a:solidFill>
              <a:schemeClr val="bg1">
                <a:lumMod val="50000"/>
              </a:schemeClr>
            </a:solidFill>
          </a:endParaRPr>
        </a:p>
      </xdr:txBody>
    </xdr:sp>
    <xdr:clientData/>
  </xdr:twoCellAnchor>
  <xdr:twoCellAnchor>
    <xdr:from>
      <xdr:col>38</xdr:col>
      <xdr:colOff>198120</xdr:colOff>
      <xdr:row>37</xdr:row>
      <xdr:rowOff>22860</xdr:rowOff>
    </xdr:from>
    <xdr:to>
      <xdr:col>42</xdr:col>
      <xdr:colOff>371475</xdr:colOff>
      <xdr:row>43</xdr:row>
      <xdr:rowOff>38099</xdr:rowOff>
    </xdr:to>
    <xdr:graphicFrame macro="">
      <xdr:nvGraphicFramePr>
        <xdr:cNvPr id="33" name="Graphique 32">
          <a:extLst>
            <a:ext uri="{FF2B5EF4-FFF2-40B4-BE49-F238E27FC236}">
              <a16:creationId xmlns:a16="http://schemas.microsoft.com/office/drawing/2014/main" id="{00000000-0008-0000-10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47625</xdr:colOff>
      <xdr:row>31</xdr:row>
      <xdr:rowOff>47624</xdr:rowOff>
    </xdr:from>
    <xdr:to>
      <xdr:col>12</xdr:col>
      <xdr:colOff>504825</xdr:colOff>
      <xdr:row>44</xdr:row>
      <xdr:rowOff>38100</xdr:rowOff>
    </xdr:to>
    <xdr:graphicFrame macro="">
      <xdr:nvGraphicFramePr>
        <xdr:cNvPr id="39" name="Graphique 38">
          <a:extLst>
            <a:ext uri="{FF2B5EF4-FFF2-40B4-BE49-F238E27FC236}">
              <a16:creationId xmlns:a16="http://schemas.microsoft.com/office/drawing/2014/main" id="{00000000-0008-0000-10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50</xdr:col>
      <xdr:colOff>28574</xdr:colOff>
      <xdr:row>12</xdr:row>
      <xdr:rowOff>1</xdr:rowOff>
    </xdr:from>
    <xdr:to>
      <xdr:col>56</xdr:col>
      <xdr:colOff>295275</xdr:colOff>
      <xdr:row>24</xdr:row>
      <xdr:rowOff>28575</xdr:rowOff>
    </xdr:to>
    <xdr:graphicFrame macro="">
      <xdr:nvGraphicFramePr>
        <xdr:cNvPr id="40" name="Graphique 39">
          <a:extLst>
            <a:ext uri="{FF2B5EF4-FFF2-40B4-BE49-F238E27FC236}">
              <a16:creationId xmlns:a16="http://schemas.microsoft.com/office/drawing/2014/main" id="{00000000-0008-0000-10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editAs="oneCell">
        <xdr:from>
          <xdr:col>52</xdr:col>
          <xdr:colOff>133350</xdr:colOff>
          <xdr:row>17</xdr:row>
          <xdr:rowOff>123826</xdr:rowOff>
        </xdr:from>
        <xdr:to>
          <xdr:col>55</xdr:col>
          <xdr:colOff>86129</xdr:colOff>
          <xdr:row>18</xdr:row>
          <xdr:rowOff>200026</xdr:rowOff>
        </xdr:to>
        <xdr:pic>
          <xdr:nvPicPr>
            <xdr:cNvPr id="41" name="Image 40">
              <a:extLst>
                <a:ext uri="{FF2B5EF4-FFF2-40B4-BE49-F238E27FC236}">
                  <a16:creationId xmlns:a16="http://schemas.microsoft.com/office/drawing/2014/main" id="{00000000-0008-0000-1000-000029000000}"/>
                </a:ext>
              </a:extLst>
            </xdr:cNvPr>
            <xdr:cNvPicPr>
              <a:picLocks noChangeAspect="1" noChangeArrowheads="1"/>
              <a:extLst>
                <a:ext uri="{84589F7E-364E-4C9E-8A38-B11213B215E9}">
                  <a14:cameraTool cellRange="'CALCULS Eau'!$L$215" spid="_x0000_s793307"/>
                </a:ext>
              </a:extLst>
            </xdr:cNvPicPr>
          </xdr:nvPicPr>
          <xdr:blipFill rotWithShape="1">
            <a:blip xmlns:r="http://schemas.openxmlformats.org/officeDocument/2006/relationships" r:embed="rId8"/>
            <a:srcRect l="17754" r="19565" b="2777"/>
            <a:stretch>
              <a:fillRect/>
            </a:stretch>
          </xdr:blipFill>
          <xdr:spPr bwMode="auto">
            <a:xfrm>
              <a:off x="13468350" y="3171826"/>
              <a:ext cx="1038629" cy="30480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4</xdr:col>
      <xdr:colOff>142876</xdr:colOff>
      <xdr:row>60</xdr:row>
      <xdr:rowOff>123826</xdr:rowOff>
    </xdr:from>
    <xdr:to>
      <xdr:col>7</xdr:col>
      <xdr:colOff>47625</xdr:colOff>
      <xdr:row>72</xdr:row>
      <xdr:rowOff>0</xdr:rowOff>
    </xdr:to>
    <xdr:graphicFrame macro="">
      <xdr:nvGraphicFramePr>
        <xdr:cNvPr id="43" name="Graphique 42">
          <a:extLst>
            <a:ext uri="{FF2B5EF4-FFF2-40B4-BE49-F238E27FC236}">
              <a16:creationId xmlns:a16="http://schemas.microsoft.com/office/drawing/2014/main" id="{00000000-0008-0000-10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23</xdr:col>
      <xdr:colOff>114300</xdr:colOff>
      <xdr:row>59</xdr:row>
      <xdr:rowOff>85725</xdr:rowOff>
    </xdr:from>
    <xdr:to>
      <xdr:col>28</xdr:col>
      <xdr:colOff>19050</xdr:colOff>
      <xdr:row>71</xdr:row>
      <xdr:rowOff>152400</xdr:rowOff>
    </xdr:to>
    <xdr:graphicFrame macro="">
      <xdr:nvGraphicFramePr>
        <xdr:cNvPr id="44" name="Graphique 43">
          <a:extLst>
            <a:ext uri="{FF2B5EF4-FFF2-40B4-BE49-F238E27FC236}">
              <a16:creationId xmlns:a16="http://schemas.microsoft.com/office/drawing/2014/main" id="{00000000-0008-0000-10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28</xdr:col>
      <xdr:colOff>114300</xdr:colOff>
      <xdr:row>59</xdr:row>
      <xdr:rowOff>133349</xdr:rowOff>
    </xdr:from>
    <xdr:to>
      <xdr:col>29</xdr:col>
      <xdr:colOff>152400</xdr:colOff>
      <xdr:row>71</xdr:row>
      <xdr:rowOff>152399</xdr:rowOff>
    </xdr:to>
    <xdr:sp macro="" textlink="">
      <xdr:nvSpPr>
        <xdr:cNvPr id="45" name="Accolade fermante 44">
          <a:extLst>
            <a:ext uri="{FF2B5EF4-FFF2-40B4-BE49-F238E27FC236}">
              <a16:creationId xmlns:a16="http://schemas.microsoft.com/office/drawing/2014/main" id="{00000000-0008-0000-1000-00002D000000}"/>
            </a:ext>
          </a:extLst>
        </xdr:cNvPr>
        <xdr:cNvSpPr/>
      </xdr:nvSpPr>
      <xdr:spPr>
        <a:xfrm>
          <a:off x="7791450" y="10134599"/>
          <a:ext cx="219075" cy="1800225"/>
        </a:xfrm>
        <a:prstGeom prst="rightBrace">
          <a:avLst>
            <a:gd name="adj1" fmla="val 37222"/>
            <a:gd name="adj2" fmla="val 16073"/>
          </a:avLst>
        </a:prstGeom>
        <a:ln>
          <a:solidFill>
            <a:srgbClr val="00206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32</xdr:col>
      <xdr:colOff>0</xdr:colOff>
      <xdr:row>61</xdr:row>
      <xdr:rowOff>92706</xdr:rowOff>
    </xdr:from>
    <xdr:to>
      <xdr:col>34</xdr:col>
      <xdr:colOff>47625</xdr:colOff>
      <xdr:row>66</xdr:row>
      <xdr:rowOff>85725</xdr:rowOff>
    </xdr:to>
    <xdr:graphicFrame macro="">
      <xdr:nvGraphicFramePr>
        <xdr:cNvPr id="46" name="Graphique 45">
          <a:extLst>
            <a:ext uri="{FF2B5EF4-FFF2-40B4-BE49-F238E27FC236}">
              <a16:creationId xmlns:a16="http://schemas.microsoft.com/office/drawing/2014/main" id="{00000000-0008-0000-10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34</xdr:col>
      <xdr:colOff>66675</xdr:colOff>
      <xdr:row>67</xdr:row>
      <xdr:rowOff>57149</xdr:rowOff>
    </xdr:from>
    <xdr:to>
      <xdr:col>38</xdr:col>
      <xdr:colOff>0</xdr:colOff>
      <xdr:row>72</xdr:row>
      <xdr:rowOff>28574</xdr:rowOff>
    </xdr:to>
    <xdr:graphicFrame macro="">
      <xdr:nvGraphicFramePr>
        <xdr:cNvPr id="47" name="Graphique 46">
          <a:extLst>
            <a:ext uri="{FF2B5EF4-FFF2-40B4-BE49-F238E27FC236}">
              <a16:creationId xmlns:a16="http://schemas.microsoft.com/office/drawing/2014/main" id="{00000000-0008-0000-10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69</xdr:col>
      <xdr:colOff>104775</xdr:colOff>
      <xdr:row>60</xdr:row>
      <xdr:rowOff>0</xdr:rowOff>
    </xdr:from>
    <xdr:to>
      <xdr:col>70</xdr:col>
      <xdr:colOff>171450</xdr:colOff>
      <xdr:row>71</xdr:row>
      <xdr:rowOff>114300</xdr:rowOff>
    </xdr:to>
    <xdr:sp macro="" textlink="">
      <xdr:nvSpPr>
        <xdr:cNvPr id="48" name="Accolade fermante 47">
          <a:extLst>
            <a:ext uri="{FF2B5EF4-FFF2-40B4-BE49-F238E27FC236}">
              <a16:creationId xmlns:a16="http://schemas.microsoft.com/office/drawing/2014/main" id="{00000000-0008-0000-1000-000030000000}"/>
            </a:ext>
          </a:extLst>
        </xdr:cNvPr>
        <xdr:cNvSpPr/>
      </xdr:nvSpPr>
      <xdr:spPr>
        <a:xfrm>
          <a:off x="17516475" y="10163175"/>
          <a:ext cx="190500" cy="1733550"/>
        </a:xfrm>
        <a:prstGeom prst="rightBrace">
          <a:avLst>
            <a:gd name="adj1" fmla="val 37222"/>
            <a:gd name="adj2" fmla="val 16073"/>
          </a:avLst>
        </a:prstGeom>
        <a:ln>
          <a:solidFill>
            <a:srgbClr val="00206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61</xdr:col>
      <xdr:colOff>9527</xdr:colOff>
      <xdr:row>59</xdr:row>
      <xdr:rowOff>133350</xdr:rowOff>
    </xdr:from>
    <xdr:to>
      <xdr:col>68</xdr:col>
      <xdr:colOff>238124</xdr:colOff>
      <xdr:row>71</xdr:row>
      <xdr:rowOff>85725</xdr:rowOff>
    </xdr:to>
    <xdr:graphicFrame macro="">
      <xdr:nvGraphicFramePr>
        <xdr:cNvPr id="50" name="Graphique 49">
          <a:extLst>
            <a:ext uri="{FF2B5EF4-FFF2-40B4-BE49-F238E27FC236}">
              <a16:creationId xmlns:a16="http://schemas.microsoft.com/office/drawing/2014/main" id="{00000000-0008-0000-10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72</xdr:col>
      <xdr:colOff>142875</xdr:colOff>
      <xdr:row>61</xdr:row>
      <xdr:rowOff>76200</xdr:rowOff>
    </xdr:from>
    <xdr:to>
      <xdr:col>75</xdr:col>
      <xdr:colOff>9525</xdr:colOff>
      <xdr:row>66</xdr:row>
      <xdr:rowOff>85725</xdr:rowOff>
    </xdr:to>
    <xdr:graphicFrame macro="">
      <xdr:nvGraphicFramePr>
        <xdr:cNvPr id="51" name="Graphique 50">
          <a:extLst>
            <a:ext uri="{FF2B5EF4-FFF2-40B4-BE49-F238E27FC236}">
              <a16:creationId xmlns:a16="http://schemas.microsoft.com/office/drawing/2014/main" id="{00000000-0008-0000-10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75</xdr:col>
      <xdr:colOff>47625</xdr:colOff>
      <xdr:row>67</xdr:row>
      <xdr:rowOff>47625</xdr:rowOff>
    </xdr:from>
    <xdr:to>
      <xdr:col>79</xdr:col>
      <xdr:colOff>133350</xdr:colOff>
      <xdr:row>72</xdr:row>
      <xdr:rowOff>28575</xdr:rowOff>
    </xdr:to>
    <xdr:graphicFrame macro="">
      <xdr:nvGraphicFramePr>
        <xdr:cNvPr id="52" name="Graphique 51">
          <a:extLst>
            <a:ext uri="{FF2B5EF4-FFF2-40B4-BE49-F238E27FC236}">
              <a16:creationId xmlns:a16="http://schemas.microsoft.com/office/drawing/2014/main" id="{00000000-0008-0000-10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41</xdr:col>
      <xdr:colOff>85724</xdr:colOff>
      <xdr:row>59</xdr:row>
      <xdr:rowOff>104776</xdr:rowOff>
    </xdr:from>
    <xdr:to>
      <xdr:col>49</xdr:col>
      <xdr:colOff>0</xdr:colOff>
      <xdr:row>71</xdr:row>
      <xdr:rowOff>114300</xdr:rowOff>
    </xdr:to>
    <xdr:graphicFrame macro="">
      <xdr:nvGraphicFramePr>
        <xdr:cNvPr id="29" name="Graphique 28">
          <a:extLst>
            <a:ext uri="{FF2B5EF4-FFF2-40B4-BE49-F238E27FC236}">
              <a16:creationId xmlns:a16="http://schemas.microsoft.com/office/drawing/2014/main" id="{00000000-0008-0000-10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52</xdr:col>
      <xdr:colOff>19050</xdr:colOff>
      <xdr:row>61</xdr:row>
      <xdr:rowOff>76200</xdr:rowOff>
    </xdr:from>
    <xdr:to>
      <xdr:col>53</xdr:col>
      <xdr:colOff>442912</xdr:colOff>
      <xdr:row>66</xdr:row>
      <xdr:rowOff>76200</xdr:rowOff>
    </xdr:to>
    <xdr:graphicFrame macro="">
      <xdr:nvGraphicFramePr>
        <xdr:cNvPr id="30" name="Graphique 29">
          <a:extLst>
            <a:ext uri="{FF2B5EF4-FFF2-40B4-BE49-F238E27FC236}">
              <a16:creationId xmlns:a16="http://schemas.microsoft.com/office/drawing/2014/main" id="{00000000-0008-0000-10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54</xdr:col>
      <xdr:colOff>19050</xdr:colOff>
      <xdr:row>67</xdr:row>
      <xdr:rowOff>66675</xdr:rowOff>
    </xdr:from>
    <xdr:to>
      <xdr:col>56</xdr:col>
      <xdr:colOff>152400</xdr:colOff>
      <xdr:row>72</xdr:row>
      <xdr:rowOff>47625</xdr:rowOff>
    </xdr:to>
    <xdr:graphicFrame macro="">
      <xdr:nvGraphicFramePr>
        <xdr:cNvPr id="31" name="Graphique 30">
          <a:extLst>
            <a:ext uri="{FF2B5EF4-FFF2-40B4-BE49-F238E27FC236}">
              <a16:creationId xmlns:a16="http://schemas.microsoft.com/office/drawing/2014/main" id="{00000000-0008-0000-10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50</xdr:col>
      <xdr:colOff>0</xdr:colOff>
      <xdr:row>59</xdr:row>
      <xdr:rowOff>123825</xdr:rowOff>
    </xdr:from>
    <xdr:to>
      <xdr:col>50</xdr:col>
      <xdr:colOff>190500</xdr:colOff>
      <xdr:row>71</xdr:row>
      <xdr:rowOff>142875</xdr:rowOff>
    </xdr:to>
    <xdr:sp macro="" textlink="">
      <xdr:nvSpPr>
        <xdr:cNvPr id="26" name="Accolade fermante 25">
          <a:extLst>
            <a:ext uri="{FF2B5EF4-FFF2-40B4-BE49-F238E27FC236}">
              <a16:creationId xmlns:a16="http://schemas.microsoft.com/office/drawing/2014/main" id="{00000000-0008-0000-1000-00001A000000}"/>
            </a:ext>
          </a:extLst>
        </xdr:cNvPr>
        <xdr:cNvSpPr/>
      </xdr:nvSpPr>
      <xdr:spPr>
        <a:xfrm>
          <a:off x="12696825" y="10125075"/>
          <a:ext cx="190500" cy="1800225"/>
        </a:xfrm>
        <a:prstGeom prst="rightBrace">
          <a:avLst>
            <a:gd name="adj1" fmla="val 37222"/>
            <a:gd name="adj2" fmla="val 16073"/>
          </a:avLst>
        </a:prstGeom>
        <a:ln>
          <a:solidFill>
            <a:srgbClr val="00206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mc:AlternateContent xmlns:mc="http://schemas.openxmlformats.org/markup-compatibility/2006">
    <mc:Choice xmlns:a14="http://schemas.microsoft.com/office/drawing/2010/main" Requires="a14">
      <xdr:twoCellAnchor editAs="oneCell">
        <xdr:from>
          <xdr:col>11</xdr:col>
          <xdr:colOff>485775</xdr:colOff>
          <xdr:row>17</xdr:row>
          <xdr:rowOff>133350</xdr:rowOff>
        </xdr:from>
        <xdr:to>
          <xdr:col>15</xdr:col>
          <xdr:colOff>142877</xdr:colOff>
          <xdr:row>19</xdr:row>
          <xdr:rowOff>76200</xdr:rowOff>
        </xdr:to>
        <xdr:pic>
          <xdr:nvPicPr>
            <xdr:cNvPr id="34" name="Image 33">
              <a:extLst>
                <a:ext uri="{FF2B5EF4-FFF2-40B4-BE49-F238E27FC236}">
                  <a16:creationId xmlns:a16="http://schemas.microsoft.com/office/drawing/2014/main" id="{00000000-0008-0000-1000-000022000000}"/>
                </a:ext>
              </a:extLst>
            </xdr:cNvPr>
            <xdr:cNvPicPr>
              <a:picLocks noChangeAspect="1" noChangeArrowheads="1"/>
              <a:extLst>
                <a:ext uri="{84589F7E-364E-4C9E-8A38-B11213B215E9}">
                  <a14:cameraTool cellRange="'CALCULS Eau'!$D$27" spid="_x0000_s793308"/>
                </a:ext>
              </a:extLst>
            </xdr:cNvPicPr>
          </xdr:nvPicPr>
          <xdr:blipFill rotWithShape="1">
            <a:blip xmlns:r="http://schemas.openxmlformats.org/officeDocument/2006/relationships" r:embed="rId19"/>
            <a:srcRect l="2519" t="4660" r="3442" b="4471"/>
            <a:stretch>
              <a:fillRect/>
            </a:stretch>
          </xdr:blipFill>
          <xdr:spPr bwMode="auto">
            <a:xfrm>
              <a:off x="3371850" y="3181350"/>
              <a:ext cx="1047752" cy="400050"/>
            </a:xfrm>
            <a:prstGeom prst="rect">
              <a:avLst/>
            </a:prstGeom>
            <a:solidFill>
              <a:schemeClr val="bg1">
                <a:alpha val="0"/>
              </a:schemeClr>
            </a:solidFill>
            <a:effectLst>
              <a:glow rad="127000">
                <a:schemeClr val="accent1">
                  <a:alpha val="0"/>
                </a:schemeClr>
              </a:glow>
            </a:effectLst>
          </xdr:spPr>
        </xdr:pic>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2</xdr:col>
      <xdr:colOff>123008</xdr:colOff>
      <xdr:row>71</xdr:row>
      <xdr:rowOff>100757</xdr:rowOff>
    </xdr:from>
    <xdr:to>
      <xdr:col>7</xdr:col>
      <xdr:colOff>790024</xdr:colOff>
      <xdr:row>73</xdr:row>
      <xdr:rowOff>1322614</xdr:rowOff>
    </xdr:to>
    <xdr:pic>
      <xdr:nvPicPr>
        <xdr:cNvPr id="2" name="Imag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473528" y="18236357"/>
          <a:ext cx="4484636" cy="3980297"/>
        </a:xfrm>
        <a:prstGeom prst="rect">
          <a:avLst/>
        </a:prstGeom>
      </xdr:spPr>
    </xdr:pic>
    <xdr:clientData/>
  </xdr:twoCellAnchor>
  <xdr:twoCellAnchor editAs="oneCell">
    <xdr:from>
      <xdr:col>13</xdr:col>
      <xdr:colOff>390607</xdr:colOff>
      <xdr:row>71</xdr:row>
      <xdr:rowOff>80970</xdr:rowOff>
    </xdr:from>
    <xdr:to>
      <xdr:col>19</xdr:col>
      <xdr:colOff>925400</xdr:colOff>
      <xdr:row>73</xdr:row>
      <xdr:rowOff>1291942</xdr:rowOff>
    </xdr:to>
    <xdr:pic>
      <xdr:nvPicPr>
        <xdr:cNvPr id="3" name="Imag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a:stretch>
          <a:fillRect/>
        </a:stretch>
      </xdr:blipFill>
      <xdr:spPr>
        <a:xfrm>
          <a:off x="10647127" y="18216570"/>
          <a:ext cx="4718173" cy="3969412"/>
        </a:xfrm>
        <a:prstGeom prst="rect">
          <a:avLst/>
        </a:prstGeom>
      </xdr:spPr>
    </xdr:pic>
    <xdr:clientData/>
  </xdr:twoCellAnchor>
  <xdr:twoCellAnchor editAs="oneCell">
    <xdr:from>
      <xdr:col>8</xdr:col>
      <xdr:colOff>447403</xdr:colOff>
      <xdr:row>71</xdr:row>
      <xdr:rowOff>109797</xdr:rowOff>
    </xdr:from>
    <xdr:to>
      <xdr:col>12</xdr:col>
      <xdr:colOff>808269</xdr:colOff>
      <xdr:row>73</xdr:row>
      <xdr:rowOff>1324205</xdr:rowOff>
    </xdr:to>
    <xdr:pic>
      <xdr:nvPicPr>
        <xdr:cNvPr id="4" name="Image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3"/>
        <a:stretch>
          <a:fillRect/>
        </a:stretch>
      </xdr:blipFill>
      <xdr:spPr>
        <a:xfrm>
          <a:off x="5674723" y="18245397"/>
          <a:ext cx="4330886" cy="397284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0000000}" name="T_mun" displayName="T_mun" ref="A18:IM21" totalsRowShown="0" headerRowDxfId="949" dataDxfId="948">
  <autoFilter ref="A18:IM21" xr:uid="{00000000-0009-0000-0100-000006000000}"/>
  <tableColumns count="247">
    <tableColumn id="1" xr3:uid="{00000000-0010-0000-0000-000001000000}" name="code_geo" dataDxfId="947"/>
    <tableColumn id="249" xr3:uid="{00000000-0010-0000-0000-0000F9000000}" name="p0_pd_type_infra_eau" dataDxfId="946"/>
    <tableColumn id="250" xr3:uid="{00000000-0010-0000-0000-0000FA000000}" name="p0_pd_serv_fournis" dataDxfId="945"/>
    <tableColumn id="251" xr3:uid="{00000000-0010-0000-0000-0000FB000000}" name="p0_pd_choix_pga" dataDxfId="944"/>
    <tableColumn id="4" xr3:uid="{00000000-0010-0000-0000-000004000000}" name="p0_an_pga" dataDxfId="943"/>
    <tableColumn id="5" xr3:uid="{00000000-0010-0000-0000-000005000000}" name="p0_version_pga" dataDxfId="942"/>
    <tableColumn id="6" xr3:uid="{00000000-0010-0000-0000-000006000000}" name="p1_d_completion" dataDxfId="941"/>
    <tableColumn id="7" xr3:uid="{00000000-0010-0000-0000-000007000000}" name="p2_pv1_vr_ss1_lineaire" dataDxfId="940"/>
    <tableColumn id="8" xr3:uid="{00000000-0010-0000-0000-000008000000}" name="p2_pv1_vr_ss1_ponctuel" dataDxfId="939"/>
    <tableColumn id="9" xr3:uid="{00000000-0010-0000-0000-000009000000}" name="p2_pv1_vr_ss1_autre_actif" dataDxfId="938"/>
    <tableColumn id="10" xr3:uid="{00000000-0010-0000-0000-00000A000000}" name="p2_pv1_vr_ss2_lineaire" dataDxfId="937"/>
    <tableColumn id="11" xr3:uid="{00000000-0010-0000-0000-00000B000000}" name="p2_pv1_vr_ss2_ponctuel" dataDxfId="936"/>
    <tableColumn id="12" xr3:uid="{00000000-0010-0000-0000-00000C000000}" name="p2_pv1_vr_ss2_autre_actif" dataDxfId="935"/>
    <tableColumn id="13" xr3:uid="{00000000-0010-0000-0000-00000D000000}" name="p2_pv1_inv_ss1_lineaire" dataDxfId="934"/>
    <tableColumn id="14" xr3:uid="{00000000-0010-0000-0000-00000E000000}" name="p2_pv1_inv_ss1_ponctuel" dataDxfId="933"/>
    <tableColumn id="15" xr3:uid="{00000000-0010-0000-0000-00000F000000}" name="p2_pv1_inv_ss1_autre_actif_km" dataDxfId="932"/>
    <tableColumn id="223" xr3:uid="{00000000-0010-0000-0000-0000DF000000}" name="p2_pv1_inv_ss1_autre_actif_ouvrg" dataDxfId="931"/>
    <tableColumn id="16" xr3:uid="{00000000-0010-0000-0000-000010000000}" name="p2_pv1_inv_ss2_lineaire" dataDxfId="930"/>
    <tableColumn id="17" xr3:uid="{00000000-0010-0000-0000-000011000000}" name="p2_pv1_inv_ss2_ponctuel" dataDxfId="929"/>
    <tableColumn id="18" xr3:uid="{00000000-0010-0000-0000-000012000000}" name="p2_pv1_inv_ss2_autre_actif" dataDxfId="928"/>
    <tableColumn id="224" xr3:uid="{00000000-0010-0000-0000-0000E0000000}" name="p2_pv1_inv_ss2_autre_actif_ouvrg" dataDxfId="927"/>
    <tableColumn id="19" xr3:uid="{00000000-0010-0000-0000-000013000000}" name="p2_pv1_cvi_ss1_lineaire" dataDxfId="926"/>
    <tableColumn id="20" xr3:uid="{00000000-0010-0000-0000-000014000000}" name="p2_pv1_cvi_ss1_ponctuel" dataDxfId="925"/>
    <tableColumn id="21" xr3:uid="{00000000-0010-0000-0000-000015000000}" name="p2_pv1_cvi_ss2_lineaire" dataDxfId="924"/>
    <tableColumn id="22" xr3:uid="{00000000-0010-0000-0000-000016000000}" name="p2_pv1_cvi_ss2_ponctuel" dataDxfId="923"/>
    <tableColumn id="23" xr3:uid="{00000000-0010-0000-0000-000017000000}" name="p2_pv1_rq1_ss1" dataDxfId="922"/>
    <tableColumn id="24" xr3:uid="{00000000-0010-0000-0000-000018000000}" name="p2_pv1_rq1_ss2" dataDxfId="921"/>
    <tableColumn id="25" xr3:uid="{00000000-0010-0000-0000-000019000000}" name="p2_pv1_amp_ss1_lineaire" dataDxfId="920"/>
    <tableColumn id="26" xr3:uid="{00000000-0010-0000-0000-00001A000000}" name="p2_pv1_amp_ss1_ponctuel" dataDxfId="919"/>
    <tableColumn id="27" xr3:uid="{00000000-0010-0000-0000-00001B000000}" name="p2_pv1_amp_ss1_autre_actif" dataDxfId="918"/>
    <tableColumn id="28" xr3:uid="{00000000-0010-0000-0000-00001C000000}" name="p2_pv1_amp_ss2_lineaire" dataDxfId="917"/>
    <tableColumn id="29" xr3:uid="{00000000-0010-0000-0000-00001D000000}" name="p2_pv1_amp_ss2_ponctuel" dataDxfId="916"/>
    <tableColumn id="30" xr3:uid="{00000000-0010-0000-0000-00001E000000}" name="p2_pv1_amp_ss2_autre_actif" dataDxfId="915"/>
    <tableColumn id="31" xr3:uid="{00000000-0010-0000-0000-00001F000000}" name="p2_pv25_ss1_line_tres_bon" dataDxfId="914"/>
    <tableColumn id="32" xr3:uid="{00000000-0010-0000-0000-000020000000}" name="p2_pv25_ss1_line_bon" dataDxfId="913"/>
    <tableColumn id="33" xr3:uid="{00000000-0010-0000-0000-000021000000}" name="p2_pv25_ss1_line_satisfaisant" dataDxfId="912"/>
    <tableColumn id="34" xr3:uid="{00000000-0010-0000-0000-000022000000}" name="p2_pv25_ss1_line_mauvais" dataDxfId="911"/>
    <tableColumn id="35" xr3:uid="{00000000-0010-0000-0000-000023000000}" name="p2_pv25_ss1_line_tres_mauvais" dataDxfId="910"/>
    <tableColumn id="36" xr3:uid="{00000000-0010-0000-0000-000024000000}" name="p2_pv25_ss1_line_inconnu" dataDxfId="909"/>
    <tableColumn id="37" xr3:uid="{00000000-0010-0000-0000-000025000000}" name="p2_pv25_ss1_line_confiance" dataDxfId="908"/>
    <tableColumn id="38" xr3:uid="{00000000-0010-0000-0000-000026000000}" name="p2_pv25_ss1_ponc_tres_bon" dataDxfId="907"/>
    <tableColumn id="39" xr3:uid="{00000000-0010-0000-0000-000027000000}" name="p2_pv25_ss1_ponc_bon" dataDxfId="906"/>
    <tableColumn id="40" xr3:uid="{00000000-0010-0000-0000-000028000000}" name="p2_pv25_ss1_ponc_satisfaisant" dataDxfId="905"/>
    <tableColumn id="41" xr3:uid="{00000000-0010-0000-0000-000029000000}" name="p2_pv25_ss1_ponc_mauvais" dataDxfId="904"/>
    <tableColumn id="42" xr3:uid="{00000000-0010-0000-0000-00002A000000}" name="p2_pv25_ss1_ponc_tres_mauvais" dataDxfId="903"/>
    <tableColumn id="43" xr3:uid="{00000000-0010-0000-0000-00002B000000}" name="p2_pv25_ss1_ponc_inconnu" dataDxfId="902"/>
    <tableColumn id="44" xr3:uid="{00000000-0010-0000-0000-00002C000000}" name="p2_pv25_ss1_ponc_confiance" dataDxfId="901"/>
    <tableColumn id="45" xr3:uid="{00000000-0010-0000-0000-00002D000000}" name="p2_pv25_ss2_line_tres_bon" dataDxfId="900"/>
    <tableColumn id="46" xr3:uid="{00000000-0010-0000-0000-00002E000000}" name="p2_pv25_ss2_line_bon" dataDxfId="899"/>
    <tableColumn id="47" xr3:uid="{00000000-0010-0000-0000-00002F000000}" name="p2_pv25_ss2_line_satisfaisant" dataDxfId="898"/>
    <tableColumn id="48" xr3:uid="{00000000-0010-0000-0000-000030000000}" name="p2_pv25_ss2_line_mauvais" dataDxfId="897"/>
    <tableColumn id="49" xr3:uid="{00000000-0010-0000-0000-000031000000}" name="p2_pv25_ss2_line_tres_mauvais" dataDxfId="896"/>
    <tableColumn id="50" xr3:uid="{00000000-0010-0000-0000-000032000000}" name="p2_pv25_ss2_line_inconnu" dataDxfId="895"/>
    <tableColumn id="51" xr3:uid="{00000000-0010-0000-0000-000033000000}" name="p2_pv25_ss2_line_confiance" dataDxfId="894"/>
    <tableColumn id="52" xr3:uid="{00000000-0010-0000-0000-000034000000}" name="p2_pv25_ss2_ponc_tres_bon" dataDxfId="893"/>
    <tableColumn id="53" xr3:uid="{00000000-0010-0000-0000-000035000000}" name="p2_pv25_ss2_ponc_bon" dataDxfId="892"/>
    <tableColumn id="54" xr3:uid="{00000000-0010-0000-0000-000036000000}" name="p2_pv25_ss2_ponc_satisfaisant" dataDxfId="891"/>
    <tableColumn id="55" xr3:uid="{00000000-0010-0000-0000-000037000000}" name="p2_pv25_ss2_ponc_mauvais" dataDxfId="890"/>
    <tableColumn id="56" xr3:uid="{00000000-0010-0000-0000-000038000000}" name="p2_pv25_ss2_ponc_tres_mauvais" dataDxfId="889"/>
    <tableColumn id="57" xr3:uid="{00000000-0010-0000-0000-000039000000}" name="p2_pv25_ss2_ponc_inconnu" dataDxfId="888"/>
    <tableColumn id="58" xr3:uid="{00000000-0010-0000-0000-00003A000000}" name="p2_pv25_ss2_ponc_confiance" dataDxfId="887"/>
    <tableColumn id="59" xr3:uid="{00000000-0010-0000-0000-00003B000000}" name="p3_pv1_emns_exigence1" dataDxfId="886"/>
    <tableColumn id="227" xr3:uid="{00000000-0010-0000-0000-0000E3000000}" name="p3_pv1_emns_exigence2" dataDxfId="885"/>
    <tableColumn id="228" xr3:uid="{00000000-0010-0000-0000-0000E4000000}" name="p3_pv1_emns_exigence3" dataDxfId="884"/>
    <tableColumn id="60" xr3:uid="{00000000-0010-0000-0000-00003C000000}" name="p3_pv1_emns_actif1" dataDxfId="883"/>
    <tableColumn id="229" xr3:uid="{00000000-0010-0000-0000-0000E5000000}" name="p3_pv1_emns_actif2" dataDxfId="882"/>
    <tableColumn id="230" xr3:uid="{00000000-0010-0000-0000-0000E6000000}" name="p3_pv1_emns_actif3" dataDxfId="881"/>
    <tableColumn id="61" xr3:uid="{00000000-0010-0000-0000-00003D000000}" name="p3_pv1_conf" dataDxfId="880"/>
    <tableColumn id="62" xr3:uid="{00000000-0010-0000-0000-00003E000000}" name="p3_pv2_iperf_iperf1" dataDxfId="879"/>
    <tableColumn id="231" xr3:uid="{00000000-0010-0000-0000-0000E7000000}" name="p3_pv2_iperf_crit1" dataDxfId="878"/>
    <tableColumn id="232" xr3:uid="{00000000-0010-0000-0000-0000E8000000}" name="p3_pv2_iperf_cat1" dataDxfId="877"/>
    <tableColumn id="239" xr3:uid="{00000000-0010-0000-0000-0000EF000000}" name="p3_pv2_iperf_iperf2" dataDxfId="876"/>
    <tableColumn id="233" xr3:uid="{00000000-0010-0000-0000-0000E9000000}" name="p3_pv2_iperf_crit2" dataDxfId="875"/>
    <tableColumn id="234" xr3:uid="{00000000-0010-0000-0000-0000EA000000}" name="p3_pv2_iperf_cat2" dataDxfId="874"/>
    <tableColumn id="240" xr3:uid="{00000000-0010-0000-0000-0000F0000000}" name="p3_pv2_iperf_iperf3" dataDxfId="873"/>
    <tableColumn id="235" xr3:uid="{00000000-0010-0000-0000-0000EB000000}" name="p3_pv2_iperf_crit3" dataDxfId="872"/>
    <tableColumn id="236" xr3:uid="{00000000-0010-0000-0000-0000EC000000}" name="p3_pv2_iperf_cat3" dataDxfId="871"/>
    <tableColumn id="63" xr3:uid="{00000000-0010-0000-0000-00003F000000}" name="p3_pv2_iperf_conf" dataDxfId="870"/>
    <tableColumn id="64" xr3:uid="{00000000-0010-0000-0000-000040000000}" name="p3_pv3_prioperf_iperf1" dataDxfId="869"/>
    <tableColumn id="241" xr3:uid="{00000000-0010-0000-0000-0000F1000000}" name="p3_pv3_prioperf_tend1" dataDxfId="868"/>
    <tableColumn id="242" xr3:uid="{00000000-0010-0000-0000-0000F2000000}" name="p3_pv3_prioperf_obj1" dataDxfId="867"/>
    <tableColumn id="243" xr3:uid="{00000000-0010-0000-0000-0000F3000000}" name="p3_pv3_prioperf_iperf2" dataDxfId="866"/>
    <tableColumn id="244" xr3:uid="{00000000-0010-0000-0000-0000F4000000}" name="p3_pv3_prioperf_tend2" dataDxfId="865"/>
    <tableColumn id="245" xr3:uid="{00000000-0010-0000-0000-0000F5000000}" name="p3_pv3_prioperf_obj2" dataDxfId="864"/>
    <tableColumn id="246" xr3:uid="{00000000-0010-0000-0000-0000F6000000}" name="p3_pv3_prioperf_iperf3" dataDxfId="863"/>
    <tableColumn id="247" xr3:uid="{00000000-0010-0000-0000-0000F7000000}" name="p3_pv3_prioperf_tend3" dataDxfId="862"/>
    <tableColumn id="248" xr3:uid="{00000000-0010-0000-0000-0000F8000000}" name="p3_pv3_prioperf_obj3" dataDxfId="861"/>
    <tableColumn id="65" xr3:uid="{00000000-0010-0000-0000-000041000000}" name="p3_pv3_prioperf_conf" dataDxfId="860"/>
    <tableColumn id="66" xr3:uid="{00000000-0010-0000-0000-000042000000}" name="p4_pvd1_catchg_demograph" dataDxfId="859"/>
    <tableColumn id="67" xr3:uid="{00000000-0010-0000-0000-000043000000}" name="p4_pvd1_catchg_climat" dataDxfId="858"/>
    <tableColumn id="68" xr3:uid="{00000000-0010-0000-0000-000044000000}" name="p4_pvd1_catchg_cadre" dataDxfId="857"/>
    <tableColumn id="69" xr3:uid="{00000000-0010-0000-0000-000045000000}" name="p4_pvd1_catchg_econom" dataDxfId="856"/>
    <tableColumn id="70" xr3:uid="{00000000-0010-0000-0000-000046000000}" name="p4_pvd1_catchg_techno" dataDxfId="855"/>
    <tableColumn id="71" xr3:uid="{00000000-0010-0000-0000-000047000000}" name="p4_pvd1_catchg_Autre " dataDxfId="854"/>
    <tableColumn id="72" xr3:uid="{00000000-0010-0000-0000-000048000000}" name="p4_pvd1_catchg_conf" dataDxfId="853"/>
    <tableColumn id="73" xr3:uid="{00000000-0010-0000-0000-000049000000}" name="p4_pvr1_catrisq_Autre " dataDxfId="852"/>
    <tableColumn id="74" xr3:uid="{00000000-0010-0000-0000-00004A000000}" name="p4_pvr1_catrisq_manqinfo" dataDxfId="851"/>
    <tableColumn id="75" xr3:uid="{00000000-0010-0000-0000-00004B000000}" name="p4_pvr1_catrisq_chgclimat" dataDxfId="850"/>
    <tableColumn id="76" xr3:uid="{00000000-0010-0000-0000-00004C000000}" name="p4_pvr1_catrisq_sousfin" dataDxfId="849"/>
    <tableColumn id="77" xr3:uid="{00000000-0010-0000-0000-00004D000000}" name="p4_pvr1_catrisq_dotperso" dataDxfId="848"/>
    <tableColumn id="78" xr3:uid="{00000000-0010-0000-0000-00004E000000}" name="p4_pvr1_catrisq_actcritiq" dataDxfId="847"/>
    <tableColumn id="79" xr3:uid="{00000000-0010-0000-0000-00004F000000}" name="p4_pvr1_catrisq_conf" dataDxfId="846"/>
    <tableColumn id="80" xr3:uid="{00000000-0010-0000-0000-000050000000}" name="p5_pv1_nca_ss1_fonc_budget" dataDxfId="845"/>
    <tableColumn id="81" xr3:uid="{00000000-0010-0000-0000-000051000000}" name="p5_pv1_nca_ss1_immo_budget" dataDxfId="844"/>
    <tableColumn id="82" xr3:uid="{00000000-0010-0000-0000-000052000000}" name="p5_pv1_nca_ss1_fonc_expl_entr" dataDxfId="843"/>
    <tableColumn id="83" xr3:uid="{00000000-0010-0000-0000-000053000000}" name="p5_pv1_nca_ss1_immo_renouvl" dataDxfId="842"/>
    <tableColumn id="84" xr3:uid="{00000000-0010-0000-0000-000054000000}" name="p5_pv1_nca_ss1_immo_acq_dispo" dataDxfId="841"/>
    <tableColumn id="85" xr3:uid="{00000000-0010-0000-0000-000055000000}" name="p5_pv1_nca_ss1_ges_niv_serv" dataDxfId="840"/>
    <tableColumn id="86" xr3:uid="{00000000-0010-0000-0000-000056000000}" name="p5_pv1_nca_ss1_ges_risque" dataDxfId="839"/>
    <tableColumn id="87" xr3:uid="{00000000-0010-0000-0000-000057000000}" name="p5_pv1_nca_ss1_ges_dem_avenir" dataDxfId="838"/>
    <tableColumn id="88" xr3:uid="{00000000-0010-0000-0000-000058000000}" name="p5_pv1_nca_ss2_fonc_budget" dataDxfId="837"/>
    <tableColumn id="89" xr3:uid="{00000000-0010-0000-0000-000059000000}" name="p5_pv1_nca_ss2_immo_budget" dataDxfId="836"/>
    <tableColumn id="90" xr3:uid="{00000000-0010-0000-0000-00005A000000}" name="p5_pv1_nca_ss2_fonc_expl_entr" dataDxfId="835"/>
    <tableColumn id="91" xr3:uid="{00000000-0010-0000-0000-00005B000000}" name="p5_pv1_nca_ss2_immo_renouvl" dataDxfId="834"/>
    <tableColumn id="92" xr3:uid="{00000000-0010-0000-0000-00005C000000}" name="p5_pv1_nca_ss2_immo_acq_dispo" dataDxfId="833"/>
    <tableColumn id="93" xr3:uid="{00000000-0010-0000-0000-00005D000000}" name="p5_pv1_nca_ss2_ges_niv_serv" dataDxfId="832"/>
    <tableColumn id="94" xr3:uid="{00000000-0010-0000-0000-00005E000000}" name="p5_pv1_nca_ss2_ges_risque" dataDxfId="831"/>
    <tableColumn id="95" xr3:uid="{00000000-0010-0000-0000-00005F000000}" name="p5_pv1_nca_ss2_ges_dem_avenir" dataDxfId="830"/>
    <tableColumn id="96" xr3:uid="{00000000-0010-0000-0000-000060000000}" name="p5_pv4_rb10_cmaint_fonc" dataDxfId="829"/>
    <tableColumn id="97" xr3:uid="{00000000-0010-0000-0000-000061000000}" name="p5_pv4_rb10_cmaint_immo" dataDxfId="828"/>
    <tableColumn id="98" xr3:uid="{00000000-0010-0000-0000-000062000000}" name="p5_pv4_rb10_crattra_def_maint_act" dataDxfId="827"/>
    <tableColumn id="99" xr3:uid="{00000000-0010-0000-0000-000063000000}" name="p5_pv4_rb10_cadd_fonc_supp_acq" dataDxfId="826"/>
    <tableColumn id="100" xr3:uid="{00000000-0010-0000-0000-000064000000}" name="p5_pv4_rb10_cadd_ges_dem_avenir" dataDxfId="825"/>
    <tableColumn id="101" xr3:uid="{00000000-0010-0000-0000-000065000000}" name="p5_pv4_fonc_ss1_ges_niv_serv" dataDxfId="824"/>
    <tableColumn id="102" xr3:uid="{00000000-0010-0000-0000-000066000000}" name="p5_pv4_fonc_ss1_ges_risque" dataDxfId="823"/>
    <tableColumn id="103" xr3:uid="{00000000-0010-0000-0000-000067000000}" name="p5_pv4_fonc_ss1_ges_dem_avenir" dataDxfId="822"/>
    <tableColumn id="104" xr3:uid="{00000000-0010-0000-0000-000068000000}" name="p5_pv4_fonc_ss2_ges_niv_serv" dataDxfId="821"/>
    <tableColumn id="105" xr3:uid="{00000000-0010-0000-0000-000069000000}" name="p5_pv4_fonc_ss2_ges_risque" dataDxfId="820"/>
    <tableColumn id="106" xr3:uid="{00000000-0010-0000-0000-00006A000000}" name="p5_pv4_fonc_ss2_ges_dem_avenir" dataDxfId="819"/>
    <tableColumn id="107" xr3:uid="{00000000-0010-0000-0000-00006B000000}" name="p5_pv4_immo_ss1_ges_niv_serv" dataDxfId="818"/>
    <tableColumn id="108" xr3:uid="{00000000-0010-0000-0000-00006C000000}" name="p5_pv4_immo_ss1_ges_risque" dataDxfId="817"/>
    <tableColumn id="109" xr3:uid="{00000000-0010-0000-0000-00006D000000}" name="p5_pv4_immo_ss1_ges_dem_avenir" dataDxfId="816"/>
    <tableColumn id="110" xr3:uid="{00000000-0010-0000-0000-00006E000000}" name="p5_pv4_immo_ss2_ges_niv_serv" dataDxfId="815"/>
    <tableColumn id="111" xr3:uid="{00000000-0010-0000-0000-00006F000000}" name="p5_pv4_immo_ss2_ges_risque" dataDxfId="814"/>
    <tableColumn id="112" xr3:uid="{00000000-0010-0000-0000-000070000000}" name="p5_pv4_immo_ss2_ges_dem_avenir" dataDxfId="813"/>
    <tableColumn id="113" xr3:uid="{00000000-0010-0000-0000-000071000000}" name="p6_pv1_ss1_c_prev_totaux" dataDxfId="812"/>
    <tableColumn id="114" xr3:uid="{00000000-0010-0000-0000-000072000000}" name="p6_pv1_0_ss1_recv_gouv_prov" dataDxfId="811"/>
    <tableColumn id="115" xr3:uid="{00000000-0010-0000-0000-000073000000}" name="p6_pv1_0_ss1_rev_mun" dataDxfId="810"/>
    <tableColumn id="116" xr3:uid="{00000000-0010-0000-0000-000074000000}" name="p6_pv1_0_ss1_budg_mun" dataDxfId="809"/>
    <tableColumn id="117" xr3:uid="{00000000-0010-0000-0000-000075000000}" name="p6_pv1_0_ss1_deficit_fin" dataDxfId="808"/>
    <tableColumn id="118" xr3:uid="{00000000-0010-0000-0000-000076000000}" name="p6_pv1_0_ss2_c_prev_totaux" dataDxfId="807"/>
    <tableColumn id="119" xr3:uid="{00000000-0010-0000-0000-000077000000}" name="p6_pv1_0_ss2_recv_gouv_prov" dataDxfId="806"/>
    <tableColumn id="120" xr3:uid="{00000000-0010-0000-0000-000078000000}" name="p6_pv1_0_ss2_rev_mun" dataDxfId="805"/>
    <tableColumn id="121" xr3:uid="{00000000-0010-0000-0000-000079000000}" name="p6_pv1_0_ss2_budg_mun" dataDxfId="804"/>
    <tableColumn id="122" xr3:uid="{00000000-0010-0000-0000-00007A000000}" name="p6_pv1_0_ss2_deficit_fin" dataDxfId="803"/>
    <tableColumn id="123" xr3:uid="{00000000-0010-0000-0000-00007B000000}" name="p6_pv1_conf_finestfonc_ss1" dataDxfId="802"/>
    <tableColumn id="124" xr3:uid="{00000000-0010-0000-0000-00007C000000}" name="p6_pv1_conf_finestfonc_ss2" dataDxfId="801"/>
    <tableColumn id="125" xr3:uid="{00000000-0010-0000-0000-00007D000000}" name="p6_pv1_conf_cexplor_ss1" dataDxfId="800"/>
    <tableColumn id="126" xr3:uid="{00000000-0010-0000-0000-00007E000000}" name="p6_pv1_conf_cexplor_ss2" dataDxfId="799"/>
    <tableColumn id="127" xr3:uid="{00000000-0010-0000-0000-00007F000000}" name="p6_pv2_ss1_c_prev_totaux" dataDxfId="798"/>
    <tableColumn id="128" xr3:uid="{00000000-0010-0000-0000-000080000000}" name="p6_pv2_ss1_exced_fonct" dataDxfId="797"/>
    <tableColumn id="129" xr3:uid="{00000000-0010-0000-0000-000081000000}" name="p6_pv2_ss1_fin_gouv_prov" dataDxfId="796"/>
    <tableColumn id="225" xr3:uid="{00000000-0010-0000-0000-0000E1000000}" name="p6_pv2_ss1_autr_type_fin" dataDxfId="795"/>
    <tableColumn id="130" xr3:uid="{00000000-0010-0000-0000-000082000000}" name="p6_pv2_ss1_budg_mun" dataDxfId="794"/>
    <tableColumn id="131" xr3:uid="{00000000-0010-0000-0000-000083000000}" name="p6_pv2_ss1_deficit_fin" dataDxfId="793"/>
    <tableColumn id="132" xr3:uid="{00000000-0010-0000-0000-000084000000}" name="p6_pv2_ss2_c_prev_totaux" dataDxfId="792"/>
    <tableColumn id="133" xr3:uid="{00000000-0010-0000-0000-000085000000}" name="p6_pv2_ss2_exced_fonct" dataDxfId="791"/>
    <tableColumn id="226" xr3:uid="{00000000-0010-0000-0000-0000E2000000}" name="p6_pv2_ss2_fin_gouv_prov" dataDxfId="790"/>
    <tableColumn id="134" xr3:uid="{00000000-0010-0000-0000-000086000000}" name="p6_pv2_ss2_autr_type_fin" dataDxfId="789"/>
    <tableColumn id="135" xr3:uid="{00000000-0010-0000-0000-000087000000}" name="p6_pv2_ss2_budg_mun" dataDxfId="788"/>
    <tableColumn id="136" xr3:uid="{00000000-0010-0000-0000-000088000000}" name="p6_pv2_ss2_deficit_fin" dataDxfId="787"/>
    <tableColumn id="137" xr3:uid="{00000000-0010-0000-0000-000089000000}" name="p6_pv2_conf_finestrenouvl_ss1" dataDxfId="786"/>
    <tableColumn id="138" xr3:uid="{00000000-0010-0000-0000-00008A000000}" name="p6_pv2_conf_finestrenouvl_ss2" dataDxfId="785"/>
    <tableColumn id="139" xr3:uid="{00000000-0010-0000-0000-00008B000000}" name="p6_pv2_conf_crenouvl_ss1" dataDxfId="784"/>
    <tableColumn id="140" xr3:uid="{00000000-0010-0000-0000-00008C000000}" name="p6_pv2_conf_crenouvl_ss2" dataDxfId="783"/>
    <tableColumn id="141" xr3:uid="{00000000-0010-0000-0000-00008D000000}" name="p6_pv3_ss1_c_prev_totaux" dataDxfId="782"/>
    <tableColumn id="142" xr3:uid="{00000000-0010-0000-0000-00008E000000}" name="p6_pv3_ss1_fin_gouv_prov" dataDxfId="781"/>
    <tableColumn id="143" xr3:uid="{00000000-0010-0000-0000-00008F000000}" name="p6_pv3_ss1_autr_type_fin" dataDxfId="780"/>
    <tableColumn id="144" xr3:uid="{00000000-0010-0000-0000-000090000000}" name="p6_pv3_ss1_budg_mun" dataDxfId="779"/>
    <tableColumn id="145" xr3:uid="{00000000-0010-0000-0000-000091000000}" name="p6_pv3_ss1_deficit_fin" dataDxfId="778"/>
    <tableColumn id="146" xr3:uid="{00000000-0010-0000-0000-000092000000}" name="p6_pv3_ss2_c_prev_totaux" dataDxfId="777"/>
    <tableColumn id="147" xr3:uid="{00000000-0010-0000-0000-000093000000}" name="p6_pv3_ss2_fin_gouv_prov" dataDxfId="776"/>
    <tableColumn id="148" xr3:uid="{00000000-0010-0000-0000-000094000000}" name="p6_pv3_ss2_autr_type_fin" dataDxfId="775"/>
    <tableColumn id="149" xr3:uid="{00000000-0010-0000-0000-000095000000}" name="p6_pv3_ss2_budg_mun" dataDxfId="774"/>
    <tableColumn id="150" xr3:uid="{00000000-0010-0000-0000-000096000000}" name="p6_pv3_ss2_deficit_fin" dataDxfId="773"/>
    <tableColumn id="151" xr3:uid="{00000000-0010-0000-0000-000097000000}" name="p6_pv3_conf_finestacqdisp_ss1" dataDxfId="772"/>
    <tableColumn id="152" xr3:uid="{00000000-0010-0000-0000-000098000000}" name="p6_pv3_conf_finestacqdisp_ss2" dataDxfId="771"/>
    <tableColumn id="153" xr3:uid="{00000000-0010-0000-0000-000099000000}" name="p6_pv3_conf_cacqdisp_ss1" dataDxfId="770"/>
    <tableColumn id="154" xr3:uid="{00000000-0010-0000-0000-00009A000000}" name="p6_pv3_conf_cacqdisp_ss2" dataDxfId="769"/>
    <tableColumn id="155" xr3:uid="{00000000-0010-0000-0000-00009B000000}" name="p7_pv1_ss1_nbobj_portrait" dataDxfId="768"/>
    <tableColumn id="156" xr3:uid="{00000000-0010-0000-0000-00009C000000}" name="p7_pv1_ss1_nbobj_niv_service" dataDxfId="767"/>
    <tableColumn id="157" xr3:uid="{00000000-0010-0000-0000-00009D000000}" name="p7_pv1_ss1_nbobj_risque" dataDxfId="766"/>
    <tableColumn id="158" xr3:uid="{00000000-0010-0000-0000-00009E000000}" name="p7_pv1_ss1_nbobj_demande" dataDxfId="765"/>
    <tableColumn id="159" xr3:uid="{00000000-0010-0000-0000-00009F000000}" name="p7_pv1_ss1_nbobj_ccv_immo" dataDxfId="764"/>
    <tableColumn id="160" xr3:uid="{00000000-0010-0000-0000-0000A0000000}" name="p7_pv1_ss1_nbobj_ccv_fonc" dataDxfId="763"/>
    <tableColumn id="161" xr3:uid="{00000000-0010-0000-0000-0000A1000000}" name="p7_pv1_ss1_nbobj_finance" dataDxfId="762"/>
    <tableColumn id="162" xr3:uid="{00000000-0010-0000-0000-0000A2000000}" name="p7_pv1_ss1_nbobj_golbal" dataDxfId="761"/>
    <tableColumn id="163" xr3:uid="{00000000-0010-0000-0000-0000A3000000}" name="p7_pv1_ss1_cote5_portrait" dataDxfId="760"/>
    <tableColumn id="164" xr3:uid="{00000000-0010-0000-0000-0000A4000000}" name="p7_pv1_ss1_cote5_niv_service" dataDxfId="759"/>
    <tableColumn id="165" xr3:uid="{00000000-0010-0000-0000-0000A5000000}" name="p7_pv1_ss1_cote5_risque" dataDxfId="758"/>
    <tableColumn id="166" xr3:uid="{00000000-0010-0000-0000-0000A6000000}" name="p7_pv1_ss1_cote5_demande" dataDxfId="757"/>
    <tableColumn id="167" xr3:uid="{00000000-0010-0000-0000-0000A7000000}" name="p7_pv1_ss1_cote5_ccv_immo" dataDxfId="756"/>
    <tableColumn id="168" xr3:uid="{00000000-0010-0000-0000-0000A8000000}" name="p7_pv1_ss1_cote5_ccv_fonc" dataDxfId="755"/>
    <tableColumn id="169" xr3:uid="{00000000-0010-0000-0000-0000A9000000}" name="p7_pv1_ss1_cote5_finance" dataDxfId="754"/>
    <tableColumn id="170" xr3:uid="{00000000-0010-0000-0000-0000AA000000}" name="p7_pv1_ss1_cote5_golbal" dataDxfId="753"/>
    <tableColumn id="171" xr3:uid="{00000000-0010-0000-0000-0000AB000000}" name="p7_pv1_ss2_nbobj_portrait" dataDxfId="752"/>
    <tableColumn id="172" xr3:uid="{00000000-0010-0000-0000-0000AC000000}" name="p7_pv1_ss2_nbobj_niv_service" dataDxfId="751"/>
    <tableColumn id="173" xr3:uid="{00000000-0010-0000-0000-0000AD000000}" name="p7_pv1_ss2_nbobj_risque" dataDxfId="750"/>
    <tableColumn id="174" xr3:uid="{00000000-0010-0000-0000-0000AE000000}" name="p7_pv1_ss2_nbobj_demande" dataDxfId="749"/>
    <tableColumn id="175" xr3:uid="{00000000-0010-0000-0000-0000AF000000}" name="p7_pv1_ss2_nbobj_ccv_immo" dataDxfId="748"/>
    <tableColumn id="176" xr3:uid="{00000000-0010-0000-0000-0000B0000000}" name="p7_pv1_ss2_nbobj_ccv_fonc" dataDxfId="747"/>
    <tableColumn id="177" xr3:uid="{00000000-0010-0000-0000-0000B1000000}" name="p7_pv1_ss2_nbobj_finance" dataDxfId="746"/>
    <tableColumn id="178" xr3:uid="{00000000-0010-0000-0000-0000B2000000}" name="p7_pv1_ss2_nbobj_golbal" dataDxfId="745"/>
    <tableColumn id="179" xr3:uid="{00000000-0010-0000-0000-0000B3000000}" name="p7_pv1_ss2_cote5_portrait" dataDxfId="744"/>
    <tableColumn id="180" xr3:uid="{00000000-0010-0000-0000-0000B4000000}" name="p7_pv1_ss2_cote5_niv_service" dataDxfId="743"/>
    <tableColumn id="181" xr3:uid="{00000000-0010-0000-0000-0000B5000000}" name="p7_pv1_ss2_cote5_risque" dataDxfId="742"/>
    <tableColumn id="182" xr3:uid="{00000000-0010-0000-0000-0000B6000000}" name="p7_pv1_ss2_cote5_demande" dataDxfId="741"/>
    <tableColumn id="183" xr3:uid="{00000000-0010-0000-0000-0000B7000000}" name="p7_pv1_ss2_cote5_ccv_immo" dataDxfId="740"/>
    <tableColumn id="184" xr3:uid="{00000000-0010-0000-0000-0000B8000000}" name="p7_pv1_ss2_cote5_ccv_fonc" dataDxfId="739"/>
    <tableColumn id="185" xr3:uid="{00000000-0010-0000-0000-0000B9000000}" name="p7_pv1_ss2_cote5_finance" dataDxfId="738"/>
    <tableColumn id="186" xr3:uid="{00000000-0010-0000-0000-0000BA000000}" name="p7_pv1_ss2_cote5_golbal" dataDxfId="737"/>
    <tableColumn id="187" xr3:uid="{00000000-0010-0000-0000-0000BB000000}" name="p7_pv1_ss1_cumul" dataDxfId="736"/>
    <tableColumn id="188" xr3:uid="{00000000-0010-0000-0000-0000BC000000}" name="p7_pv1_ss2_cumul" dataDxfId="735"/>
    <tableColumn id="189" xr3:uid="{00000000-0010-0000-0000-0000BD000000}" name="p7_pv2_ss1_nbobj_portrait" dataDxfId="734"/>
    <tableColumn id="190" xr3:uid="{00000000-0010-0000-0000-0000BE000000}" name="p7_pv2_ss1_nbobj_niv_service" dataDxfId="733"/>
    <tableColumn id="191" xr3:uid="{00000000-0010-0000-0000-0000BF000000}" name="p7_pv2_ss1_nbobj_risque" dataDxfId="732"/>
    <tableColumn id="192" xr3:uid="{00000000-0010-0000-0000-0000C0000000}" name="p7_pv2_ss1_nbobj_demande" dataDxfId="731"/>
    <tableColumn id="193" xr3:uid="{00000000-0010-0000-0000-0000C1000000}" name="p7_pv2_ss1_nbobj_ccv_immo" dataDxfId="730"/>
    <tableColumn id="194" xr3:uid="{00000000-0010-0000-0000-0000C2000000}" name="p7_pv2_ss1_nbobj_ccv_fonc" dataDxfId="729"/>
    <tableColumn id="195" xr3:uid="{00000000-0010-0000-0000-0000C3000000}" name="p7_pv2_ss1_nbobj_finance" dataDxfId="728"/>
    <tableColumn id="196" xr3:uid="{00000000-0010-0000-0000-0000C4000000}" name="p7_pv2_ss1_nbobj_golbal" dataDxfId="727"/>
    <tableColumn id="197" xr3:uid="{00000000-0010-0000-0000-0000C5000000}" name="p7_pv2_ss1_cote5_portrait" dataDxfId="726"/>
    <tableColumn id="198" xr3:uid="{00000000-0010-0000-0000-0000C6000000}" name="p7_pv2_ss1_cote5_niv_service" dataDxfId="725"/>
    <tableColumn id="199" xr3:uid="{00000000-0010-0000-0000-0000C7000000}" name="p7_pv2_ss1_cote5_risque" dataDxfId="724"/>
    <tableColumn id="200" xr3:uid="{00000000-0010-0000-0000-0000C8000000}" name="p7_pv2_ss1_cote5_demande" dataDxfId="723"/>
    <tableColumn id="201" xr3:uid="{00000000-0010-0000-0000-0000C9000000}" name="p7_pv2_ss1_cote5_ccv_immo" dataDxfId="722"/>
    <tableColumn id="202" xr3:uid="{00000000-0010-0000-0000-0000CA000000}" name="p7_pv2_ss1_cote5_ccv_fonc" dataDxfId="721"/>
    <tableColumn id="203" xr3:uid="{00000000-0010-0000-0000-0000CB000000}" name="p7_pv2_ss1_cote5_finance" dataDxfId="720"/>
    <tableColumn id="204" xr3:uid="{00000000-0010-0000-0000-0000CC000000}" name="p7_pv2_ss1_cote5_golbal" dataDxfId="719"/>
    <tableColumn id="205" xr3:uid="{00000000-0010-0000-0000-0000CD000000}" name="p7_pv2_ss2_nbobj_portrait" dataDxfId="718"/>
    <tableColumn id="206" xr3:uid="{00000000-0010-0000-0000-0000CE000000}" name="p7_pv2_ss2_nbobj_niv_service" dataDxfId="717"/>
    <tableColumn id="207" xr3:uid="{00000000-0010-0000-0000-0000CF000000}" name="p7_pv2_ss2_nbobj_risque" dataDxfId="716"/>
    <tableColumn id="208" xr3:uid="{00000000-0010-0000-0000-0000D0000000}" name="p7_pv2_ss2_nbobj_demande" dataDxfId="715"/>
    <tableColumn id="209" xr3:uid="{00000000-0010-0000-0000-0000D1000000}" name="p7_pv2_ss2_nbobj_ccv_immo" dataDxfId="714"/>
    <tableColumn id="210" xr3:uid="{00000000-0010-0000-0000-0000D2000000}" name="p7_pv2_ss2_nbobj_ccv_fonc" dataDxfId="713"/>
    <tableColumn id="211" xr3:uid="{00000000-0010-0000-0000-0000D3000000}" name="p7_pv2_ss2_nbobj_finance" dataDxfId="712"/>
    <tableColumn id="212" xr3:uid="{00000000-0010-0000-0000-0000D4000000}" name="p7_pv2_ss2_nbobj_golbal" dataDxfId="711"/>
    <tableColumn id="213" xr3:uid="{00000000-0010-0000-0000-0000D5000000}" name="p7_pv2_ss2_cote5_portrait" dataDxfId="710"/>
    <tableColumn id="214" xr3:uid="{00000000-0010-0000-0000-0000D6000000}" name="p7_pv2_ss2_cote5_niv_service" dataDxfId="709"/>
    <tableColumn id="215" xr3:uid="{00000000-0010-0000-0000-0000D7000000}" name="p7_pv2_ss2_cote5_risque" dataDxfId="708"/>
    <tableColumn id="216" xr3:uid="{00000000-0010-0000-0000-0000D8000000}" name="p7_pv2_ss2_cote5_demande" dataDxfId="707"/>
    <tableColumn id="217" xr3:uid="{00000000-0010-0000-0000-0000D9000000}" name="p7_pv2_ss2_cote5_ccv_immo" dataDxfId="706"/>
    <tableColumn id="218" xr3:uid="{00000000-0010-0000-0000-0000DA000000}" name="p7_pv2_ss2_cote5_ccv_fonc" dataDxfId="705"/>
    <tableColumn id="219" xr3:uid="{00000000-0010-0000-0000-0000DB000000}" name="p7_pv2_ss2_cote5_finance" dataDxfId="704"/>
    <tableColumn id="220" xr3:uid="{00000000-0010-0000-0000-0000DC000000}" name="p7_pv2_ss2_cote5_golbal" dataDxfId="703"/>
    <tableColumn id="221" xr3:uid="{00000000-0010-0000-0000-0000DD000000}" name="p7_pv2_ss1_cumul" dataDxfId="702"/>
    <tableColumn id="222" xr3:uid="{00000000-0010-0000-0000-0000DE000000}" name="p7_pv2_ss2_cumul" dataDxfId="701"/>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_cout" displayName="T_cout" ref="A18:J78" totalsRowShown="0" headerRowDxfId="700" dataDxfId="699">
  <autoFilter ref="A18:J78" xr:uid="{00000000-0009-0000-0100-000004000000}"/>
  <tableColumns count="10">
    <tableColumn id="1" xr3:uid="{00000000-0010-0000-0100-000001000000}" name="code_geo" dataDxfId="698"/>
    <tableColumn id="2" xr3:uid="{00000000-0010-0000-0100-000002000000}" name="p5_pv3_cout_type_infra_eau" dataDxfId="697"/>
    <tableColumn id="3" xr3:uid="{00000000-0010-0000-0100-000003000000}" name="p5_pv3_cout_sous_service" dataDxfId="696"/>
    <tableColumn id="4" xr3:uid="{00000000-0010-0000-0100-000004000000}" name="p5_pv3_cout_annee" dataDxfId="695"/>
    <tableColumn id="5" xr3:uid="{00000000-0010-0000-0100-000005000000}" name="p5_pv3_cout_budget_actuel" dataDxfId="694"/>
    <tableColumn id="6" xr3:uid="{00000000-0010-0000-0100-000006000000}" name="p5_pv3_cout_exploitation" dataDxfId="693"/>
    <tableColumn id="7" xr3:uid="{00000000-0010-0000-0100-000007000000}" name="p5_pv3_cout_entretien" dataDxfId="692"/>
    <tableColumn id="8" xr3:uid="{00000000-0010-0000-0100-000008000000}" name="p5_pv3_cout_renouvellement" dataDxfId="691"/>
    <tableColumn id="9" xr3:uid="{00000000-0010-0000-0100-000009000000}" name="p5_pv3_cout_acquisition" dataDxfId="690"/>
    <tableColumn id="10" xr3:uid="{00000000-0010-0000-0100-00000A000000}" name="p5_pv3_cout_disposition" dataDxfId="689"/>
  </tableColumns>
  <tableStyleInfo name="TableStyleMedium1"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accent2">
            <a:lumMod val="40000"/>
            <a:lumOff val="60000"/>
          </a:schemeClr>
        </a:solidFill>
        <a:ln>
          <a:noFill/>
        </a:ln>
      </a:spPr>
      <a:bodyPr vertOverflow="clip" horzOverflow="clip" rtlCol="0" anchor="ctr"/>
      <a:lstStyle>
        <a:defPPr algn="ctr">
          <a:defRPr sz="1050" i="1">
            <a:solidFill>
              <a:schemeClr val="bg1">
                <a:lumMod val="50000"/>
              </a:schemeClr>
            </a:solidFill>
          </a:defRPr>
        </a:defPPr>
      </a:lstStyle>
      <a:style>
        <a:lnRef idx="0">
          <a:scrgbClr r="0" g="0" b="0"/>
        </a:lnRef>
        <a:fillRef idx="0">
          <a:scrgbClr r="0" g="0" b="0"/>
        </a:fillRef>
        <a:effectRef idx="0">
          <a:scrgbClr r="0" g="0" b="0"/>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s://fr.surveymonkey.com/r/PGA-Eau"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M57"/>
  <sheetViews>
    <sheetView zoomScale="70" zoomScaleNormal="70" workbookViewId="0">
      <pane xSplit="4" ySplit="18" topLeftCell="BD19" activePane="bottomRight" state="frozen"/>
      <selection pane="topRight" activeCell="A2" sqref="A2"/>
      <selection pane="bottomLeft" activeCell="A2" sqref="A2"/>
      <selection pane="bottomRight" activeCell="BF36" sqref="BF36"/>
    </sheetView>
  </sheetViews>
  <sheetFormatPr baseColWidth="10" defaultColWidth="30.5546875" defaultRowHeight="14.4"/>
  <cols>
    <col min="36" max="36" width="32" customWidth="1"/>
    <col min="38" max="38" width="33.33203125" customWidth="1"/>
    <col min="43" max="43" width="32.6640625" customWidth="1"/>
    <col min="45" max="45" width="33.88671875" customWidth="1"/>
    <col min="50" max="50" width="32" customWidth="1"/>
    <col min="52" max="52" width="33.33203125" customWidth="1"/>
    <col min="57" max="57" width="32.6640625" customWidth="1"/>
    <col min="59" max="59" width="33.88671875" customWidth="1"/>
    <col min="104" max="104" width="32" customWidth="1"/>
    <col min="105" max="105" width="32.6640625" customWidth="1"/>
    <col min="106" max="106" width="32.5546875" customWidth="1"/>
    <col min="107" max="107" width="35.109375" customWidth="1"/>
    <col min="108" max="108" width="31" customWidth="1"/>
    <col min="110" max="110" width="34.44140625" customWidth="1"/>
    <col min="112" max="112" width="32" customWidth="1"/>
    <col min="113" max="113" width="32.6640625" customWidth="1"/>
    <col min="114" max="114" width="32.5546875" customWidth="1"/>
    <col min="115" max="115" width="35.109375" customWidth="1"/>
    <col min="116" max="116" width="31" customWidth="1"/>
    <col min="118" max="118" width="34.44140625" customWidth="1"/>
    <col min="121" max="121" width="36.109375" customWidth="1"/>
    <col min="122" max="122" width="35.109375" customWidth="1"/>
    <col min="123" max="123" width="36.5546875" customWidth="1"/>
    <col min="124" max="124" width="31.6640625" customWidth="1"/>
    <col min="126" max="126" width="35.109375" customWidth="1"/>
    <col min="127" max="127" width="31.6640625" customWidth="1"/>
    <col min="129" max="129" width="35.109375" customWidth="1"/>
    <col min="130" max="130" width="33.109375" customWidth="1"/>
    <col min="131" max="131" width="31.44140625" customWidth="1"/>
    <col min="132" max="132" width="36.5546875" customWidth="1"/>
    <col min="133" max="133" width="33.109375" customWidth="1"/>
    <col min="134" max="134" width="31.44140625" customWidth="1"/>
    <col min="135" max="135" width="36.5546875" customWidth="1"/>
    <col min="137" max="137" width="30.6640625" customWidth="1"/>
    <col min="142" max="142" width="30.6640625" customWidth="1"/>
    <col min="151" max="151" width="30.6640625" customWidth="1"/>
    <col min="157" max="158" width="30.6640625" customWidth="1"/>
    <col min="167" max="167" width="30.6640625" customWidth="1"/>
    <col min="172" max="172" width="30.6640625" customWidth="1"/>
    <col min="181" max="181" width="31.44140625" customWidth="1"/>
    <col min="189" max="189" width="31.109375" customWidth="1"/>
    <col min="197" max="197" width="31.44140625" customWidth="1"/>
    <col min="205" max="205" width="31.109375" customWidth="1"/>
    <col min="215" max="215" width="31.44140625" customWidth="1"/>
    <col min="223" max="223" width="31.109375" customWidth="1"/>
    <col min="231" max="231" width="31.44140625" customWidth="1"/>
    <col min="239" max="239" width="31.109375" customWidth="1"/>
  </cols>
  <sheetData>
    <row r="1" spans="1:247" ht="21">
      <c r="A1" s="2958" t="s">
        <v>3495</v>
      </c>
      <c r="B1" s="2959"/>
      <c r="C1" s="2959"/>
      <c r="D1" s="2959"/>
    </row>
    <row r="3" spans="1:247" s="2960" customFormat="1" ht="28.8">
      <c r="A3" s="2960" t="s">
        <v>3496</v>
      </c>
      <c r="B3" s="2960" t="s">
        <v>3497</v>
      </c>
      <c r="G3" s="2960" t="s">
        <v>0</v>
      </c>
      <c r="H3" s="2960" t="s">
        <v>1</v>
      </c>
      <c r="BJ3" s="2960" t="s">
        <v>2</v>
      </c>
      <c r="CK3" s="2960" t="s">
        <v>3</v>
      </c>
      <c r="CY3" s="2960" t="s">
        <v>4</v>
      </c>
      <c r="EF3" s="2960" t="s">
        <v>5</v>
      </c>
      <c r="FX3" s="2960" t="s">
        <v>6</v>
      </c>
    </row>
    <row r="4" spans="1:247" s="2960" customFormat="1" ht="28.95" customHeight="1">
      <c r="A4" s="2960" t="s">
        <v>3498</v>
      </c>
      <c r="B4" s="2960" t="s">
        <v>258</v>
      </c>
      <c r="G4" s="2960" t="s">
        <v>7</v>
      </c>
      <c r="H4" s="2960" t="s">
        <v>8</v>
      </c>
      <c r="AH4" t="s">
        <v>9</v>
      </c>
      <c r="BJ4" s="2960" t="s">
        <v>10</v>
      </c>
      <c r="BQ4" s="2960" t="s">
        <v>11</v>
      </c>
      <c r="CA4" s="2961" t="s">
        <v>12</v>
      </c>
      <c r="CB4" s="2961"/>
      <c r="CC4" s="2961"/>
      <c r="CD4" s="2961"/>
      <c r="CE4" s="2961"/>
      <c r="CF4" s="2961"/>
      <c r="CG4" s="2961"/>
      <c r="CH4" s="2961"/>
      <c r="CI4" s="2961"/>
      <c r="CK4" s="2960" t="s">
        <v>13</v>
      </c>
      <c r="CR4" s="2960" t="s">
        <v>14</v>
      </c>
      <c r="CY4" s="2960" t="s">
        <v>15</v>
      </c>
      <c r="DO4" s="2960" t="s">
        <v>16</v>
      </c>
      <c r="EF4" s="2960" t="s">
        <v>17</v>
      </c>
      <c r="ET4" s="2960" t="s">
        <v>18</v>
      </c>
      <c r="FJ4" s="2960" t="s">
        <v>19</v>
      </c>
      <c r="FX4" s="2960" t="s">
        <v>20</v>
      </c>
      <c r="HF4" s="2960" t="s">
        <v>21</v>
      </c>
    </row>
    <row r="5" spans="1:247" s="2960" customFormat="1" ht="43.2">
      <c r="A5" s="2960" t="s">
        <v>3499</v>
      </c>
      <c r="B5" s="2960" t="s">
        <v>3500</v>
      </c>
      <c r="C5" s="2960" t="s">
        <v>3501</v>
      </c>
      <c r="D5" s="2960" t="s">
        <v>3502</v>
      </c>
      <c r="E5" s="2960" t="s">
        <v>3503</v>
      </c>
      <c r="F5" s="2960" t="s">
        <v>3504</v>
      </c>
      <c r="G5" s="2960" t="s">
        <v>3505</v>
      </c>
      <c r="H5" s="2960" t="s">
        <v>22</v>
      </c>
      <c r="N5" s="2960" t="s">
        <v>23</v>
      </c>
      <c r="V5" s="2960" t="s">
        <v>24</v>
      </c>
      <c r="Z5" s="2962" t="s">
        <v>3506</v>
      </c>
      <c r="AB5" s="2960" t="s">
        <v>3507</v>
      </c>
      <c r="AH5" s="2960" t="s">
        <v>3508</v>
      </c>
      <c r="AV5" s="2960" t="s">
        <v>3509</v>
      </c>
      <c r="BJ5" s="2963"/>
      <c r="BK5" s="2963"/>
      <c r="BL5" s="2963"/>
      <c r="BM5" s="2963"/>
      <c r="BN5" s="2963"/>
      <c r="BO5" s="2963"/>
      <c r="BQ5" s="2961" t="s">
        <v>26</v>
      </c>
      <c r="BR5" s="2961"/>
      <c r="BS5" s="2961"/>
      <c r="BT5" s="2961"/>
      <c r="BU5" s="2961"/>
      <c r="BV5" s="2961"/>
      <c r="BW5" s="2961"/>
      <c r="BX5" s="2961"/>
      <c r="BY5" s="2961"/>
      <c r="CA5" s="2961" t="s">
        <v>3510</v>
      </c>
      <c r="CB5" s="2961"/>
      <c r="CC5" s="2961"/>
      <c r="CD5" s="2961"/>
      <c r="CE5" s="2961"/>
      <c r="CF5" s="2961"/>
      <c r="CG5" s="2961"/>
      <c r="CH5" s="2961"/>
      <c r="CI5" s="2961"/>
      <c r="CK5" s="2960" t="s">
        <v>27</v>
      </c>
      <c r="CR5" s="2960" t="s">
        <v>28</v>
      </c>
      <c r="CY5" s="2960" t="s">
        <v>29</v>
      </c>
      <c r="DO5" s="2960" t="s">
        <v>30</v>
      </c>
      <c r="DT5" s="2960" t="s">
        <v>31</v>
      </c>
      <c r="DZ5" s="2960" t="s">
        <v>32</v>
      </c>
      <c r="EP5" s="2960" t="s">
        <v>33</v>
      </c>
      <c r="FF5" s="2960" t="s">
        <v>33</v>
      </c>
      <c r="FT5" s="2960" t="s">
        <v>33</v>
      </c>
      <c r="FX5" s="2960" t="s">
        <v>3508</v>
      </c>
      <c r="GN5" s="2960" t="s">
        <v>3509</v>
      </c>
      <c r="HF5" s="2960" t="s">
        <v>3508</v>
      </c>
      <c r="HV5" s="2960" t="s">
        <v>3509</v>
      </c>
    </row>
    <row r="6" spans="1:247" s="2960" customFormat="1" ht="28.8">
      <c r="A6" s="2960" t="s">
        <v>3511</v>
      </c>
      <c r="H6" s="2960" t="s">
        <v>3508</v>
      </c>
      <c r="K6" s="2960" t="s">
        <v>3509</v>
      </c>
      <c r="N6" s="2960" t="s">
        <v>3508</v>
      </c>
      <c r="R6" s="2960" t="s">
        <v>3509</v>
      </c>
      <c r="V6" s="2960" t="s">
        <v>3508</v>
      </c>
      <c r="X6" s="2960" t="s">
        <v>3509</v>
      </c>
      <c r="Z6" s="2960" t="s">
        <v>3508</v>
      </c>
      <c r="AA6" s="2960" t="s">
        <v>3509</v>
      </c>
      <c r="AB6" s="2960" t="s">
        <v>3508</v>
      </c>
      <c r="AE6" s="2960" t="s">
        <v>3509</v>
      </c>
      <c r="AH6" s="2960" t="s">
        <v>34</v>
      </c>
      <c r="AO6" s="2960" t="s">
        <v>35</v>
      </c>
      <c r="AV6" s="2960" t="s">
        <v>34</v>
      </c>
      <c r="BC6" s="2960" t="s">
        <v>35</v>
      </c>
      <c r="BJ6" s="2960" t="s">
        <v>36</v>
      </c>
      <c r="BP6" s="2960" t="s">
        <v>33</v>
      </c>
      <c r="BQ6" s="2961" t="s">
        <v>3512</v>
      </c>
      <c r="BR6" s="2961" t="s">
        <v>3513</v>
      </c>
      <c r="BS6" s="2961" t="s">
        <v>3514</v>
      </c>
      <c r="BT6" s="2961" t="s">
        <v>3515</v>
      </c>
      <c r="BU6" s="2961" t="s">
        <v>3516</v>
      </c>
      <c r="BV6" s="2961" t="s">
        <v>3517</v>
      </c>
      <c r="BW6" s="2961" t="s">
        <v>3518</v>
      </c>
      <c r="BX6" s="2961" t="s">
        <v>3519</v>
      </c>
      <c r="BY6" s="2961" t="s">
        <v>3520</v>
      </c>
      <c r="BZ6" s="2960" t="s">
        <v>33</v>
      </c>
      <c r="CA6" s="2961" t="s">
        <v>3521</v>
      </c>
      <c r="CB6" s="2961" t="s">
        <v>3522</v>
      </c>
      <c r="CC6" s="2961" t="s">
        <v>3523</v>
      </c>
      <c r="CD6" s="2961" t="s">
        <v>3524</v>
      </c>
      <c r="CE6" s="2961" t="s">
        <v>3525</v>
      </c>
      <c r="CF6" s="2961" t="s">
        <v>3526</v>
      </c>
      <c r="CG6" s="2961" t="s">
        <v>3527</v>
      </c>
      <c r="CH6" s="2961" t="s">
        <v>3528</v>
      </c>
      <c r="CI6" s="2961" t="s">
        <v>3529</v>
      </c>
      <c r="CJ6" s="2960" t="s">
        <v>33</v>
      </c>
      <c r="CK6" s="2960" t="s">
        <v>37</v>
      </c>
      <c r="CL6" s="2960" t="s">
        <v>38</v>
      </c>
      <c r="CM6" s="2960" t="s">
        <v>39</v>
      </c>
      <c r="CN6" s="2960" t="s">
        <v>40</v>
      </c>
      <c r="CO6" s="2960" t="s">
        <v>41</v>
      </c>
      <c r="CP6" s="2960" t="s">
        <v>42</v>
      </c>
      <c r="CQ6" s="2960" t="s">
        <v>33</v>
      </c>
      <c r="CR6" s="2960" t="s">
        <v>42</v>
      </c>
      <c r="CS6" s="2960" t="s">
        <v>43</v>
      </c>
      <c r="CT6" s="2960" t="s">
        <v>44</v>
      </c>
      <c r="CU6" s="2960" t="s">
        <v>45</v>
      </c>
      <c r="CV6" s="2960" t="s">
        <v>46</v>
      </c>
      <c r="CW6" s="2960" t="s">
        <v>47</v>
      </c>
      <c r="CX6" s="2960" t="s">
        <v>33</v>
      </c>
      <c r="CY6" s="2960" t="s">
        <v>3530</v>
      </c>
      <c r="DG6" s="2960" t="s">
        <v>3531</v>
      </c>
      <c r="DO6" s="2960" t="s">
        <v>3532</v>
      </c>
      <c r="DQ6" s="2960" t="s">
        <v>48</v>
      </c>
      <c r="DR6" s="2960" t="s">
        <v>49</v>
      </c>
      <c r="DT6" s="2960" t="s">
        <v>3508</v>
      </c>
      <c r="DW6" s="2960" t="s">
        <v>3509</v>
      </c>
      <c r="DZ6" s="2960" t="s">
        <v>3508</v>
      </c>
      <c r="EC6" s="2960" t="s">
        <v>3509</v>
      </c>
      <c r="EF6" s="2960" t="s">
        <v>3508</v>
      </c>
      <c r="EK6" s="2960" t="s">
        <v>3509</v>
      </c>
      <c r="EP6" s="2960" t="s">
        <v>50</v>
      </c>
      <c r="ER6" s="2960" t="s">
        <v>51</v>
      </c>
      <c r="ET6" s="2960" t="s">
        <v>3508</v>
      </c>
      <c r="EZ6" s="2960" t="s">
        <v>3509</v>
      </c>
      <c r="FF6" s="2960" t="s">
        <v>52</v>
      </c>
      <c r="FH6" s="2960" t="s">
        <v>53</v>
      </c>
      <c r="FJ6" s="2960" t="s">
        <v>3508</v>
      </c>
      <c r="FO6" s="2960" t="s">
        <v>3509</v>
      </c>
      <c r="FT6" s="2960" t="s">
        <v>54</v>
      </c>
      <c r="FV6" s="2960" t="s">
        <v>55</v>
      </c>
      <c r="FX6" s="2960" t="s">
        <v>56</v>
      </c>
      <c r="GF6" s="2960" t="s">
        <v>57</v>
      </c>
      <c r="GN6" s="2960" t="s">
        <v>56</v>
      </c>
      <c r="GV6" s="2960" t="s">
        <v>57</v>
      </c>
      <c r="HD6" s="2960" t="s">
        <v>3508</v>
      </c>
      <c r="HE6" s="2960" t="s">
        <v>3509</v>
      </c>
      <c r="HF6" s="2960" t="s">
        <v>56</v>
      </c>
      <c r="HN6" s="2960" t="s">
        <v>57</v>
      </c>
      <c r="HV6" s="2960" t="s">
        <v>56</v>
      </c>
      <c r="ID6" s="2960" t="s">
        <v>57</v>
      </c>
      <c r="IL6" s="2960" t="s">
        <v>3508</v>
      </c>
      <c r="IM6" s="2960" t="s">
        <v>3509</v>
      </c>
    </row>
    <row r="7" spans="1:247" s="2964" customFormat="1" ht="28.8">
      <c r="A7" s="2964" t="s">
        <v>3533</v>
      </c>
      <c r="H7" s="2964" t="s">
        <v>58</v>
      </c>
      <c r="I7" s="2964" t="s">
        <v>59</v>
      </c>
      <c r="J7" s="2964" t="s">
        <v>60</v>
      </c>
      <c r="K7" s="2964" t="s">
        <v>58</v>
      </c>
      <c r="L7" s="2964" t="s">
        <v>59</v>
      </c>
      <c r="M7" s="2964" t="s">
        <v>60</v>
      </c>
      <c r="N7" s="2964" t="s">
        <v>58</v>
      </c>
      <c r="O7" s="2964" t="s">
        <v>59</v>
      </c>
      <c r="P7" s="2964" t="s">
        <v>3534</v>
      </c>
      <c r="Q7" s="2964" t="s">
        <v>3535</v>
      </c>
      <c r="R7" s="2964" t="s">
        <v>58</v>
      </c>
      <c r="S7" s="2964" t="s">
        <v>59</v>
      </c>
      <c r="T7" s="2964" t="s">
        <v>60</v>
      </c>
      <c r="U7" s="2964" t="s">
        <v>3535</v>
      </c>
      <c r="V7" s="2964" t="s">
        <v>58</v>
      </c>
      <c r="W7" s="2964" t="s">
        <v>59</v>
      </c>
      <c r="X7" s="2964" t="s">
        <v>58</v>
      </c>
      <c r="Y7" s="2964" t="s">
        <v>59</v>
      </c>
      <c r="AB7" s="2964" t="s">
        <v>58</v>
      </c>
      <c r="AC7" s="2964" t="s">
        <v>59</v>
      </c>
      <c r="AD7" s="2964" t="s">
        <v>60</v>
      </c>
      <c r="AE7" s="2964" t="s">
        <v>58</v>
      </c>
      <c r="AF7" s="2964" t="s">
        <v>59</v>
      </c>
      <c r="AG7" s="2964" t="s">
        <v>60</v>
      </c>
      <c r="AH7" s="2964" t="s">
        <v>61</v>
      </c>
      <c r="AI7" s="2964" t="s">
        <v>62</v>
      </c>
      <c r="AJ7" s="2964" t="s">
        <v>63</v>
      </c>
      <c r="AK7" s="2964" t="s">
        <v>64</v>
      </c>
      <c r="AL7" s="2964" t="s">
        <v>65</v>
      </c>
      <c r="AM7" s="2964" t="s">
        <v>66</v>
      </c>
      <c r="AN7" s="2964" t="s">
        <v>33</v>
      </c>
      <c r="AO7" s="2964" t="s">
        <v>61</v>
      </c>
      <c r="AP7" s="2964" t="s">
        <v>62</v>
      </c>
      <c r="AQ7" s="2964" t="s">
        <v>63</v>
      </c>
      <c r="AR7" s="2964" t="s">
        <v>64</v>
      </c>
      <c r="AS7" s="2964" t="s">
        <v>65</v>
      </c>
      <c r="AT7" s="2964" t="s">
        <v>66</v>
      </c>
      <c r="AU7" s="2964" t="s">
        <v>33</v>
      </c>
      <c r="AV7" s="2964" t="s">
        <v>61</v>
      </c>
      <c r="AW7" s="2964" t="s">
        <v>62</v>
      </c>
      <c r="AX7" s="2964" t="s">
        <v>63</v>
      </c>
      <c r="AY7" s="2964" t="s">
        <v>64</v>
      </c>
      <c r="AZ7" s="2964" t="s">
        <v>65</v>
      </c>
      <c r="BA7" s="2964" t="s">
        <v>66</v>
      </c>
      <c r="BB7" s="2964" t="s">
        <v>33</v>
      </c>
      <c r="BC7" s="2964" t="s">
        <v>61</v>
      </c>
      <c r="BD7" s="2964" t="s">
        <v>62</v>
      </c>
      <c r="BE7" s="2964" t="s">
        <v>63</v>
      </c>
      <c r="BF7" s="2964" t="s">
        <v>64</v>
      </c>
      <c r="BG7" s="2964" t="s">
        <v>65</v>
      </c>
      <c r="BH7" s="2964" t="s">
        <v>66</v>
      </c>
      <c r="BI7" s="2964" t="s">
        <v>33</v>
      </c>
      <c r="BJ7" s="2964" t="s">
        <v>3536</v>
      </c>
      <c r="BK7" s="2964" t="s">
        <v>3537</v>
      </c>
      <c r="BL7" s="2964" t="s">
        <v>3538</v>
      </c>
      <c r="BM7" s="2964" t="s">
        <v>3539</v>
      </c>
      <c r="BN7" s="2964" t="s">
        <v>3540</v>
      </c>
      <c r="BO7" s="2964" t="s">
        <v>3541</v>
      </c>
      <c r="CA7" s="2965"/>
      <c r="CB7" s="2965"/>
      <c r="CC7" s="2965"/>
      <c r="CD7" s="2965"/>
      <c r="CE7" s="2965"/>
      <c r="CF7" s="2965"/>
      <c r="CG7" s="2965"/>
      <c r="CH7" s="2965"/>
      <c r="CI7" s="2965"/>
      <c r="CY7" s="2964" t="s">
        <v>67</v>
      </c>
      <c r="CZ7" s="2964" t="s">
        <v>68</v>
      </c>
      <c r="DA7" s="2964" t="s">
        <v>69</v>
      </c>
      <c r="DB7" s="2964" t="s">
        <v>70</v>
      </c>
      <c r="DC7" s="2964" t="s">
        <v>71</v>
      </c>
      <c r="DD7" s="2964" t="s">
        <v>72</v>
      </c>
      <c r="DE7" s="2964" t="s">
        <v>73</v>
      </c>
      <c r="DF7" s="2964" t="s">
        <v>74</v>
      </c>
      <c r="DG7" s="2964" t="s">
        <v>67</v>
      </c>
      <c r="DH7" s="2964" t="s">
        <v>68</v>
      </c>
      <c r="DI7" s="2964" t="s">
        <v>69</v>
      </c>
      <c r="DJ7" s="2964" t="s">
        <v>70</v>
      </c>
      <c r="DK7" s="2964" t="s">
        <v>71</v>
      </c>
      <c r="DL7" s="2964" t="s">
        <v>72</v>
      </c>
      <c r="DM7" s="2964" t="s">
        <v>73</v>
      </c>
      <c r="DN7" s="2964" t="s">
        <v>74</v>
      </c>
      <c r="DO7" s="2964" t="s">
        <v>31</v>
      </c>
      <c r="DP7" s="2964" t="s">
        <v>75</v>
      </c>
      <c r="DQ7" s="2964" t="s">
        <v>76</v>
      </c>
      <c r="DR7" s="2964" t="s">
        <v>77</v>
      </c>
      <c r="DS7" s="2964" t="s">
        <v>78</v>
      </c>
      <c r="DT7" s="2964" t="s">
        <v>72</v>
      </c>
      <c r="DU7" s="2964" t="s">
        <v>73</v>
      </c>
      <c r="DV7" s="2964" t="s">
        <v>74</v>
      </c>
      <c r="DW7" s="2964" t="s">
        <v>72</v>
      </c>
      <c r="DX7" s="2964" t="s">
        <v>73</v>
      </c>
      <c r="DY7" s="2964" t="s">
        <v>74</v>
      </c>
      <c r="DZ7" s="2964" t="s">
        <v>72</v>
      </c>
      <c r="EA7" s="2964" t="s">
        <v>73</v>
      </c>
      <c r="EB7" s="2964" t="s">
        <v>74</v>
      </c>
      <c r="EC7" s="2964" t="s">
        <v>72</v>
      </c>
      <c r="ED7" s="2964" t="s">
        <v>73</v>
      </c>
      <c r="EE7" s="2964" t="s">
        <v>74</v>
      </c>
      <c r="EF7" s="2964" t="s">
        <v>79</v>
      </c>
      <c r="EG7" s="2964" t="s">
        <v>80</v>
      </c>
      <c r="EH7" s="2962" t="s">
        <v>3542</v>
      </c>
      <c r="EI7" s="2962" t="s">
        <v>3543</v>
      </c>
      <c r="EJ7" s="2964" t="s">
        <v>83</v>
      </c>
      <c r="EK7" s="2964" t="s">
        <v>79</v>
      </c>
      <c r="EL7" s="2964" t="s">
        <v>80</v>
      </c>
      <c r="EM7" s="2962" t="s">
        <v>3542</v>
      </c>
      <c r="EN7" s="2962" t="s">
        <v>3543</v>
      </c>
      <c r="EO7" s="2964" t="s">
        <v>83</v>
      </c>
      <c r="EP7" s="2964" t="s">
        <v>3508</v>
      </c>
      <c r="EQ7" s="2964" t="s">
        <v>3509</v>
      </c>
      <c r="ER7" s="2964" t="s">
        <v>3508</v>
      </c>
      <c r="ES7" s="2964" t="s">
        <v>3509</v>
      </c>
      <c r="ET7" s="2964" t="s">
        <v>79</v>
      </c>
      <c r="EU7" s="2964" t="s">
        <v>84</v>
      </c>
      <c r="EV7" s="2964" t="s">
        <v>85</v>
      </c>
      <c r="EW7" s="2964" t="s">
        <v>86</v>
      </c>
      <c r="EX7" s="2962" t="s">
        <v>3543</v>
      </c>
      <c r="EY7" s="2964" t="s">
        <v>83</v>
      </c>
      <c r="EZ7" s="2964" t="s">
        <v>79</v>
      </c>
      <c r="FA7" s="2964" t="s">
        <v>84</v>
      </c>
      <c r="FB7" s="2964" t="s">
        <v>85</v>
      </c>
      <c r="FC7" s="2964" t="s">
        <v>86</v>
      </c>
      <c r="FD7" s="2962" t="s">
        <v>3543</v>
      </c>
      <c r="FE7" s="2964" t="s">
        <v>83</v>
      </c>
      <c r="FF7" s="2964" t="s">
        <v>3508</v>
      </c>
      <c r="FG7" s="2964" t="s">
        <v>3509</v>
      </c>
      <c r="FH7" s="2964" t="s">
        <v>3508</v>
      </c>
      <c r="FI7" s="2964" t="s">
        <v>3509</v>
      </c>
      <c r="FJ7" s="2964" t="s">
        <v>79</v>
      </c>
      <c r="FK7" s="2964" t="s">
        <v>85</v>
      </c>
      <c r="FL7" s="2964" t="s">
        <v>86</v>
      </c>
      <c r="FM7" s="2962" t="s">
        <v>3543</v>
      </c>
      <c r="FN7" s="2964" t="s">
        <v>83</v>
      </c>
      <c r="FO7" s="2964" t="s">
        <v>79</v>
      </c>
      <c r="FP7" s="2964" t="s">
        <v>85</v>
      </c>
      <c r="FQ7" s="2964" t="s">
        <v>86</v>
      </c>
      <c r="FR7" s="2962" t="s">
        <v>3543</v>
      </c>
      <c r="FS7" s="2964" t="s">
        <v>83</v>
      </c>
      <c r="FT7" s="2964" t="s">
        <v>3508</v>
      </c>
      <c r="FU7" s="2964" t="s">
        <v>3509</v>
      </c>
      <c r="FV7" s="2964" t="s">
        <v>3508</v>
      </c>
      <c r="FW7" s="2964" t="s">
        <v>3509</v>
      </c>
      <c r="FX7" s="2964" t="s">
        <v>87</v>
      </c>
      <c r="FY7" s="2964" t="s">
        <v>88</v>
      </c>
      <c r="FZ7" s="2964" t="s">
        <v>89</v>
      </c>
      <c r="GA7" s="2964" t="s">
        <v>90</v>
      </c>
      <c r="GB7" s="2964" t="s">
        <v>91</v>
      </c>
      <c r="GC7" s="2964" t="s">
        <v>92</v>
      </c>
      <c r="GD7" s="2964" t="s">
        <v>93</v>
      </c>
      <c r="GE7" s="2964" t="s">
        <v>94</v>
      </c>
      <c r="GF7" s="2964" t="s">
        <v>87</v>
      </c>
      <c r="GG7" s="2964" t="s">
        <v>88</v>
      </c>
      <c r="GH7" s="2964" t="s">
        <v>89</v>
      </c>
      <c r="GI7" s="2964" t="s">
        <v>90</v>
      </c>
      <c r="GJ7" s="2964" t="s">
        <v>91</v>
      </c>
      <c r="GK7" s="2964" t="s">
        <v>92</v>
      </c>
      <c r="GL7" s="2964" t="s">
        <v>93</v>
      </c>
      <c r="GM7" s="2964" t="s">
        <v>94</v>
      </c>
      <c r="GN7" s="2964" t="s">
        <v>87</v>
      </c>
      <c r="GO7" s="2964" t="s">
        <v>88</v>
      </c>
      <c r="GP7" s="2964" t="s">
        <v>89</v>
      </c>
      <c r="GQ7" s="2964" t="s">
        <v>90</v>
      </c>
      <c r="GR7" s="2964" t="s">
        <v>91</v>
      </c>
      <c r="GS7" s="2964" t="s">
        <v>92</v>
      </c>
      <c r="GT7" s="2964" t="s">
        <v>93</v>
      </c>
      <c r="GU7" s="2964" t="s">
        <v>94</v>
      </c>
      <c r="GV7" s="2964" t="s">
        <v>87</v>
      </c>
      <c r="GW7" s="2964" t="s">
        <v>88</v>
      </c>
      <c r="GX7" s="2964" t="s">
        <v>89</v>
      </c>
      <c r="GY7" s="2964" t="s">
        <v>90</v>
      </c>
      <c r="GZ7" s="2964" t="s">
        <v>91</v>
      </c>
      <c r="HA7" s="2964" t="s">
        <v>92</v>
      </c>
      <c r="HB7" s="2964" t="s">
        <v>93</v>
      </c>
      <c r="HC7" s="2964" t="s">
        <v>94</v>
      </c>
      <c r="HD7" s="2964" t="s">
        <v>95</v>
      </c>
      <c r="HE7" s="2964" t="s">
        <v>95</v>
      </c>
      <c r="HF7" s="2964" t="s">
        <v>87</v>
      </c>
      <c r="HG7" s="2964" t="s">
        <v>88</v>
      </c>
      <c r="HH7" s="2964" t="s">
        <v>89</v>
      </c>
      <c r="HI7" s="2964" t="s">
        <v>90</v>
      </c>
      <c r="HJ7" s="2964" t="s">
        <v>91</v>
      </c>
      <c r="HK7" s="2964" t="s">
        <v>92</v>
      </c>
      <c r="HL7" s="2964" t="s">
        <v>93</v>
      </c>
      <c r="HM7" s="2964" t="s">
        <v>94</v>
      </c>
      <c r="HN7" s="2964" t="s">
        <v>87</v>
      </c>
      <c r="HO7" s="2964" t="s">
        <v>88</v>
      </c>
      <c r="HP7" s="2964" t="s">
        <v>89</v>
      </c>
      <c r="HQ7" s="2964" t="s">
        <v>90</v>
      </c>
      <c r="HR7" s="2964" t="s">
        <v>91</v>
      </c>
      <c r="HS7" s="2964" t="s">
        <v>92</v>
      </c>
      <c r="HT7" s="2964" t="s">
        <v>93</v>
      </c>
      <c r="HU7" s="2964" t="s">
        <v>94</v>
      </c>
      <c r="HV7" s="2964" t="s">
        <v>87</v>
      </c>
      <c r="HW7" s="2964" t="s">
        <v>88</v>
      </c>
      <c r="HX7" s="2964" t="s">
        <v>89</v>
      </c>
      <c r="HY7" s="2964" t="s">
        <v>90</v>
      </c>
      <c r="HZ7" s="2964" t="s">
        <v>91</v>
      </c>
      <c r="IA7" s="2964" t="s">
        <v>92</v>
      </c>
      <c r="IB7" s="2964" t="s">
        <v>93</v>
      </c>
      <c r="IC7" s="2964" t="s">
        <v>94</v>
      </c>
      <c r="ID7" s="2964" t="s">
        <v>87</v>
      </c>
      <c r="IE7" s="2964" t="s">
        <v>88</v>
      </c>
      <c r="IF7" s="2964" t="s">
        <v>89</v>
      </c>
      <c r="IG7" s="2964" t="s">
        <v>90</v>
      </c>
      <c r="IH7" s="2964" t="s">
        <v>91</v>
      </c>
      <c r="II7" s="2964" t="s">
        <v>92</v>
      </c>
      <c r="IJ7" s="2964" t="s">
        <v>93</v>
      </c>
      <c r="IK7" s="2964" t="s">
        <v>94</v>
      </c>
      <c r="IL7" s="2964" t="s">
        <v>95</v>
      </c>
      <c r="IM7" s="2964" t="s">
        <v>95</v>
      </c>
    </row>
    <row r="8" spans="1:247" s="2960" customFormat="1" ht="13.95" customHeight="1">
      <c r="A8" s="2960" t="s">
        <v>3544</v>
      </c>
      <c r="B8" s="2960" t="s">
        <v>3545</v>
      </c>
      <c r="C8" s="2960" t="s">
        <v>3545</v>
      </c>
      <c r="D8" s="2960" t="s">
        <v>3545</v>
      </c>
      <c r="E8" s="2960" t="str">
        <f>B8</f>
        <v>p0</v>
      </c>
      <c r="F8" s="2960" t="str">
        <f t="shared" ref="F8" si="0">E8</f>
        <v>p0</v>
      </c>
      <c r="G8" s="2960" t="s">
        <v>3546</v>
      </c>
      <c r="H8" s="2960" t="s">
        <v>3547</v>
      </c>
      <c r="I8" s="2960" t="str">
        <f>H8</f>
        <v>p2</v>
      </c>
      <c r="J8" s="2960" t="str">
        <f t="shared" ref="J8:Y11" si="1">I8</f>
        <v>p2</v>
      </c>
      <c r="K8" s="2960" t="str">
        <f t="shared" si="1"/>
        <v>p2</v>
      </c>
      <c r="L8" s="2960" t="str">
        <f t="shared" si="1"/>
        <v>p2</v>
      </c>
      <c r="M8" s="2960" t="str">
        <f t="shared" si="1"/>
        <v>p2</v>
      </c>
      <c r="N8" s="2960" t="str">
        <f t="shared" si="1"/>
        <v>p2</v>
      </c>
      <c r="O8" s="2960" t="str">
        <f t="shared" si="1"/>
        <v>p2</v>
      </c>
      <c r="P8" s="2960" t="str">
        <f t="shared" si="1"/>
        <v>p2</v>
      </c>
      <c r="Q8" s="2960" t="str">
        <f t="shared" ref="Q8:R10" si="2">O8</f>
        <v>p2</v>
      </c>
      <c r="R8" s="2960" t="str">
        <f t="shared" si="2"/>
        <v>p2</v>
      </c>
      <c r="S8" s="2960" t="str">
        <f t="shared" si="1"/>
        <v>p2</v>
      </c>
      <c r="T8" s="2960" t="str">
        <f t="shared" si="1"/>
        <v>p2</v>
      </c>
      <c r="U8" s="2960" t="str">
        <f>S8</f>
        <v>p2</v>
      </c>
      <c r="V8" s="2960" t="str">
        <f>T8</f>
        <v>p2</v>
      </c>
      <c r="W8" s="2960" t="str">
        <f t="shared" si="1"/>
        <v>p2</v>
      </c>
      <c r="X8" s="2960" t="str">
        <f t="shared" si="1"/>
        <v>p2</v>
      </c>
      <c r="Y8" s="2960" t="str">
        <f t="shared" si="1"/>
        <v>p2</v>
      </c>
      <c r="Z8" s="2960" t="str">
        <f t="shared" ref="Z8:AO11" si="3">Y8</f>
        <v>p2</v>
      </c>
      <c r="AA8" s="2960" t="str">
        <f t="shared" si="3"/>
        <v>p2</v>
      </c>
      <c r="AB8" s="2960" t="str">
        <f t="shared" si="3"/>
        <v>p2</v>
      </c>
      <c r="AC8" s="2960" t="str">
        <f t="shared" si="3"/>
        <v>p2</v>
      </c>
      <c r="AD8" s="2960" t="str">
        <f t="shared" si="3"/>
        <v>p2</v>
      </c>
      <c r="AE8" s="2960" t="str">
        <f t="shared" si="3"/>
        <v>p2</v>
      </c>
      <c r="AF8" s="2960" t="str">
        <f t="shared" si="3"/>
        <v>p2</v>
      </c>
      <c r="AG8" s="2960" t="str">
        <f t="shared" si="3"/>
        <v>p2</v>
      </c>
      <c r="AH8" s="2960" t="str">
        <f t="shared" si="3"/>
        <v>p2</v>
      </c>
      <c r="AI8" s="2960" t="str">
        <f t="shared" si="3"/>
        <v>p2</v>
      </c>
      <c r="AJ8" s="2960" t="str">
        <f t="shared" si="3"/>
        <v>p2</v>
      </c>
      <c r="AK8" s="2960" t="str">
        <f t="shared" si="3"/>
        <v>p2</v>
      </c>
      <c r="AL8" s="2960" t="str">
        <f t="shared" si="3"/>
        <v>p2</v>
      </c>
      <c r="AM8" s="2960" t="str">
        <f t="shared" si="3"/>
        <v>p2</v>
      </c>
      <c r="AN8" s="2960" t="str">
        <f t="shared" si="3"/>
        <v>p2</v>
      </c>
      <c r="AO8" s="2960" t="str">
        <f t="shared" si="3"/>
        <v>p2</v>
      </c>
      <c r="AP8" s="2960" t="str">
        <f t="shared" ref="AP8:BE11" si="4">AO8</f>
        <v>p2</v>
      </c>
      <c r="AQ8" s="2960" t="str">
        <f t="shared" si="4"/>
        <v>p2</v>
      </c>
      <c r="AR8" s="2960" t="str">
        <f t="shared" si="4"/>
        <v>p2</v>
      </c>
      <c r="AS8" s="2960" t="str">
        <f t="shared" si="4"/>
        <v>p2</v>
      </c>
      <c r="AT8" s="2960" t="str">
        <f t="shared" si="4"/>
        <v>p2</v>
      </c>
      <c r="AU8" s="2960" t="str">
        <f t="shared" si="4"/>
        <v>p2</v>
      </c>
      <c r="AV8" s="2960" t="str">
        <f t="shared" si="4"/>
        <v>p2</v>
      </c>
      <c r="AW8" s="2960" t="str">
        <f t="shared" si="4"/>
        <v>p2</v>
      </c>
      <c r="AX8" s="2960" t="str">
        <f t="shared" si="4"/>
        <v>p2</v>
      </c>
      <c r="AY8" s="2960" t="str">
        <f t="shared" si="4"/>
        <v>p2</v>
      </c>
      <c r="AZ8" s="2960" t="str">
        <f t="shared" si="4"/>
        <v>p2</v>
      </c>
      <c r="BA8" s="2960" t="str">
        <f t="shared" si="4"/>
        <v>p2</v>
      </c>
      <c r="BB8" s="2960" t="str">
        <f t="shared" si="4"/>
        <v>p2</v>
      </c>
      <c r="BC8" s="2960" t="str">
        <f t="shared" si="4"/>
        <v>p2</v>
      </c>
      <c r="BD8" s="2960" t="str">
        <f t="shared" si="4"/>
        <v>p2</v>
      </c>
      <c r="BE8" s="2960" t="str">
        <f t="shared" si="4"/>
        <v>p2</v>
      </c>
      <c r="BF8" s="2960" t="str">
        <f t="shared" ref="BF8:BI11" si="5">BE8</f>
        <v>p2</v>
      </c>
      <c r="BG8" s="2960" t="str">
        <f t="shared" si="5"/>
        <v>p2</v>
      </c>
      <c r="BH8" s="2960" t="str">
        <f t="shared" si="5"/>
        <v>p2</v>
      </c>
      <c r="BI8" s="2960" t="str">
        <f t="shared" si="5"/>
        <v>p2</v>
      </c>
      <c r="BJ8" s="2960" t="s">
        <v>3548</v>
      </c>
      <c r="BK8" s="2960" t="str">
        <f>BJ8</f>
        <v>p3</v>
      </c>
      <c r="BL8" s="2960" t="str">
        <f t="shared" ref="BL8:CJ10" si="6">BK8</f>
        <v>p3</v>
      </c>
      <c r="BM8" s="2960" t="str">
        <f t="shared" si="6"/>
        <v>p3</v>
      </c>
      <c r="BN8" s="2960" t="str">
        <f t="shared" si="6"/>
        <v>p3</v>
      </c>
      <c r="BO8" s="2960" t="str">
        <f t="shared" si="6"/>
        <v>p3</v>
      </c>
      <c r="BP8" s="2960" t="str">
        <f t="shared" si="6"/>
        <v>p3</v>
      </c>
      <c r="BQ8" s="2960" t="str">
        <f t="shared" si="6"/>
        <v>p3</v>
      </c>
      <c r="BR8" s="2960" t="str">
        <f>BQ8</f>
        <v>p3</v>
      </c>
      <c r="BS8" s="2960" t="str">
        <f t="shared" ref="BS8:BZ10" si="7">BR8</f>
        <v>p3</v>
      </c>
      <c r="BT8" s="2960" t="str">
        <f t="shared" si="7"/>
        <v>p3</v>
      </c>
      <c r="BU8" s="2960" t="str">
        <f t="shared" si="7"/>
        <v>p3</v>
      </c>
      <c r="BV8" s="2960" t="str">
        <f t="shared" si="7"/>
        <v>p3</v>
      </c>
      <c r="BW8" s="2960" t="str">
        <f t="shared" si="7"/>
        <v>p3</v>
      </c>
      <c r="BX8" s="2960" t="str">
        <f t="shared" si="7"/>
        <v>p3</v>
      </c>
      <c r="BY8" s="2960" t="str">
        <f t="shared" si="7"/>
        <v>p3</v>
      </c>
      <c r="BZ8" s="2960" t="str">
        <f t="shared" si="7"/>
        <v>p3</v>
      </c>
      <c r="CA8" s="2960" t="str">
        <f t="shared" si="6"/>
        <v>p3</v>
      </c>
      <c r="CB8" s="2960" t="str">
        <f t="shared" si="6"/>
        <v>p3</v>
      </c>
      <c r="CC8" s="2960" t="str">
        <f t="shared" si="6"/>
        <v>p3</v>
      </c>
      <c r="CD8" s="2960" t="str">
        <f t="shared" si="6"/>
        <v>p3</v>
      </c>
      <c r="CE8" s="2960" t="str">
        <f t="shared" si="6"/>
        <v>p3</v>
      </c>
      <c r="CF8" s="2960" t="str">
        <f t="shared" si="6"/>
        <v>p3</v>
      </c>
      <c r="CG8" s="2960" t="str">
        <f t="shared" si="6"/>
        <v>p3</v>
      </c>
      <c r="CH8" s="2960" t="str">
        <f t="shared" si="6"/>
        <v>p3</v>
      </c>
      <c r="CI8" s="2960" t="str">
        <f t="shared" si="6"/>
        <v>p3</v>
      </c>
      <c r="CJ8" s="2960" t="str">
        <f t="shared" si="6"/>
        <v>p3</v>
      </c>
      <c r="CK8" s="2960" t="s">
        <v>3549</v>
      </c>
      <c r="CL8" s="2960" t="str">
        <f>CK8</f>
        <v>p4</v>
      </c>
      <c r="CM8" s="2960" t="str">
        <f t="shared" ref="CM8:CX9" si="8">CL8</f>
        <v>p4</v>
      </c>
      <c r="CN8" s="2960" t="str">
        <f t="shared" si="8"/>
        <v>p4</v>
      </c>
      <c r="CO8" s="2960" t="str">
        <f t="shared" si="8"/>
        <v>p4</v>
      </c>
      <c r="CP8" s="2960" t="str">
        <f t="shared" si="8"/>
        <v>p4</v>
      </c>
      <c r="CQ8" s="2960" t="str">
        <f t="shared" si="8"/>
        <v>p4</v>
      </c>
      <c r="CR8" s="2960" t="str">
        <f t="shared" si="8"/>
        <v>p4</v>
      </c>
      <c r="CS8" s="2960" t="str">
        <f t="shared" si="8"/>
        <v>p4</v>
      </c>
      <c r="CT8" s="2960" t="str">
        <f t="shared" si="8"/>
        <v>p4</v>
      </c>
      <c r="CU8" s="2960" t="str">
        <f t="shared" si="8"/>
        <v>p4</v>
      </c>
      <c r="CV8" s="2960" t="str">
        <f t="shared" si="8"/>
        <v>p4</v>
      </c>
      <c r="CW8" s="2960" t="str">
        <f t="shared" si="8"/>
        <v>p4</v>
      </c>
      <c r="CX8" s="2960" t="str">
        <f t="shared" si="8"/>
        <v>p4</v>
      </c>
      <c r="CY8" s="2960" t="s">
        <v>3550</v>
      </c>
      <c r="CZ8" s="2960" t="str">
        <f>CY8</f>
        <v>p5</v>
      </c>
      <c r="DA8" s="2960" t="str">
        <f t="shared" ref="DA8:DP11" si="9">CZ8</f>
        <v>p5</v>
      </c>
      <c r="DB8" s="2960" t="str">
        <f t="shared" si="9"/>
        <v>p5</v>
      </c>
      <c r="DC8" s="2960" t="str">
        <f t="shared" si="9"/>
        <v>p5</v>
      </c>
      <c r="DD8" s="2960" t="str">
        <f t="shared" si="9"/>
        <v>p5</v>
      </c>
      <c r="DE8" s="2960" t="str">
        <f t="shared" si="9"/>
        <v>p5</v>
      </c>
      <c r="DF8" s="2960" t="str">
        <f t="shared" si="9"/>
        <v>p5</v>
      </c>
      <c r="DG8" s="2960" t="str">
        <f t="shared" si="9"/>
        <v>p5</v>
      </c>
      <c r="DH8" s="2960" t="str">
        <f t="shared" si="9"/>
        <v>p5</v>
      </c>
      <c r="DI8" s="2960" t="str">
        <f t="shared" si="9"/>
        <v>p5</v>
      </c>
      <c r="DJ8" s="2960" t="str">
        <f t="shared" si="9"/>
        <v>p5</v>
      </c>
      <c r="DK8" s="2960" t="str">
        <f t="shared" si="9"/>
        <v>p5</v>
      </c>
      <c r="DL8" s="2960" t="str">
        <f t="shared" si="9"/>
        <v>p5</v>
      </c>
      <c r="DM8" s="2960" t="str">
        <f t="shared" si="9"/>
        <v>p5</v>
      </c>
      <c r="DN8" s="2960" t="str">
        <f t="shared" si="9"/>
        <v>p5</v>
      </c>
      <c r="DO8" s="2960" t="str">
        <f t="shared" si="9"/>
        <v>p5</v>
      </c>
      <c r="DP8" s="2960" t="str">
        <f t="shared" si="9"/>
        <v>p5</v>
      </c>
      <c r="DQ8" s="2960" t="str">
        <f t="shared" ref="DQ8:EE11" si="10">DP8</f>
        <v>p5</v>
      </c>
      <c r="DR8" s="2960" t="str">
        <f t="shared" si="10"/>
        <v>p5</v>
      </c>
      <c r="DS8" s="2960" t="str">
        <f t="shared" si="10"/>
        <v>p5</v>
      </c>
      <c r="DT8" s="2960" t="str">
        <f t="shared" si="10"/>
        <v>p5</v>
      </c>
      <c r="DU8" s="2960" t="str">
        <f t="shared" si="10"/>
        <v>p5</v>
      </c>
      <c r="DV8" s="2960" t="str">
        <f t="shared" si="10"/>
        <v>p5</v>
      </c>
      <c r="DW8" s="2960" t="str">
        <f t="shared" si="10"/>
        <v>p5</v>
      </c>
      <c r="DX8" s="2960" t="str">
        <f t="shared" si="10"/>
        <v>p5</v>
      </c>
      <c r="DY8" s="2960" t="str">
        <f t="shared" si="10"/>
        <v>p5</v>
      </c>
      <c r="DZ8" s="2960" t="str">
        <f t="shared" si="10"/>
        <v>p5</v>
      </c>
      <c r="EA8" s="2960" t="str">
        <f t="shared" si="10"/>
        <v>p5</v>
      </c>
      <c r="EB8" s="2960" t="str">
        <f t="shared" si="10"/>
        <v>p5</v>
      </c>
      <c r="EC8" s="2960" t="str">
        <f t="shared" si="10"/>
        <v>p5</v>
      </c>
      <c r="ED8" s="2960" t="str">
        <f t="shared" si="10"/>
        <v>p5</v>
      </c>
      <c r="EE8" s="2960" t="str">
        <f t="shared" si="10"/>
        <v>p5</v>
      </c>
      <c r="EF8" s="2960" t="s">
        <v>3551</v>
      </c>
      <c r="EG8" s="2960" t="str">
        <f>EF8</f>
        <v>p6</v>
      </c>
      <c r="EH8" s="2960" t="str">
        <f t="shared" ref="EH8:EW9" si="11">EG8</f>
        <v>p6</v>
      </c>
      <c r="EI8" s="2960" t="str">
        <f t="shared" si="11"/>
        <v>p6</v>
      </c>
      <c r="EJ8" s="2960" t="str">
        <f t="shared" si="11"/>
        <v>p6</v>
      </c>
      <c r="EK8" s="2960" t="str">
        <f t="shared" si="11"/>
        <v>p6</v>
      </c>
      <c r="EL8" s="2960" t="str">
        <f t="shared" si="11"/>
        <v>p6</v>
      </c>
      <c r="EM8" s="2960" t="str">
        <f t="shared" si="11"/>
        <v>p6</v>
      </c>
      <c r="EN8" s="2960" t="str">
        <f t="shared" si="11"/>
        <v>p6</v>
      </c>
      <c r="EO8" s="2960" t="str">
        <f t="shared" si="11"/>
        <v>p6</v>
      </c>
      <c r="EP8" s="2960" t="str">
        <f t="shared" si="11"/>
        <v>p6</v>
      </c>
      <c r="EQ8" s="2960" t="str">
        <f t="shared" si="11"/>
        <v>p6</v>
      </c>
      <c r="ER8" s="2960" t="str">
        <f t="shared" si="11"/>
        <v>p6</v>
      </c>
      <c r="ES8" s="2960" t="str">
        <f t="shared" si="11"/>
        <v>p6</v>
      </c>
      <c r="ET8" s="2960" t="str">
        <f t="shared" si="11"/>
        <v>p6</v>
      </c>
      <c r="EU8" s="2960" t="str">
        <f t="shared" si="11"/>
        <v>p6</v>
      </c>
      <c r="EV8" s="2960" t="str">
        <f t="shared" si="11"/>
        <v>p6</v>
      </c>
      <c r="EW8" s="2960" t="str">
        <f t="shared" si="11"/>
        <v>p6</v>
      </c>
      <c r="EX8" s="2960" t="str">
        <f>EW8</f>
        <v>p6</v>
      </c>
      <c r="EY8" s="2960" t="str">
        <f t="shared" ref="EY8:FN11" si="12">EX8</f>
        <v>p6</v>
      </c>
      <c r="EZ8" s="2960" t="str">
        <f t="shared" si="12"/>
        <v>p6</v>
      </c>
      <c r="FA8" s="2960" t="str">
        <f t="shared" si="12"/>
        <v>p6</v>
      </c>
      <c r="FB8" s="2960" t="str">
        <f t="shared" si="12"/>
        <v>p6</v>
      </c>
      <c r="FC8" s="2960" t="str">
        <f>FB8</f>
        <v>p6</v>
      </c>
      <c r="FD8" s="2960" t="str">
        <f t="shared" si="12"/>
        <v>p6</v>
      </c>
      <c r="FE8" s="2960" t="str">
        <f t="shared" si="12"/>
        <v>p6</v>
      </c>
      <c r="FF8" s="2960" t="str">
        <f t="shared" si="12"/>
        <v>p6</v>
      </c>
      <c r="FG8" s="2960" t="str">
        <f t="shared" si="12"/>
        <v>p6</v>
      </c>
      <c r="FH8" s="2960" t="str">
        <f t="shared" si="12"/>
        <v>p6</v>
      </c>
      <c r="FI8" s="2960" t="str">
        <f t="shared" si="12"/>
        <v>p6</v>
      </c>
      <c r="FJ8" s="2960" t="str">
        <f t="shared" si="12"/>
        <v>p6</v>
      </c>
      <c r="FK8" s="2960" t="str">
        <f t="shared" si="12"/>
        <v>p6</v>
      </c>
      <c r="FL8" s="2960" t="str">
        <f t="shared" si="12"/>
        <v>p6</v>
      </c>
      <c r="FM8" s="2960" t="str">
        <f t="shared" si="12"/>
        <v>p6</v>
      </c>
      <c r="FN8" s="2960" t="str">
        <f t="shared" si="12"/>
        <v>p6</v>
      </c>
      <c r="FO8" s="2960" t="str">
        <f t="shared" ref="FO8:FW10" si="13">FN8</f>
        <v>p6</v>
      </c>
      <c r="FP8" s="2960" t="str">
        <f t="shared" si="13"/>
        <v>p6</v>
      </c>
      <c r="FQ8" s="2960" t="str">
        <f t="shared" si="13"/>
        <v>p6</v>
      </c>
      <c r="FR8" s="2960" t="str">
        <f t="shared" si="13"/>
        <v>p6</v>
      </c>
      <c r="FS8" s="2960" t="str">
        <f t="shared" si="13"/>
        <v>p6</v>
      </c>
      <c r="FT8" s="2960" t="str">
        <f t="shared" si="13"/>
        <v>p6</v>
      </c>
      <c r="FU8" s="2960" t="str">
        <f t="shared" si="13"/>
        <v>p6</v>
      </c>
      <c r="FV8" s="2960" t="str">
        <f t="shared" si="13"/>
        <v>p6</v>
      </c>
      <c r="FW8" s="2960" t="str">
        <f t="shared" si="13"/>
        <v>p6</v>
      </c>
      <c r="FX8" s="2960" t="s">
        <v>3552</v>
      </c>
      <c r="FY8" s="2960" t="str">
        <f>FX8</f>
        <v>p7</v>
      </c>
      <c r="FZ8" s="2960" t="str">
        <f t="shared" ref="FZ8:GO11" si="14">FY8</f>
        <v>p7</v>
      </c>
      <c r="GA8" s="2960" t="str">
        <f t="shared" si="14"/>
        <v>p7</v>
      </c>
      <c r="GB8" s="2960" t="str">
        <f t="shared" si="14"/>
        <v>p7</v>
      </c>
      <c r="GC8" s="2960" t="str">
        <f t="shared" si="14"/>
        <v>p7</v>
      </c>
      <c r="GD8" s="2960" t="str">
        <f t="shared" si="14"/>
        <v>p7</v>
      </c>
      <c r="GE8" s="2960" t="str">
        <f t="shared" si="14"/>
        <v>p7</v>
      </c>
      <c r="GF8" s="2960" t="str">
        <f t="shared" si="14"/>
        <v>p7</v>
      </c>
      <c r="GG8" s="2960" t="str">
        <f t="shared" si="14"/>
        <v>p7</v>
      </c>
      <c r="GH8" s="2960" t="str">
        <f t="shared" si="14"/>
        <v>p7</v>
      </c>
      <c r="GI8" s="2960" t="str">
        <f t="shared" si="14"/>
        <v>p7</v>
      </c>
      <c r="GJ8" s="2960" t="str">
        <f t="shared" si="14"/>
        <v>p7</v>
      </c>
      <c r="GK8" s="2960" t="str">
        <f t="shared" si="14"/>
        <v>p7</v>
      </c>
      <c r="GL8" s="2960" t="str">
        <f t="shared" si="14"/>
        <v>p7</v>
      </c>
      <c r="GM8" s="2960" t="str">
        <f t="shared" si="14"/>
        <v>p7</v>
      </c>
      <c r="GN8" s="2960" t="str">
        <f t="shared" si="14"/>
        <v>p7</v>
      </c>
      <c r="GO8" s="2960" t="str">
        <f t="shared" si="14"/>
        <v>p7</v>
      </c>
      <c r="GP8" s="2960" t="str">
        <f t="shared" ref="GP8:HE11" si="15">GO8</f>
        <v>p7</v>
      </c>
      <c r="GQ8" s="2960" t="str">
        <f t="shared" si="15"/>
        <v>p7</v>
      </c>
      <c r="GR8" s="2960" t="str">
        <f t="shared" si="15"/>
        <v>p7</v>
      </c>
      <c r="GS8" s="2960" t="str">
        <f t="shared" si="15"/>
        <v>p7</v>
      </c>
      <c r="GT8" s="2960" t="str">
        <f t="shared" si="15"/>
        <v>p7</v>
      </c>
      <c r="GU8" s="2960" t="str">
        <f t="shared" si="15"/>
        <v>p7</v>
      </c>
      <c r="GV8" s="2960" t="str">
        <f t="shared" si="15"/>
        <v>p7</v>
      </c>
      <c r="GW8" s="2960" t="str">
        <f t="shared" si="15"/>
        <v>p7</v>
      </c>
      <c r="GX8" s="2960" t="str">
        <f t="shared" si="15"/>
        <v>p7</v>
      </c>
      <c r="GY8" s="2960" t="str">
        <f t="shared" si="15"/>
        <v>p7</v>
      </c>
      <c r="GZ8" s="2960" t="str">
        <f t="shared" si="15"/>
        <v>p7</v>
      </c>
      <c r="HA8" s="2960" t="str">
        <f t="shared" si="15"/>
        <v>p7</v>
      </c>
      <c r="HB8" s="2960" t="str">
        <f t="shared" si="15"/>
        <v>p7</v>
      </c>
      <c r="HC8" s="2960" t="str">
        <f t="shared" si="15"/>
        <v>p7</v>
      </c>
      <c r="HD8" s="2960" t="str">
        <f t="shared" si="15"/>
        <v>p7</v>
      </c>
      <c r="HE8" s="2960" t="str">
        <f t="shared" si="15"/>
        <v>p7</v>
      </c>
      <c r="HF8" s="2960" t="str">
        <f t="shared" ref="HF8:HU11" si="16">HE8</f>
        <v>p7</v>
      </c>
      <c r="HG8" s="2960" t="str">
        <f t="shared" si="16"/>
        <v>p7</v>
      </c>
      <c r="HH8" s="2960" t="str">
        <f t="shared" si="16"/>
        <v>p7</v>
      </c>
      <c r="HI8" s="2960" t="str">
        <f t="shared" si="16"/>
        <v>p7</v>
      </c>
      <c r="HJ8" s="2960" t="str">
        <f t="shared" si="16"/>
        <v>p7</v>
      </c>
      <c r="HK8" s="2960" t="str">
        <f t="shared" si="16"/>
        <v>p7</v>
      </c>
      <c r="HL8" s="2960" t="str">
        <f t="shared" si="16"/>
        <v>p7</v>
      </c>
      <c r="HM8" s="2960" t="str">
        <f t="shared" si="16"/>
        <v>p7</v>
      </c>
      <c r="HN8" s="2960" t="str">
        <f t="shared" si="16"/>
        <v>p7</v>
      </c>
      <c r="HO8" s="2960" t="str">
        <f t="shared" si="16"/>
        <v>p7</v>
      </c>
      <c r="HP8" s="2960" t="str">
        <f t="shared" si="16"/>
        <v>p7</v>
      </c>
      <c r="HQ8" s="2960" t="str">
        <f t="shared" si="16"/>
        <v>p7</v>
      </c>
      <c r="HR8" s="2960" t="str">
        <f t="shared" si="16"/>
        <v>p7</v>
      </c>
      <c r="HS8" s="2960" t="str">
        <f t="shared" si="16"/>
        <v>p7</v>
      </c>
      <c r="HT8" s="2960" t="str">
        <f t="shared" si="16"/>
        <v>p7</v>
      </c>
      <c r="HU8" s="2960" t="str">
        <f t="shared" si="16"/>
        <v>p7</v>
      </c>
      <c r="HV8" s="2960" t="str">
        <f t="shared" ref="HV8:IK11" si="17">HU8</f>
        <v>p7</v>
      </c>
      <c r="HW8" s="2960" t="str">
        <f t="shared" si="17"/>
        <v>p7</v>
      </c>
      <c r="HX8" s="2960" t="str">
        <f t="shared" si="17"/>
        <v>p7</v>
      </c>
      <c r="HY8" s="2960" t="str">
        <f t="shared" si="17"/>
        <v>p7</v>
      </c>
      <c r="HZ8" s="2960" t="str">
        <f t="shared" si="17"/>
        <v>p7</v>
      </c>
      <c r="IA8" s="2960" t="str">
        <f t="shared" si="17"/>
        <v>p7</v>
      </c>
      <c r="IB8" s="2960" t="str">
        <f t="shared" si="17"/>
        <v>p7</v>
      </c>
      <c r="IC8" s="2960" t="str">
        <f t="shared" si="17"/>
        <v>p7</v>
      </c>
      <c r="ID8" s="2960" t="str">
        <f t="shared" si="17"/>
        <v>p7</v>
      </c>
      <c r="IE8" s="2960" t="str">
        <f t="shared" si="17"/>
        <v>p7</v>
      </c>
      <c r="IF8" s="2960" t="str">
        <f t="shared" si="17"/>
        <v>p7</v>
      </c>
      <c r="IG8" s="2960" t="str">
        <f t="shared" si="17"/>
        <v>p7</v>
      </c>
      <c r="IH8" s="2960" t="str">
        <f t="shared" si="17"/>
        <v>p7</v>
      </c>
      <c r="II8" s="2960" t="str">
        <f t="shared" si="17"/>
        <v>p7</v>
      </c>
      <c r="IJ8" s="2960" t="str">
        <f t="shared" si="17"/>
        <v>p7</v>
      </c>
      <c r="IK8" s="2960" t="str">
        <f t="shared" si="17"/>
        <v>p7</v>
      </c>
      <c r="IL8" s="2960" t="str">
        <f t="shared" ref="IL8:IM9" si="18">IK8</f>
        <v>p7</v>
      </c>
      <c r="IM8" s="2960" t="str">
        <f t="shared" si="18"/>
        <v>p7</v>
      </c>
    </row>
    <row r="9" spans="1:247" s="2960" customFormat="1" ht="13.95" customHeight="1">
      <c r="A9" s="2960" t="s">
        <v>3553</v>
      </c>
      <c r="B9" s="2960" t="s">
        <v>3554</v>
      </c>
      <c r="C9" s="2960" t="s">
        <v>3554</v>
      </c>
      <c r="D9" s="2960" t="s">
        <v>3554</v>
      </c>
      <c r="H9" s="2960" t="s">
        <v>3555</v>
      </c>
      <c r="I9" s="2960" t="str">
        <f>H9</f>
        <v>pv1</v>
      </c>
      <c r="J9" s="2960" t="str">
        <f t="shared" si="1"/>
        <v>pv1</v>
      </c>
      <c r="K9" s="2960" t="str">
        <f t="shared" si="1"/>
        <v>pv1</v>
      </c>
      <c r="L9" s="2960" t="str">
        <f t="shared" si="1"/>
        <v>pv1</v>
      </c>
      <c r="M9" s="2960" t="str">
        <f t="shared" si="1"/>
        <v>pv1</v>
      </c>
      <c r="N9" s="2960" t="str">
        <f t="shared" si="1"/>
        <v>pv1</v>
      </c>
      <c r="O9" s="2960" t="str">
        <f t="shared" si="1"/>
        <v>pv1</v>
      </c>
      <c r="P9" s="2960" t="str">
        <f t="shared" si="1"/>
        <v>pv1</v>
      </c>
      <c r="Q9" s="2960" t="str">
        <f t="shared" si="2"/>
        <v>pv1</v>
      </c>
      <c r="R9" s="2960" t="str">
        <f t="shared" si="2"/>
        <v>pv1</v>
      </c>
      <c r="S9" s="2960" t="str">
        <f t="shared" si="1"/>
        <v>pv1</v>
      </c>
      <c r="T9" s="2960" t="str">
        <f t="shared" si="1"/>
        <v>pv1</v>
      </c>
      <c r="U9" s="2960" t="str">
        <f>S9</f>
        <v>pv1</v>
      </c>
      <c r="V9" s="2960" t="str">
        <f>T9</f>
        <v>pv1</v>
      </c>
      <c r="W9" s="2960" t="str">
        <f t="shared" si="1"/>
        <v>pv1</v>
      </c>
      <c r="X9" s="2960" t="str">
        <f t="shared" si="1"/>
        <v>pv1</v>
      </c>
      <c r="Y9" s="2960" t="str">
        <f t="shared" si="1"/>
        <v>pv1</v>
      </c>
      <c r="Z9" s="2960" t="str">
        <f t="shared" si="3"/>
        <v>pv1</v>
      </c>
      <c r="AA9" s="2960" t="str">
        <f t="shared" si="3"/>
        <v>pv1</v>
      </c>
      <c r="AB9" s="2960" t="str">
        <f t="shared" si="3"/>
        <v>pv1</v>
      </c>
      <c r="AC9" s="2960" t="str">
        <f t="shared" si="3"/>
        <v>pv1</v>
      </c>
      <c r="AD9" s="2960" t="str">
        <f t="shared" si="3"/>
        <v>pv1</v>
      </c>
      <c r="AE9" s="2960" t="str">
        <f t="shared" si="3"/>
        <v>pv1</v>
      </c>
      <c r="AF9" s="2960" t="str">
        <f t="shared" si="3"/>
        <v>pv1</v>
      </c>
      <c r="AG9" s="2960" t="str">
        <f t="shared" si="3"/>
        <v>pv1</v>
      </c>
      <c r="AH9" s="2960" t="s">
        <v>3556</v>
      </c>
      <c r="AI9" s="2960" t="str">
        <f>AH9</f>
        <v>pv25</v>
      </c>
      <c r="AJ9" s="2960" t="str">
        <f t="shared" si="3"/>
        <v>pv25</v>
      </c>
      <c r="AK9" s="2960" t="str">
        <f t="shared" si="3"/>
        <v>pv25</v>
      </c>
      <c r="AL9" s="2960" t="str">
        <f t="shared" si="3"/>
        <v>pv25</v>
      </c>
      <c r="AM9" s="2960" t="str">
        <f t="shared" si="3"/>
        <v>pv25</v>
      </c>
      <c r="AN9" s="2960" t="str">
        <f t="shared" si="3"/>
        <v>pv25</v>
      </c>
      <c r="AO9" s="2960" t="str">
        <f t="shared" si="3"/>
        <v>pv25</v>
      </c>
      <c r="AP9" s="2960" t="str">
        <f t="shared" si="4"/>
        <v>pv25</v>
      </c>
      <c r="AQ9" s="2960" t="str">
        <f t="shared" si="4"/>
        <v>pv25</v>
      </c>
      <c r="AR9" s="2960" t="str">
        <f t="shared" si="4"/>
        <v>pv25</v>
      </c>
      <c r="AS9" s="2960" t="str">
        <f t="shared" si="4"/>
        <v>pv25</v>
      </c>
      <c r="AT9" s="2960" t="str">
        <f t="shared" si="4"/>
        <v>pv25</v>
      </c>
      <c r="AU9" s="2960" t="str">
        <f t="shared" si="4"/>
        <v>pv25</v>
      </c>
      <c r="AV9" s="2960" t="str">
        <f t="shared" si="4"/>
        <v>pv25</v>
      </c>
      <c r="AW9" s="2960" t="str">
        <f t="shared" si="4"/>
        <v>pv25</v>
      </c>
      <c r="AX9" s="2960" t="str">
        <f t="shared" si="4"/>
        <v>pv25</v>
      </c>
      <c r="AY9" s="2960" t="str">
        <f t="shared" si="4"/>
        <v>pv25</v>
      </c>
      <c r="AZ9" s="2960" t="str">
        <f t="shared" si="4"/>
        <v>pv25</v>
      </c>
      <c r="BA9" s="2960" t="str">
        <f t="shared" si="4"/>
        <v>pv25</v>
      </c>
      <c r="BB9" s="2960" t="str">
        <f t="shared" si="4"/>
        <v>pv25</v>
      </c>
      <c r="BC9" s="2960" t="str">
        <f t="shared" si="4"/>
        <v>pv25</v>
      </c>
      <c r="BD9" s="2960" t="str">
        <f t="shared" si="4"/>
        <v>pv25</v>
      </c>
      <c r="BE9" s="2960" t="str">
        <f t="shared" si="4"/>
        <v>pv25</v>
      </c>
      <c r="BF9" s="2960" t="str">
        <f t="shared" si="5"/>
        <v>pv25</v>
      </c>
      <c r="BG9" s="2960" t="str">
        <f t="shared" si="5"/>
        <v>pv25</v>
      </c>
      <c r="BH9" s="2960" t="str">
        <f t="shared" si="5"/>
        <v>pv25</v>
      </c>
      <c r="BI9" s="2960" t="str">
        <f t="shared" si="5"/>
        <v>pv25</v>
      </c>
      <c r="BJ9" s="2960" t="s">
        <v>3555</v>
      </c>
      <c r="BK9" s="2960" t="str">
        <f>BJ9</f>
        <v>pv1</v>
      </c>
      <c r="BL9" s="2960" t="str">
        <f t="shared" si="6"/>
        <v>pv1</v>
      </c>
      <c r="BM9" s="2960" t="str">
        <f t="shared" si="6"/>
        <v>pv1</v>
      </c>
      <c r="BN9" s="2960" t="str">
        <f t="shared" si="6"/>
        <v>pv1</v>
      </c>
      <c r="BO9" s="2960" t="str">
        <f t="shared" si="6"/>
        <v>pv1</v>
      </c>
      <c r="BP9" s="2960" t="str">
        <f t="shared" si="6"/>
        <v>pv1</v>
      </c>
      <c r="BQ9" s="2960" t="s">
        <v>3557</v>
      </c>
      <c r="BR9" s="2960" t="str">
        <f>BQ9</f>
        <v>pv2</v>
      </c>
      <c r="BS9" s="2960" t="str">
        <f t="shared" si="7"/>
        <v>pv2</v>
      </c>
      <c r="BT9" s="2960" t="str">
        <f t="shared" si="7"/>
        <v>pv2</v>
      </c>
      <c r="BU9" s="2960" t="str">
        <f t="shared" si="7"/>
        <v>pv2</v>
      </c>
      <c r="BV9" s="2960" t="str">
        <f t="shared" si="7"/>
        <v>pv2</v>
      </c>
      <c r="BW9" s="2960" t="str">
        <f t="shared" si="7"/>
        <v>pv2</v>
      </c>
      <c r="BX9" s="2960" t="str">
        <f t="shared" si="7"/>
        <v>pv2</v>
      </c>
      <c r="BY9" s="2960" t="str">
        <f t="shared" si="7"/>
        <v>pv2</v>
      </c>
      <c r="BZ9" s="2960" t="str">
        <f t="shared" si="7"/>
        <v>pv2</v>
      </c>
      <c r="CA9" s="2960" t="s">
        <v>3558</v>
      </c>
      <c r="CB9" s="2960" t="str">
        <f>CA9</f>
        <v>pv3</v>
      </c>
      <c r="CC9" s="2960" t="str">
        <f t="shared" si="6"/>
        <v>pv3</v>
      </c>
      <c r="CD9" s="2960" t="str">
        <f t="shared" si="6"/>
        <v>pv3</v>
      </c>
      <c r="CE9" s="2960" t="str">
        <f t="shared" si="6"/>
        <v>pv3</v>
      </c>
      <c r="CF9" s="2960" t="str">
        <f t="shared" si="6"/>
        <v>pv3</v>
      </c>
      <c r="CG9" s="2960" t="str">
        <f t="shared" si="6"/>
        <v>pv3</v>
      </c>
      <c r="CH9" s="2960" t="str">
        <f t="shared" si="6"/>
        <v>pv3</v>
      </c>
      <c r="CI9" s="2960" t="str">
        <f t="shared" si="6"/>
        <v>pv3</v>
      </c>
      <c r="CJ9" s="2960" t="str">
        <f t="shared" si="6"/>
        <v>pv3</v>
      </c>
      <c r="CK9" s="2960" t="s">
        <v>3559</v>
      </c>
      <c r="CL9" s="2960" t="str">
        <f>CK9</f>
        <v>pvd1</v>
      </c>
      <c r="CM9" s="2960" t="str">
        <f t="shared" si="8"/>
        <v>pvd1</v>
      </c>
      <c r="CN9" s="2960" t="str">
        <f t="shared" si="8"/>
        <v>pvd1</v>
      </c>
      <c r="CO9" s="2960" t="str">
        <f t="shared" si="8"/>
        <v>pvd1</v>
      </c>
      <c r="CP9" s="2960" t="str">
        <f t="shared" si="8"/>
        <v>pvd1</v>
      </c>
      <c r="CQ9" s="2960" t="str">
        <f t="shared" si="8"/>
        <v>pvd1</v>
      </c>
      <c r="CR9" s="2960" t="s">
        <v>3560</v>
      </c>
      <c r="CS9" s="2960" t="str">
        <f>CR9</f>
        <v>pvr1</v>
      </c>
      <c r="CT9" s="2960" t="str">
        <f t="shared" si="8"/>
        <v>pvr1</v>
      </c>
      <c r="CU9" s="2960" t="str">
        <f t="shared" si="8"/>
        <v>pvr1</v>
      </c>
      <c r="CV9" s="2960" t="str">
        <f t="shared" si="8"/>
        <v>pvr1</v>
      </c>
      <c r="CW9" s="2960" t="str">
        <f t="shared" si="8"/>
        <v>pvr1</v>
      </c>
      <c r="CX9" s="2960" t="str">
        <f t="shared" si="8"/>
        <v>pvr1</v>
      </c>
      <c r="CY9" s="2960" t="s">
        <v>3555</v>
      </c>
      <c r="CZ9" s="2960" t="str">
        <f>CY9</f>
        <v>pv1</v>
      </c>
      <c r="DA9" s="2960" t="str">
        <f t="shared" si="9"/>
        <v>pv1</v>
      </c>
      <c r="DB9" s="2960" t="str">
        <f t="shared" si="9"/>
        <v>pv1</v>
      </c>
      <c r="DC9" s="2960" t="str">
        <f t="shared" si="9"/>
        <v>pv1</v>
      </c>
      <c r="DD9" s="2960" t="str">
        <f t="shared" si="9"/>
        <v>pv1</v>
      </c>
      <c r="DE9" s="2960" t="str">
        <f t="shared" si="9"/>
        <v>pv1</v>
      </c>
      <c r="DF9" s="2960" t="str">
        <f t="shared" si="9"/>
        <v>pv1</v>
      </c>
      <c r="DG9" s="2960" t="str">
        <f t="shared" si="9"/>
        <v>pv1</v>
      </c>
      <c r="DH9" s="2960" t="str">
        <f t="shared" si="9"/>
        <v>pv1</v>
      </c>
      <c r="DI9" s="2960" t="str">
        <f t="shared" si="9"/>
        <v>pv1</v>
      </c>
      <c r="DJ9" s="2960" t="str">
        <f t="shared" si="9"/>
        <v>pv1</v>
      </c>
      <c r="DK9" s="2960" t="str">
        <f t="shared" si="9"/>
        <v>pv1</v>
      </c>
      <c r="DL9" s="2960" t="str">
        <f t="shared" si="9"/>
        <v>pv1</v>
      </c>
      <c r="DM9" s="2960" t="str">
        <f t="shared" si="9"/>
        <v>pv1</v>
      </c>
      <c r="DN9" s="2960" t="str">
        <f t="shared" si="9"/>
        <v>pv1</v>
      </c>
      <c r="DO9" s="2960" t="s">
        <v>3561</v>
      </c>
      <c r="DP9" s="2960" t="str">
        <f>DO9</f>
        <v>pv4</v>
      </c>
      <c r="DQ9" s="2960" t="str">
        <f t="shared" si="10"/>
        <v>pv4</v>
      </c>
      <c r="DR9" s="2960" t="str">
        <f t="shared" si="10"/>
        <v>pv4</v>
      </c>
      <c r="DS9" s="2960" t="str">
        <f t="shared" si="10"/>
        <v>pv4</v>
      </c>
      <c r="DT9" s="2960" t="str">
        <f t="shared" si="10"/>
        <v>pv4</v>
      </c>
      <c r="DU9" s="2960" t="str">
        <f t="shared" si="10"/>
        <v>pv4</v>
      </c>
      <c r="DV9" s="2960" t="str">
        <f t="shared" si="10"/>
        <v>pv4</v>
      </c>
      <c r="DW9" s="2960" t="str">
        <f t="shared" si="10"/>
        <v>pv4</v>
      </c>
      <c r="DX9" s="2960" t="str">
        <f t="shared" si="10"/>
        <v>pv4</v>
      </c>
      <c r="DY9" s="2960" t="str">
        <f t="shared" si="10"/>
        <v>pv4</v>
      </c>
      <c r="DZ9" s="2960" t="str">
        <f t="shared" si="10"/>
        <v>pv4</v>
      </c>
      <c r="EA9" s="2960" t="str">
        <f t="shared" si="10"/>
        <v>pv4</v>
      </c>
      <c r="EB9" s="2960" t="str">
        <f t="shared" si="10"/>
        <v>pv4</v>
      </c>
      <c r="EC9" s="2960" t="str">
        <f t="shared" si="10"/>
        <v>pv4</v>
      </c>
      <c r="ED9" s="2960" t="str">
        <f t="shared" si="10"/>
        <v>pv4</v>
      </c>
      <c r="EE9" s="2960" t="str">
        <f t="shared" si="10"/>
        <v>pv4</v>
      </c>
      <c r="EF9" s="2960" t="s">
        <v>3555</v>
      </c>
      <c r="EG9" s="2960" t="str">
        <f>EF9</f>
        <v>pv1</v>
      </c>
      <c r="EH9" s="2960" t="str">
        <f t="shared" si="11"/>
        <v>pv1</v>
      </c>
      <c r="EI9" s="2960" t="str">
        <f t="shared" si="11"/>
        <v>pv1</v>
      </c>
      <c r="EJ9" s="2960" t="str">
        <f t="shared" si="11"/>
        <v>pv1</v>
      </c>
      <c r="EK9" s="2960" t="str">
        <f t="shared" si="11"/>
        <v>pv1</v>
      </c>
      <c r="EL9" s="2960" t="str">
        <f t="shared" si="11"/>
        <v>pv1</v>
      </c>
      <c r="EM9" s="2960" t="str">
        <f t="shared" si="11"/>
        <v>pv1</v>
      </c>
      <c r="EN9" s="2960" t="str">
        <f t="shared" si="11"/>
        <v>pv1</v>
      </c>
      <c r="EO9" s="2960" t="str">
        <f t="shared" si="11"/>
        <v>pv1</v>
      </c>
      <c r="EP9" s="2960" t="str">
        <f t="shared" si="11"/>
        <v>pv1</v>
      </c>
      <c r="EQ9" s="2960" t="str">
        <f t="shared" si="11"/>
        <v>pv1</v>
      </c>
      <c r="ER9" s="2960" t="str">
        <f t="shared" si="11"/>
        <v>pv1</v>
      </c>
      <c r="ES9" s="2960" t="str">
        <f t="shared" si="11"/>
        <v>pv1</v>
      </c>
      <c r="ET9" s="2960" t="s">
        <v>3557</v>
      </c>
      <c r="EU9" s="2960" t="str">
        <f>ET9</f>
        <v>pv2</v>
      </c>
      <c r="EV9" s="2960" t="str">
        <f t="shared" si="11"/>
        <v>pv2</v>
      </c>
      <c r="EW9" s="2960" t="str">
        <f t="shared" si="11"/>
        <v>pv2</v>
      </c>
      <c r="EX9" s="2960" t="str">
        <f>EW9</f>
        <v>pv2</v>
      </c>
      <c r="EY9" s="2960" t="str">
        <f t="shared" si="12"/>
        <v>pv2</v>
      </c>
      <c r="EZ9" s="2960" t="str">
        <f t="shared" si="12"/>
        <v>pv2</v>
      </c>
      <c r="FA9" s="2960" t="str">
        <f t="shared" si="12"/>
        <v>pv2</v>
      </c>
      <c r="FB9" s="2960" t="str">
        <f t="shared" si="12"/>
        <v>pv2</v>
      </c>
      <c r="FC9" s="2960" t="str">
        <f>FB9</f>
        <v>pv2</v>
      </c>
      <c r="FD9" s="2960" t="str">
        <f t="shared" si="12"/>
        <v>pv2</v>
      </c>
      <c r="FE9" s="2960" t="str">
        <f t="shared" si="12"/>
        <v>pv2</v>
      </c>
      <c r="FF9" s="2960" t="str">
        <f t="shared" si="12"/>
        <v>pv2</v>
      </c>
      <c r="FG9" s="2960" t="str">
        <f t="shared" si="12"/>
        <v>pv2</v>
      </c>
      <c r="FH9" s="2960" t="str">
        <f t="shared" si="12"/>
        <v>pv2</v>
      </c>
      <c r="FI9" s="2960" t="str">
        <f t="shared" si="12"/>
        <v>pv2</v>
      </c>
      <c r="FJ9" s="2960" t="s">
        <v>3558</v>
      </c>
      <c r="FK9" s="2960" t="str">
        <f>FJ9</f>
        <v>pv3</v>
      </c>
      <c r="FL9" s="2960" t="str">
        <f t="shared" si="12"/>
        <v>pv3</v>
      </c>
      <c r="FM9" s="2960" t="str">
        <f t="shared" si="12"/>
        <v>pv3</v>
      </c>
      <c r="FN9" s="2960" t="str">
        <f t="shared" si="12"/>
        <v>pv3</v>
      </c>
      <c r="FO9" s="2960" t="str">
        <f t="shared" si="13"/>
        <v>pv3</v>
      </c>
      <c r="FP9" s="2960" t="str">
        <f t="shared" si="13"/>
        <v>pv3</v>
      </c>
      <c r="FQ9" s="2960" t="str">
        <f t="shared" si="13"/>
        <v>pv3</v>
      </c>
      <c r="FR9" s="2960" t="str">
        <f t="shared" si="13"/>
        <v>pv3</v>
      </c>
      <c r="FS9" s="2960" t="str">
        <f t="shared" si="13"/>
        <v>pv3</v>
      </c>
      <c r="FT9" s="2960" t="str">
        <f t="shared" si="13"/>
        <v>pv3</v>
      </c>
      <c r="FU9" s="2960" t="str">
        <f t="shared" si="13"/>
        <v>pv3</v>
      </c>
      <c r="FV9" s="2960" t="str">
        <f t="shared" si="13"/>
        <v>pv3</v>
      </c>
      <c r="FW9" s="2960" t="str">
        <f t="shared" si="13"/>
        <v>pv3</v>
      </c>
      <c r="FX9" s="2960" t="s">
        <v>3555</v>
      </c>
      <c r="FY9" s="2960" t="str">
        <f>FX9</f>
        <v>pv1</v>
      </c>
      <c r="FZ9" s="2960" t="str">
        <f t="shared" si="14"/>
        <v>pv1</v>
      </c>
      <c r="GA9" s="2960" t="str">
        <f t="shared" si="14"/>
        <v>pv1</v>
      </c>
      <c r="GB9" s="2960" t="str">
        <f t="shared" si="14"/>
        <v>pv1</v>
      </c>
      <c r="GC9" s="2960" t="str">
        <f t="shared" si="14"/>
        <v>pv1</v>
      </c>
      <c r="GD9" s="2960" t="str">
        <f t="shared" si="14"/>
        <v>pv1</v>
      </c>
      <c r="GE9" s="2960" t="str">
        <f t="shared" si="14"/>
        <v>pv1</v>
      </c>
      <c r="GF9" s="2960" t="str">
        <f t="shared" si="14"/>
        <v>pv1</v>
      </c>
      <c r="GG9" s="2960" t="str">
        <f t="shared" si="14"/>
        <v>pv1</v>
      </c>
      <c r="GH9" s="2960" t="str">
        <f t="shared" si="14"/>
        <v>pv1</v>
      </c>
      <c r="GI9" s="2960" t="str">
        <f t="shared" si="14"/>
        <v>pv1</v>
      </c>
      <c r="GJ9" s="2960" t="str">
        <f t="shared" si="14"/>
        <v>pv1</v>
      </c>
      <c r="GK9" s="2960" t="str">
        <f t="shared" si="14"/>
        <v>pv1</v>
      </c>
      <c r="GL9" s="2960" t="str">
        <f t="shared" si="14"/>
        <v>pv1</v>
      </c>
      <c r="GM9" s="2960" t="str">
        <f t="shared" si="14"/>
        <v>pv1</v>
      </c>
      <c r="GN9" s="2960" t="str">
        <f t="shared" si="14"/>
        <v>pv1</v>
      </c>
      <c r="GO9" s="2960" t="str">
        <f t="shared" si="14"/>
        <v>pv1</v>
      </c>
      <c r="GP9" s="2960" t="str">
        <f t="shared" si="15"/>
        <v>pv1</v>
      </c>
      <c r="GQ9" s="2960" t="str">
        <f t="shared" si="15"/>
        <v>pv1</v>
      </c>
      <c r="GR9" s="2960" t="str">
        <f t="shared" si="15"/>
        <v>pv1</v>
      </c>
      <c r="GS9" s="2960" t="str">
        <f t="shared" si="15"/>
        <v>pv1</v>
      </c>
      <c r="GT9" s="2960" t="str">
        <f t="shared" si="15"/>
        <v>pv1</v>
      </c>
      <c r="GU9" s="2960" t="str">
        <f t="shared" si="15"/>
        <v>pv1</v>
      </c>
      <c r="GV9" s="2960" t="str">
        <f t="shared" si="15"/>
        <v>pv1</v>
      </c>
      <c r="GW9" s="2960" t="str">
        <f t="shared" si="15"/>
        <v>pv1</v>
      </c>
      <c r="GX9" s="2960" t="str">
        <f t="shared" si="15"/>
        <v>pv1</v>
      </c>
      <c r="GY9" s="2960" t="str">
        <f t="shared" si="15"/>
        <v>pv1</v>
      </c>
      <c r="GZ9" s="2960" t="str">
        <f t="shared" si="15"/>
        <v>pv1</v>
      </c>
      <c r="HA9" s="2960" t="str">
        <f t="shared" si="15"/>
        <v>pv1</v>
      </c>
      <c r="HB9" s="2960" t="str">
        <f t="shared" si="15"/>
        <v>pv1</v>
      </c>
      <c r="HC9" s="2960" t="str">
        <f t="shared" si="15"/>
        <v>pv1</v>
      </c>
      <c r="HD9" s="2960" t="str">
        <f t="shared" si="15"/>
        <v>pv1</v>
      </c>
      <c r="HE9" s="2960" t="str">
        <f t="shared" si="15"/>
        <v>pv1</v>
      </c>
      <c r="HF9" s="2960" t="s">
        <v>3557</v>
      </c>
      <c r="HG9" s="2960" t="str">
        <f>HF9</f>
        <v>pv2</v>
      </c>
      <c r="HH9" s="2960" t="str">
        <f t="shared" si="16"/>
        <v>pv2</v>
      </c>
      <c r="HI9" s="2960" t="str">
        <f t="shared" si="16"/>
        <v>pv2</v>
      </c>
      <c r="HJ9" s="2960" t="str">
        <f t="shared" si="16"/>
        <v>pv2</v>
      </c>
      <c r="HK9" s="2960" t="str">
        <f t="shared" si="16"/>
        <v>pv2</v>
      </c>
      <c r="HL9" s="2960" t="str">
        <f t="shared" si="16"/>
        <v>pv2</v>
      </c>
      <c r="HM9" s="2960" t="str">
        <f t="shared" si="16"/>
        <v>pv2</v>
      </c>
      <c r="HN9" s="2960" t="str">
        <f t="shared" si="16"/>
        <v>pv2</v>
      </c>
      <c r="HO9" s="2960" t="str">
        <f t="shared" si="16"/>
        <v>pv2</v>
      </c>
      <c r="HP9" s="2960" t="str">
        <f t="shared" si="16"/>
        <v>pv2</v>
      </c>
      <c r="HQ9" s="2960" t="str">
        <f t="shared" si="16"/>
        <v>pv2</v>
      </c>
      <c r="HR9" s="2960" t="str">
        <f t="shared" si="16"/>
        <v>pv2</v>
      </c>
      <c r="HS9" s="2960" t="str">
        <f t="shared" si="16"/>
        <v>pv2</v>
      </c>
      <c r="HT9" s="2960" t="str">
        <f t="shared" si="16"/>
        <v>pv2</v>
      </c>
      <c r="HU9" s="2960" t="str">
        <f t="shared" si="16"/>
        <v>pv2</v>
      </c>
      <c r="HV9" s="2960" t="str">
        <f t="shared" si="17"/>
        <v>pv2</v>
      </c>
      <c r="HW9" s="2960" t="str">
        <f t="shared" si="17"/>
        <v>pv2</v>
      </c>
      <c r="HX9" s="2960" t="str">
        <f t="shared" si="17"/>
        <v>pv2</v>
      </c>
      <c r="HY9" s="2960" t="str">
        <f t="shared" si="17"/>
        <v>pv2</v>
      </c>
      <c r="HZ9" s="2960" t="str">
        <f t="shared" si="17"/>
        <v>pv2</v>
      </c>
      <c r="IA9" s="2960" t="str">
        <f t="shared" si="17"/>
        <v>pv2</v>
      </c>
      <c r="IB9" s="2960" t="str">
        <f t="shared" si="17"/>
        <v>pv2</v>
      </c>
      <c r="IC9" s="2960" t="str">
        <f t="shared" si="17"/>
        <v>pv2</v>
      </c>
      <c r="ID9" s="2960" t="str">
        <f t="shared" si="17"/>
        <v>pv2</v>
      </c>
      <c r="IE9" s="2960" t="str">
        <f t="shared" si="17"/>
        <v>pv2</v>
      </c>
      <c r="IF9" s="2960" t="str">
        <f t="shared" si="17"/>
        <v>pv2</v>
      </c>
      <c r="IG9" s="2960" t="str">
        <f t="shared" si="17"/>
        <v>pv2</v>
      </c>
      <c r="IH9" s="2960" t="str">
        <f t="shared" si="17"/>
        <v>pv2</v>
      </c>
      <c r="II9" s="2960" t="str">
        <f t="shared" si="17"/>
        <v>pv2</v>
      </c>
      <c r="IJ9" s="2960" t="str">
        <f t="shared" si="17"/>
        <v>pv2</v>
      </c>
      <c r="IK9" s="2960" t="str">
        <f t="shared" si="17"/>
        <v>pv2</v>
      </c>
      <c r="IL9" s="2960" t="str">
        <f t="shared" si="18"/>
        <v>pv2</v>
      </c>
      <c r="IM9" s="2960" t="str">
        <f t="shared" si="18"/>
        <v>pv2</v>
      </c>
    </row>
    <row r="10" spans="1:247" s="2960" customFormat="1" ht="13.95" customHeight="1">
      <c r="A10" s="2960" t="s">
        <v>3562</v>
      </c>
      <c r="H10" s="2960" t="s">
        <v>3563</v>
      </c>
      <c r="I10" s="2960" t="str">
        <f>H10</f>
        <v>vr</v>
      </c>
      <c r="J10" s="2960" t="str">
        <f t="shared" si="1"/>
        <v>vr</v>
      </c>
      <c r="K10" s="2960" t="str">
        <f t="shared" si="1"/>
        <v>vr</v>
      </c>
      <c r="L10" s="2960" t="str">
        <f t="shared" si="1"/>
        <v>vr</v>
      </c>
      <c r="M10" s="2960" t="str">
        <f t="shared" si="1"/>
        <v>vr</v>
      </c>
      <c r="N10" s="2960" t="s">
        <v>3564</v>
      </c>
      <c r="O10" s="2960" t="str">
        <f t="shared" si="1"/>
        <v>inv</v>
      </c>
      <c r="P10" s="2960" t="str">
        <f t="shared" si="1"/>
        <v>inv</v>
      </c>
      <c r="Q10" s="2960" t="str">
        <f t="shared" si="2"/>
        <v>inv</v>
      </c>
      <c r="R10" s="2960" t="str">
        <f t="shared" si="2"/>
        <v>inv</v>
      </c>
      <c r="S10" s="2960" t="str">
        <f t="shared" si="1"/>
        <v>inv</v>
      </c>
      <c r="T10" s="2960" t="str">
        <f t="shared" si="1"/>
        <v>inv</v>
      </c>
      <c r="U10" s="2960" t="str">
        <f>S10</f>
        <v>inv</v>
      </c>
      <c r="V10" s="2960" t="s">
        <v>3565</v>
      </c>
      <c r="W10" s="2960" t="str">
        <f t="shared" si="1"/>
        <v>cvi</v>
      </c>
      <c r="X10" s="2960" t="str">
        <f t="shared" si="1"/>
        <v>cvi</v>
      </c>
      <c r="Y10" s="2960" t="str">
        <f t="shared" si="1"/>
        <v>cvi</v>
      </c>
      <c r="Z10" s="2960" t="s">
        <v>3566</v>
      </c>
      <c r="AA10" s="2960" t="str">
        <f t="shared" si="3"/>
        <v>rq1</v>
      </c>
      <c r="AB10" s="2960" t="s">
        <v>3567</v>
      </c>
      <c r="AC10" s="2960" t="str">
        <f t="shared" si="3"/>
        <v>amp</v>
      </c>
      <c r="AD10" s="2960" t="str">
        <f t="shared" si="3"/>
        <v>amp</v>
      </c>
      <c r="AE10" s="2960" t="str">
        <f t="shared" si="3"/>
        <v>amp</v>
      </c>
      <c r="AF10" s="2960" t="str">
        <f t="shared" si="3"/>
        <v>amp</v>
      </c>
      <c r="AG10" s="2960" t="str">
        <f t="shared" si="3"/>
        <v>amp</v>
      </c>
      <c r="AH10" s="2960" t="s">
        <v>3568</v>
      </c>
      <c r="AI10" s="2960" t="str">
        <f t="shared" si="3"/>
        <v>ss1</v>
      </c>
      <c r="AJ10" s="2960" t="str">
        <f t="shared" si="3"/>
        <v>ss1</v>
      </c>
      <c r="AK10" s="2960" t="str">
        <f t="shared" si="3"/>
        <v>ss1</v>
      </c>
      <c r="AL10" s="2960" t="str">
        <f t="shared" si="3"/>
        <v>ss1</v>
      </c>
      <c r="AM10" s="2960" t="str">
        <f t="shared" si="3"/>
        <v>ss1</v>
      </c>
      <c r="AN10" s="2960" t="str">
        <f t="shared" si="3"/>
        <v>ss1</v>
      </c>
      <c r="AO10" s="2960" t="str">
        <f t="shared" si="3"/>
        <v>ss1</v>
      </c>
      <c r="AP10" s="2960" t="str">
        <f t="shared" si="4"/>
        <v>ss1</v>
      </c>
      <c r="AQ10" s="2960" t="str">
        <f t="shared" si="4"/>
        <v>ss1</v>
      </c>
      <c r="AR10" s="2960" t="str">
        <f t="shared" si="4"/>
        <v>ss1</v>
      </c>
      <c r="AS10" s="2960" t="str">
        <f t="shared" si="4"/>
        <v>ss1</v>
      </c>
      <c r="AT10" s="2960" t="str">
        <f t="shared" si="4"/>
        <v>ss1</v>
      </c>
      <c r="AU10" s="2960" t="str">
        <f t="shared" si="4"/>
        <v>ss1</v>
      </c>
      <c r="AV10" s="2960" t="s">
        <v>3569</v>
      </c>
      <c r="AW10" s="2960" t="str">
        <f t="shared" si="4"/>
        <v>ss2</v>
      </c>
      <c r="AX10" s="2960" t="str">
        <f t="shared" si="4"/>
        <v>ss2</v>
      </c>
      <c r="AY10" s="2960" t="str">
        <f t="shared" si="4"/>
        <v>ss2</v>
      </c>
      <c r="AZ10" s="2960" t="str">
        <f t="shared" si="4"/>
        <v>ss2</v>
      </c>
      <c r="BA10" s="2960" t="str">
        <f t="shared" si="4"/>
        <v>ss2</v>
      </c>
      <c r="BB10" s="2960" t="str">
        <f t="shared" si="4"/>
        <v>ss2</v>
      </c>
      <c r="BC10" s="2960" t="str">
        <f t="shared" si="4"/>
        <v>ss2</v>
      </c>
      <c r="BD10" s="2960" t="str">
        <f t="shared" si="4"/>
        <v>ss2</v>
      </c>
      <c r="BE10" s="2960" t="str">
        <f t="shared" si="4"/>
        <v>ss2</v>
      </c>
      <c r="BF10" s="2960" t="str">
        <f t="shared" si="5"/>
        <v>ss2</v>
      </c>
      <c r="BG10" s="2960" t="str">
        <f t="shared" si="5"/>
        <v>ss2</v>
      </c>
      <c r="BH10" s="2960" t="str">
        <f t="shared" si="5"/>
        <v>ss2</v>
      </c>
      <c r="BI10" s="2960" t="str">
        <f t="shared" si="5"/>
        <v>ss2</v>
      </c>
      <c r="BQ10" s="2960" t="s">
        <v>3570</v>
      </c>
      <c r="BR10" s="2960" t="str">
        <f>BQ10</f>
        <v>iperf</v>
      </c>
      <c r="BS10" s="2960" t="str">
        <f t="shared" si="7"/>
        <v>iperf</v>
      </c>
      <c r="BT10" s="2960" t="str">
        <f t="shared" si="7"/>
        <v>iperf</v>
      </c>
      <c r="BU10" s="2960" t="str">
        <f t="shared" si="7"/>
        <v>iperf</v>
      </c>
      <c r="BV10" s="2960" t="str">
        <f t="shared" si="7"/>
        <v>iperf</v>
      </c>
      <c r="BW10" s="2960" t="str">
        <f t="shared" si="7"/>
        <v>iperf</v>
      </c>
      <c r="BX10" s="2960" t="str">
        <f t="shared" si="7"/>
        <v>iperf</v>
      </c>
      <c r="BY10" s="2960" t="str">
        <f t="shared" si="7"/>
        <v>iperf</v>
      </c>
      <c r="BZ10" s="2960" t="str">
        <f t="shared" si="7"/>
        <v>iperf</v>
      </c>
      <c r="CA10" s="2960" t="s">
        <v>3571</v>
      </c>
      <c r="CB10" s="2960" t="str">
        <f t="shared" ref="CB10" si="19">CA10</f>
        <v>prioperf</v>
      </c>
      <c r="CC10" s="2960" t="str">
        <f t="shared" si="6"/>
        <v>prioperf</v>
      </c>
      <c r="CD10" s="2960" t="str">
        <f t="shared" si="6"/>
        <v>prioperf</v>
      </c>
      <c r="CE10" s="2960" t="str">
        <f t="shared" si="6"/>
        <v>prioperf</v>
      </c>
      <c r="CF10" s="2960" t="str">
        <f t="shared" si="6"/>
        <v>prioperf</v>
      </c>
      <c r="CG10" s="2960" t="str">
        <f t="shared" si="6"/>
        <v>prioperf</v>
      </c>
      <c r="CH10" s="2960" t="str">
        <f t="shared" si="6"/>
        <v>prioperf</v>
      </c>
      <c r="CI10" s="2960" t="str">
        <f t="shared" si="6"/>
        <v>prioperf</v>
      </c>
      <c r="CJ10" s="2960" t="str">
        <f t="shared" si="6"/>
        <v>prioperf</v>
      </c>
      <c r="CK10" s="2960" t="s">
        <v>3572</v>
      </c>
      <c r="CL10" s="2960" t="str">
        <f t="shared" ref="CL10:CQ10" si="20">CK10</f>
        <v>catchg</v>
      </c>
      <c r="CM10" s="2960" t="str">
        <f t="shared" si="20"/>
        <v>catchg</v>
      </c>
      <c r="CN10" s="2960" t="str">
        <f t="shared" si="20"/>
        <v>catchg</v>
      </c>
      <c r="CO10" s="2960" t="str">
        <f t="shared" si="20"/>
        <v>catchg</v>
      </c>
      <c r="CP10" s="2960" t="str">
        <f t="shared" si="20"/>
        <v>catchg</v>
      </c>
      <c r="CQ10" s="2960" t="str">
        <f t="shared" si="20"/>
        <v>catchg</v>
      </c>
      <c r="CR10" s="2960" t="s">
        <v>3573</v>
      </c>
      <c r="CS10" s="2960" t="str">
        <f t="shared" ref="CS10:DH11" si="21">CR10</f>
        <v>catrisq</v>
      </c>
      <c r="CT10" s="2960" t="str">
        <f t="shared" si="21"/>
        <v>catrisq</v>
      </c>
      <c r="CU10" s="2960" t="str">
        <f t="shared" si="21"/>
        <v>catrisq</v>
      </c>
      <c r="CV10" s="2960" t="str">
        <f t="shared" si="21"/>
        <v>catrisq</v>
      </c>
      <c r="CW10" s="2960" t="str">
        <f t="shared" si="21"/>
        <v>catrisq</v>
      </c>
      <c r="CX10" s="2960" t="str">
        <f t="shared" si="21"/>
        <v>catrisq</v>
      </c>
      <c r="CY10" s="2960" t="s">
        <v>3574</v>
      </c>
      <c r="CZ10" s="2960" t="str">
        <f t="shared" si="21"/>
        <v>nca</v>
      </c>
      <c r="DA10" s="2960" t="str">
        <f t="shared" si="21"/>
        <v>nca</v>
      </c>
      <c r="DB10" s="2960" t="str">
        <f t="shared" si="21"/>
        <v>nca</v>
      </c>
      <c r="DC10" s="2960" t="str">
        <f t="shared" si="21"/>
        <v>nca</v>
      </c>
      <c r="DD10" s="2960" t="str">
        <f t="shared" si="21"/>
        <v>nca</v>
      </c>
      <c r="DE10" s="2960" t="str">
        <f t="shared" si="21"/>
        <v>nca</v>
      </c>
      <c r="DF10" s="2960" t="str">
        <f t="shared" si="21"/>
        <v>nca</v>
      </c>
      <c r="DG10" s="2960" t="str">
        <f t="shared" si="21"/>
        <v>nca</v>
      </c>
      <c r="DH10" s="2960" t="str">
        <f t="shared" si="21"/>
        <v>nca</v>
      </c>
      <c r="DI10" s="2960" t="str">
        <f t="shared" si="9"/>
        <v>nca</v>
      </c>
      <c r="DJ10" s="2960" t="str">
        <f t="shared" si="9"/>
        <v>nca</v>
      </c>
      <c r="DK10" s="2960" t="str">
        <f t="shared" si="9"/>
        <v>nca</v>
      </c>
      <c r="DL10" s="2960" t="str">
        <f t="shared" si="9"/>
        <v>nca</v>
      </c>
      <c r="DM10" s="2960" t="str">
        <f t="shared" si="9"/>
        <v>nca</v>
      </c>
      <c r="DN10" s="2960" t="str">
        <f t="shared" si="9"/>
        <v>nca</v>
      </c>
      <c r="DO10" s="2960" t="s">
        <v>3575</v>
      </c>
      <c r="DP10" s="2960" t="str">
        <f t="shared" si="9"/>
        <v>rb10</v>
      </c>
      <c r="DQ10" s="2960" t="str">
        <f t="shared" si="10"/>
        <v>rb10</v>
      </c>
      <c r="DR10" s="2960" t="str">
        <f t="shared" si="10"/>
        <v>rb10</v>
      </c>
      <c r="DS10" s="2960" t="str">
        <f t="shared" si="10"/>
        <v>rb10</v>
      </c>
      <c r="DT10" s="2960" t="s">
        <v>3576</v>
      </c>
      <c r="DU10" s="2960" t="str">
        <f t="shared" si="10"/>
        <v>fonc</v>
      </c>
      <c r="DV10" s="2960" t="str">
        <f t="shared" si="10"/>
        <v>fonc</v>
      </c>
      <c r="DW10" s="2960" t="str">
        <f t="shared" si="10"/>
        <v>fonc</v>
      </c>
      <c r="DX10" s="2960" t="str">
        <f t="shared" si="10"/>
        <v>fonc</v>
      </c>
      <c r="DY10" s="2960" t="str">
        <f t="shared" si="10"/>
        <v>fonc</v>
      </c>
      <c r="DZ10" s="2960" t="s">
        <v>3577</v>
      </c>
      <c r="EA10" s="2960" t="str">
        <f t="shared" si="10"/>
        <v>immo</v>
      </c>
      <c r="EB10" s="2960" t="str">
        <f t="shared" si="10"/>
        <v>immo</v>
      </c>
      <c r="EC10" s="2960" t="str">
        <f t="shared" si="10"/>
        <v>immo</v>
      </c>
      <c r="ED10" s="2960" t="str">
        <f t="shared" si="10"/>
        <v>immo</v>
      </c>
      <c r="EE10" s="2960" t="str">
        <f t="shared" si="10"/>
        <v>immo</v>
      </c>
      <c r="EG10" s="2960">
        <f t="shared" ref="EG10:EV11" si="22">EF10</f>
        <v>0</v>
      </c>
      <c r="EH10" s="2960">
        <f t="shared" si="22"/>
        <v>0</v>
      </c>
      <c r="EI10" s="2960">
        <f t="shared" si="22"/>
        <v>0</v>
      </c>
      <c r="EJ10" s="2960">
        <f t="shared" si="22"/>
        <v>0</v>
      </c>
      <c r="EK10" s="2960">
        <f t="shared" si="22"/>
        <v>0</v>
      </c>
      <c r="EL10" s="2960">
        <f t="shared" si="22"/>
        <v>0</v>
      </c>
      <c r="EM10" s="2960">
        <f t="shared" si="22"/>
        <v>0</v>
      </c>
      <c r="EN10" s="2960">
        <f t="shared" si="22"/>
        <v>0</v>
      </c>
      <c r="EO10" s="2960">
        <f t="shared" si="22"/>
        <v>0</v>
      </c>
      <c r="EP10" s="2960" t="s">
        <v>3578</v>
      </c>
      <c r="EQ10" s="2960" t="str">
        <f t="shared" si="22"/>
        <v>conf</v>
      </c>
      <c r="ER10" s="2960" t="str">
        <f t="shared" si="22"/>
        <v>conf</v>
      </c>
      <c r="ES10" s="2960" t="str">
        <f t="shared" si="22"/>
        <v>conf</v>
      </c>
      <c r="FF10" s="2960" t="s">
        <v>3578</v>
      </c>
      <c r="FG10" s="2960" t="str">
        <f t="shared" si="12"/>
        <v>conf</v>
      </c>
      <c r="FH10" s="2960" t="str">
        <f t="shared" si="12"/>
        <v>conf</v>
      </c>
      <c r="FI10" s="2960" t="str">
        <f t="shared" si="12"/>
        <v>conf</v>
      </c>
      <c r="FT10" s="2960" t="s">
        <v>3578</v>
      </c>
      <c r="FU10" s="2960" t="str">
        <f t="shared" si="13"/>
        <v>conf</v>
      </c>
      <c r="FV10" s="2960" t="str">
        <f t="shared" si="13"/>
        <v>conf</v>
      </c>
      <c r="FW10" s="2960" t="str">
        <f t="shared" si="13"/>
        <v>conf</v>
      </c>
      <c r="FX10" s="2960" t="s">
        <v>3568</v>
      </c>
      <c r="FY10" s="2960" t="str">
        <f t="shared" ref="FY10:GM11" si="23">FX10</f>
        <v>ss1</v>
      </c>
      <c r="FZ10" s="2960" t="str">
        <f t="shared" si="23"/>
        <v>ss1</v>
      </c>
      <c r="GA10" s="2960" t="str">
        <f t="shared" si="23"/>
        <v>ss1</v>
      </c>
      <c r="GB10" s="2960" t="str">
        <f t="shared" si="23"/>
        <v>ss1</v>
      </c>
      <c r="GC10" s="2960" t="str">
        <f t="shared" si="23"/>
        <v>ss1</v>
      </c>
      <c r="GD10" s="2960" t="str">
        <f t="shared" si="23"/>
        <v>ss1</v>
      </c>
      <c r="GE10" s="2960" t="str">
        <f t="shared" si="23"/>
        <v>ss1</v>
      </c>
      <c r="GF10" s="2960" t="str">
        <f t="shared" si="23"/>
        <v>ss1</v>
      </c>
      <c r="GG10" s="2960" t="str">
        <f t="shared" si="23"/>
        <v>ss1</v>
      </c>
      <c r="GH10" s="2960" t="str">
        <f t="shared" si="23"/>
        <v>ss1</v>
      </c>
      <c r="GI10" s="2960" t="str">
        <f t="shared" si="23"/>
        <v>ss1</v>
      </c>
      <c r="GJ10" s="2960" t="str">
        <f t="shared" si="23"/>
        <v>ss1</v>
      </c>
      <c r="GK10" s="2960" t="str">
        <f t="shared" si="23"/>
        <v>ss1</v>
      </c>
      <c r="GL10" s="2960" t="str">
        <f t="shared" si="23"/>
        <v>ss1</v>
      </c>
      <c r="GM10" s="2960" t="str">
        <f t="shared" si="23"/>
        <v>ss1</v>
      </c>
      <c r="GN10" s="2960" t="s">
        <v>3569</v>
      </c>
      <c r="GO10" s="2960" t="str">
        <f t="shared" si="14"/>
        <v>ss2</v>
      </c>
      <c r="GP10" s="2960" t="str">
        <f t="shared" si="15"/>
        <v>ss2</v>
      </c>
      <c r="GQ10" s="2960" t="str">
        <f t="shared" si="15"/>
        <v>ss2</v>
      </c>
      <c r="GR10" s="2960" t="str">
        <f t="shared" si="15"/>
        <v>ss2</v>
      </c>
      <c r="GS10" s="2960" t="str">
        <f t="shared" si="15"/>
        <v>ss2</v>
      </c>
      <c r="GT10" s="2960" t="str">
        <f t="shared" si="15"/>
        <v>ss2</v>
      </c>
      <c r="GU10" s="2960" t="str">
        <f t="shared" si="15"/>
        <v>ss2</v>
      </c>
      <c r="GV10" s="2960" t="str">
        <f t="shared" si="15"/>
        <v>ss2</v>
      </c>
      <c r="GW10" s="2960" t="str">
        <f t="shared" si="15"/>
        <v>ss2</v>
      </c>
      <c r="GX10" s="2960" t="str">
        <f t="shared" si="15"/>
        <v>ss2</v>
      </c>
      <c r="GY10" s="2960" t="str">
        <f t="shared" si="15"/>
        <v>ss2</v>
      </c>
      <c r="GZ10" s="2960" t="str">
        <f t="shared" si="15"/>
        <v>ss2</v>
      </c>
      <c r="HA10" s="2960" t="str">
        <f t="shared" si="15"/>
        <v>ss2</v>
      </c>
      <c r="HB10" s="2960" t="str">
        <f t="shared" si="15"/>
        <v>ss2</v>
      </c>
      <c r="HC10" s="2960" t="str">
        <f t="shared" si="15"/>
        <v>ss2</v>
      </c>
      <c r="HF10" s="2960" t="s">
        <v>3568</v>
      </c>
      <c r="HG10" s="2960" t="str">
        <f t="shared" ref="HG10:HQ11" si="24">HF10</f>
        <v>ss1</v>
      </c>
      <c r="HH10" s="2960" t="str">
        <f t="shared" si="24"/>
        <v>ss1</v>
      </c>
      <c r="HI10" s="2960" t="str">
        <f t="shared" si="24"/>
        <v>ss1</v>
      </c>
      <c r="HJ10" s="2960" t="str">
        <f t="shared" si="24"/>
        <v>ss1</v>
      </c>
      <c r="HK10" s="2960" t="str">
        <f t="shared" si="24"/>
        <v>ss1</v>
      </c>
      <c r="HL10" s="2960" t="str">
        <f t="shared" si="24"/>
        <v>ss1</v>
      </c>
      <c r="HM10" s="2960" t="str">
        <f t="shared" si="24"/>
        <v>ss1</v>
      </c>
      <c r="HN10" s="2960" t="str">
        <f t="shared" si="24"/>
        <v>ss1</v>
      </c>
      <c r="HO10" s="2960" t="str">
        <f t="shared" si="24"/>
        <v>ss1</v>
      </c>
      <c r="HP10" s="2960" t="str">
        <f t="shared" si="24"/>
        <v>ss1</v>
      </c>
      <c r="HQ10" s="2960" t="str">
        <f t="shared" si="24"/>
        <v>ss1</v>
      </c>
      <c r="HR10" s="2960" t="str">
        <f t="shared" si="16"/>
        <v>ss1</v>
      </c>
      <c r="HS10" s="2960" t="str">
        <f t="shared" si="16"/>
        <v>ss1</v>
      </c>
      <c r="HT10" s="2960" t="str">
        <f t="shared" si="16"/>
        <v>ss1</v>
      </c>
      <c r="HU10" s="2960" t="str">
        <f t="shared" si="16"/>
        <v>ss1</v>
      </c>
      <c r="HV10" s="2960" t="s">
        <v>3569</v>
      </c>
      <c r="HW10" s="2960" t="str">
        <f t="shared" si="17"/>
        <v>ss2</v>
      </c>
      <c r="HX10" s="2960" t="str">
        <f t="shared" si="17"/>
        <v>ss2</v>
      </c>
      <c r="HY10" s="2960" t="str">
        <f t="shared" si="17"/>
        <v>ss2</v>
      </c>
      <c r="HZ10" s="2960" t="str">
        <f t="shared" si="17"/>
        <v>ss2</v>
      </c>
      <c r="IA10" s="2960" t="str">
        <f t="shared" si="17"/>
        <v>ss2</v>
      </c>
      <c r="IB10" s="2960" t="str">
        <f t="shared" si="17"/>
        <v>ss2</v>
      </c>
      <c r="IC10" s="2960" t="str">
        <f t="shared" si="17"/>
        <v>ss2</v>
      </c>
      <c r="ID10" s="2960" t="str">
        <f t="shared" si="17"/>
        <v>ss2</v>
      </c>
      <c r="IE10" s="2960" t="str">
        <f t="shared" si="17"/>
        <v>ss2</v>
      </c>
      <c r="IF10" s="2960" t="str">
        <f t="shared" si="17"/>
        <v>ss2</v>
      </c>
      <c r="IG10" s="2960" t="str">
        <f t="shared" si="17"/>
        <v>ss2</v>
      </c>
      <c r="IH10" s="2960" t="str">
        <f t="shared" si="17"/>
        <v>ss2</v>
      </c>
      <c r="II10" s="2960" t="str">
        <f t="shared" si="17"/>
        <v>ss2</v>
      </c>
      <c r="IJ10" s="2960" t="str">
        <f t="shared" si="17"/>
        <v>ss2</v>
      </c>
      <c r="IK10" s="2960" t="str">
        <f t="shared" si="17"/>
        <v>ss2</v>
      </c>
    </row>
    <row r="11" spans="1:247" s="2960" customFormat="1" ht="13.95" customHeight="1">
      <c r="A11" s="2960" t="s">
        <v>3579</v>
      </c>
      <c r="H11" s="2960" t="s">
        <v>3568</v>
      </c>
      <c r="I11" s="2960" t="str">
        <f>H11</f>
        <v>ss1</v>
      </c>
      <c r="J11" s="2960" t="str">
        <f t="shared" si="1"/>
        <v>ss1</v>
      </c>
      <c r="K11" s="2960" t="s">
        <v>3569</v>
      </c>
      <c r="L11" s="2960" t="str">
        <f t="shared" si="1"/>
        <v>ss2</v>
      </c>
      <c r="M11" s="2960" t="str">
        <f t="shared" si="1"/>
        <v>ss2</v>
      </c>
      <c r="N11" s="2960" t="s">
        <v>3568</v>
      </c>
      <c r="O11" s="2960" t="str">
        <f t="shared" si="1"/>
        <v>ss1</v>
      </c>
      <c r="P11" s="2960" t="str">
        <f t="shared" si="1"/>
        <v>ss1</v>
      </c>
      <c r="Q11" s="2960" t="str">
        <f>P11</f>
        <v>ss1</v>
      </c>
      <c r="R11" s="2960" t="s">
        <v>3569</v>
      </c>
      <c r="S11" s="2960" t="str">
        <f t="shared" si="1"/>
        <v>ss2</v>
      </c>
      <c r="T11" s="2960" t="str">
        <f t="shared" si="1"/>
        <v>ss2</v>
      </c>
      <c r="U11" s="2960" t="str">
        <f>T11</f>
        <v>ss2</v>
      </c>
      <c r="V11" s="2960" t="s">
        <v>3568</v>
      </c>
      <c r="W11" s="2960" t="str">
        <f t="shared" si="1"/>
        <v>ss1</v>
      </c>
      <c r="X11" s="2960" t="s">
        <v>3569</v>
      </c>
      <c r="Y11" s="2960" t="str">
        <f t="shared" si="1"/>
        <v>ss2</v>
      </c>
      <c r="Z11" s="2960" t="s">
        <v>3568</v>
      </c>
      <c r="AA11" s="2960" t="s">
        <v>3569</v>
      </c>
      <c r="AB11" s="2960" t="s">
        <v>3568</v>
      </c>
      <c r="AC11" s="2960" t="str">
        <f t="shared" si="3"/>
        <v>ss1</v>
      </c>
      <c r="AD11" s="2960" t="str">
        <f t="shared" si="3"/>
        <v>ss1</v>
      </c>
      <c r="AE11" s="2960" t="s">
        <v>3569</v>
      </c>
      <c r="AF11" s="2960" t="str">
        <f t="shared" si="3"/>
        <v>ss2</v>
      </c>
      <c r="AG11" s="2960" t="str">
        <f t="shared" si="3"/>
        <v>ss2</v>
      </c>
      <c r="AH11" s="2960" t="s">
        <v>3580</v>
      </c>
      <c r="AI11" s="2960" t="str">
        <f t="shared" si="3"/>
        <v>line</v>
      </c>
      <c r="AJ11" s="2960" t="str">
        <f t="shared" si="3"/>
        <v>line</v>
      </c>
      <c r="AK11" s="2960" t="str">
        <f t="shared" si="3"/>
        <v>line</v>
      </c>
      <c r="AL11" s="2960" t="str">
        <f t="shared" si="3"/>
        <v>line</v>
      </c>
      <c r="AM11" s="2960" t="str">
        <f t="shared" si="3"/>
        <v>line</v>
      </c>
      <c r="AN11" s="2960" t="str">
        <f t="shared" si="3"/>
        <v>line</v>
      </c>
      <c r="AO11" s="2960" t="s">
        <v>3581</v>
      </c>
      <c r="AP11" s="2960" t="str">
        <f t="shared" si="4"/>
        <v>ponc</v>
      </c>
      <c r="AQ11" s="2960" t="str">
        <f t="shared" si="4"/>
        <v>ponc</v>
      </c>
      <c r="AR11" s="2960" t="str">
        <f t="shared" si="4"/>
        <v>ponc</v>
      </c>
      <c r="AS11" s="2960" t="str">
        <f t="shared" si="4"/>
        <v>ponc</v>
      </c>
      <c r="AT11" s="2960" t="str">
        <f t="shared" si="4"/>
        <v>ponc</v>
      </c>
      <c r="AU11" s="2960" t="str">
        <f t="shared" si="4"/>
        <v>ponc</v>
      </c>
      <c r="AV11" s="2960" t="s">
        <v>3580</v>
      </c>
      <c r="AW11" s="2960" t="str">
        <f t="shared" si="4"/>
        <v>line</v>
      </c>
      <c r="AX11" s="2960" t="str">
        <f t="shared" si="4"/>
        <v>line</v>
      </c>
      <c r="AY11" s="2960" t="str">
        <f t="shared" si="4"/>
        <v>line</v>
      </c>
      <c r="AZ11" s="2960" t="str">
        <f t="shared" si="4"/>
        <v>line</v>
      </c>
      <c r="BA11" s="2960" t="str">
        <f t="shared" si="4"/>
        <v>line</v>
      </c>
      <c r="BB11" s="2960" t="str">
        <f t="shared" si="4"/>
        <v>line</v>
      </c>
      <c r="BC11" s="2960" t="s">
        <v>3581</v>
      </c>
      <c r="BD11" s="2960" t="str">
        <f t="shared" si="4"/>
        <v>ponc</v>
      </c>
      <c r="BE11" s="2960" t="str">
        <f t="shared" si="4"/>
        <v>ponc</v>
      </c>
      <c r="BF11" s="2960" t="str">
        <f t="shared" si="5"/>
        <v>ponc</v>
      </c>
      <c r="BG11" s="2960" t="str">
        <f t="shared" si="5"/>
        <v>ponc</v>
      </c>
      <c r="BH11" s="2960" t="str">
        <f t="shared" si="5"/>
        <v>ponc</v>
      </c>
      <c r="BI11" s="2960" t="str">
        <f t="shared" si="5"/>
        <v>ponc</v>
      </c>
      <c r="BJ11" s="2960" t="s">
        <v>3582</v>
      </c>
      <c r="BK11" s="2960" t="str">
        <f>BJ11</f>
        <v>emns</v>
      </c>
      <c r="BL11" s="2960" t="str">
        <f t="shared" ref="BL11:BO11" si="25">BK11</f>
        <v>emns</v>
      </c>
      <c r="BM11" s="2960" t="str">
        <f t="shared" si="25"/>
        <v>emns</v>
      </c>
      <c r="BN11" s="2960" t="str">
        <f t="shared" si="25"/>
        <v>emns</v>
      </c>
      <c r="BO11" s="2960" t="str">
        <f t="shared" si="25"/>
        <v>emns</v>
      </c>
      <c r="BP11" s="2960" t="s">
        <v>3578</v>
      </c>
      <c r="BQ11" s="2960" t="s">
        <v>3583</v>
      </c>
      <c r="BR11" s="2960" t="s">
        <v>3584</v>
      </c>
      <c r="BS11" s="2960" t="s">
        <v>3585</v>
      </c>
      <c r="BT11" s="2960" t="s">
        <v>3586</v>
      </c>
      <c r="BU11" s="2960" t="s">
        <v>3587</v>
      </c>
      <c r="BV11" s="2960" t="s">
        <v>3588</v>
      </c>
      <c r="BW11" s="2960" t="s">
        <v>3589</v>
      </c>
      <c r="BX11" s="2960" t="s">
        <v>3590</v>
      </c>
      <c r="BY11" s="2960" t="s">
        <v>3591</v>
      </c>
      <c r="BZ11" s="2960" t="s">
        <v>3578</v>
      </c>
      <c r="CA11" s="2960" t="s">
        <v>3583</v>
      </c>
      <c r="CB11" s="2960" t="s">
        <v>3592</v>
      </c>
      <c r="CC11" s="2960" t="s">
        <v>3593</v>
      </c>
      <c r="CD11" s="2960" t="s">
        <v>3586</v>
      </c>
      <c r="CE11" s="2960" t="s">
        <v>3594</v>
      </c>
      <c r="CF11" s="2960" t="s">
        <v>3595</v>
      </c>
      <c r="CG11" s="2960" t="s">
        <v>3589</v>
      </c>
      <c r="CH11" s="2960" t="s">
        <v>3596</v>
      </c>
      <c r="CI11" s="2960" t="s">
        <v>3597</v>
      </c>
      <c r="CJ11" s="2960" t="s">
        <v>3578</v>
      </c>
      <c r="CK11" s="2960" t="s">
        <v>3598</v>
      </c>
      <c r="CL11" s="2960" t="s">
        <v>3599</v>
      </c>
      <c r="CM11" s="2960" t="s">
        <v>3600</v>
      </c>
      <c r="CN11" s="2960" t="s">
        <v>3601</v>
      </c>
      <c r="CO11" s="2960" t="s">
        <v>3602</v>
      </c>
      <c r="CP11" s="2960" t="s">
        <v>42</v>
      </c>
      <c r="CQ11" s="2960" t="s">
        <v>3578</v>
      </c>
      <c r="CR11" s="2960" t="s">
        <v>42</v>
      </c>
      <c r="CS11" s="2960" t="s">
        <v>3603</v>
      </c>
      <c r="CT11" s="2960" t="s">
        <v>3604</v>
      </c>
      <c r="CU11" s="2960" t="s">
        <v>3605</v>
      </c>
      <c r="CV11" s="2960" t="s">
        <v>3606</v>
      </c>
      <c r="CW11" s="2960" t="s">
        <v>3607</v>
      </c>
      <c r="CX11" s="2960" t="s">
        <v>3578</v>
      </c>
      <c r="CY11" s="2960" t="s">
        <v>3568</v>
      </c>
      <c r="CZ11" s="2960" t="str">
        <f t="shared" si="21"/>
        <v>ss1</v>
      </c>
      <c r="DA11" s="2960" t="str">
        <f t="shared" si="21"/>
        <v>ss1</v>
      </c>
      <c r="DB11" s="2960" t="str">
        <f t="shared" si="21"/>
        <v>ss1</v>
      </c>
      <c r="DC11" s="2960" t="str">
        <f t="shared" si="21"/>
        <v>ss1</v>
      </c>
      <c r="DD11" s="2960" t="str">
        <f t="shared" si="21"/>
        <v>ss1</v>
      </c>
      <c r="DE11" s="2960" t="str">
        <f t="shared" si="21"/>
        <v>ss1</v>
      </c>
      <c r="DF11" s="2960" t="str">
        <f t="shared" si="21"/>
        <v>ss1</v>
      </c>
      <c r="DG11" s="2960" t="s">
        <v>3569</v>
      </c>
      <c r="DH11" s="2960" t="str">
        <f t="shared" si="21"/>
        <v>ss2</v>
      </c>
      <c r="DI11" s="2960" t="str">
        <f t="shared" si="9"/>
        <v>ss2</v>
      </c>
      <c r="DJ11" s="2960" t="str">
        <f t="shared" si="9"/>
        <v>ss2</v>
      </c>
      <c r="DK11" s="2960" t="str">
        <f t="shared" si="9"/>
        <v>ss2</v>
      </c>
      <c r="DL11" s="2960" t="str">
        <f t="shared" si="9"/>
        <v>ss2</v>
      </c>
      <c r="DM11" s="2960" t="str">
        <f t="shared" si="9"/>
        <v>ss2</v>
      </c>
      <c r="DN11" s="2960" t="str">
        <f t="shared" si="9"/>
        <v>ss2</v>
      </c>
      <c r="DO11" s="2960" t="s">
        <v>3608</v>
      </c>
      <c r="DP11" s="2960" t="str">
        <f t="shared" si="9"/>
        <v>cmaint</v>
      </c>
      <c r="DQ11" s="2960" t="s">
        <v>3609</v>
      </c>
      <c r="DR11" s="2960" t="s">
        <v>3610</v>
      </c>
      <c r="DS11" s="2960" t="str">
        <f t="shared" si="10"/>
        <v>cadd</v>
      </c>
      <c r="DT11" s="2960" t="s">
        <v>3568</v>
      </c>
      <c r="DU11" s="2960" t="str">
        <f t="shared" si="10"/>
        <v>ss1</v>
      </c>
      <c r="DV11" s="2960" t="str">
        <f t="shared" si="10"/>
        <v>ss1</v>
      </c>
      <c r="DW11" s="2960" t="s">
        <v>3569</v>
      </c>
      <c r="DX11" s="2960" t="str">
        <f t="shared" si="10"/>
        <v>ss2</v>
      </c>
      <c r="DY11" s="2960" t="str">
        <f t="shared" si="10"/>
        <v>ss2</v>
      </c>
      <c r="DZ11" s="2960" t="s">
        <v>3568</v>
      </c>
      <c r="EA11" s="2960" t="str">
        <f t="shared" si="10"/>
        <v>ss1</v>
      </c>
      <c r="EB11" s="2960" t="str">
        <f t="shared" si="10"/>
        <v>ss1</v>
      </c>
      <c r="EC11" s="2960" t="s">
        <v>3569</v>
      </c>
      <c r="ED11" s="2960" t="str">
        <f t="shared" si="10"/>
        <v>ss2</v>
      </c>
      <c r="EE11" s="2960" t="str">
        <f t="shared" si="10"/>
        <v>ss2</v>
      </c>
      <c r="EF11" s="2960" t="s">
        <v>3568</v>
      </c>
      <c r="EG11" s="2960" t="str">
        <f t="shared" si="22"/>
        <v>ss1</v>
      </c>
      <c r="EH11" s="2960" t="str">
        <f t="shared" si="22"/>
        <v>ss1</v>
      </c>
      <c r="EI11" s="2960" t="str">
        <f t="shared" si="22"/>
        <v>ss1</v>
      </c>
      <c r="EJ11" s="2960" t="str">
        <f t="shared" si="22"/>
        <v>ss1</v>
      </c>
      <c r="EK11" s="2960" t="s">
        <v>3569</v>
      </c>
      <c r="EL11" s="2960" t="str">
        <f t="shared" si="22"/>
        <v>ss2</v>
      </c>
      <c r="EM11" s="2960" t="str">
        <f t="shared" si="22"/>
        <v>ss2</v>
      </c>
      <c r="EN11" s="2960" t="str">
        <f t="shared" si="22"/>
        <v>ss2</v>
      </c>
      <c r="EO11" s="2960" t="str">
        <f t="shared" si="22"/>
        <v>ss2</v>
      </c>
      <c r="EP11" s="2960" t="s">
        <v>3611</v>
      </c>
      <c r="EQ11" s="2960" t="str">
        <f t="shared" si="22"/>
        <v>finestfonc</v>
      </c>
      <c r="ER11" s="2960" t="s">
        <v>3612</v>
      </c>
      <c r="ES11" s="2960" t="str">
        <f t="shared" si="22"/>
        <v>cexplor</v>
      </c>
      <c r="ET11" s="2960" t="s">
        <v>3568</v>
      </c>
      <c r="EU11" s="2960" t="str">
        <f t="shared" si="22"/>
        <v>ss1</v>
      </c>
      <c r="EV11" s="2960" t="str">
        <f t="shared" si="22"/>
        <v>ss1</v>
      </c>
      <c r="EW11" s="2960" t="str">
        <f t="shared" ref="EW11:FE11" si="26">EV11</f>
        <v>ss1</v>
      </c>
      <c r="EX11" s="2960" t="str">
        <f>EW11</f>
        <v>ss1</v>
      </c>
      <c r="EY11" s="2960" t="str">
        <f t="shared" si="26"/>
        <v>ss1</v>
      </c>
      <c r="EZ11" s="2960" t="s">
        <v>3569</v>
      </c>
      <c r="FA11" s="2960" t="str">
        <f t="shared" si="26"/>
        <v>ss2</v>
      </c>
      <c r="FB11" s="2960" t="str">
        <f t="shared" si="26"/>
        <v>ss2</v>
      </c>
      <c r="FC11" s="2960" t="str">
        <f>FB11</f>
        <v>ss2</v>
      </c>
      <c r="FD11" s="2960" t="str">
        <f t="shared" si="26"/>
        <v>ss2</v>
      </c>
      <c r="FE11" s="2960" t="str">
        <f t="shared" si="26"/>
        <v>ss2</v>
      </c>
      <c r="FF11" s="2960" t="s">
        <v>3613</v>
      </c>
      <c r="FG11" s="2960" t="str">
        <f t="shared" si="12"/>
        <v>finestrenouvl</v>
      </c>
      <c r="FH11" s="2960" t="s">
        <v>3614</v>
      </c>
      <c r="FI11" s="2960" t="str">
        <f t="shared" si="12"/>
        <v>crenouvl</v>
      </c>
      <c r="FJ11" s="2960" t="s">
        <v>3568</v>
      </c>
      <c r="FK11" s="2960" t="str">
        <f t="shared" si="12"/>
        <v>ss1</v>
      </c>
      <c r="FL11" s="2960" t="str">
        <f t="shared" si="12"/>
        <v>ss1</v>
      </c>
      <c r="FM11" s="2960" t="str">
        <f t="shared" si="12"/>
        <v>ss1</v>
      </c>
      <c r="FN11" s="2960" t="str">
        <f t="shared" si="12"/>
        <v>ss1</v>
      </c>
      <c r="FO11" s="2960" t="s">
        <v>3569</v>
      </c>
      <c r="FP11" s="2960" t="str">
        <f t="shared" ref="FP11:FW11" si="27">FO11</f>
        <v>ss2</v>
      </c>
      <c r="FQ11" s="2960" t="str">
        <f t="shared" si="27"/>
        <v>ss2</v>
      </c>
      <c r="FR11" s="2960" t="str">
        <f t="shared" si="27"/>
        <v>ss2</v>
      </c>
      <c r="FS11" s="2960" t="str">
        <f t="shared" si="27"/>
        <v>ss2</v>
      </c>
      <c r="FT11" s="2960" t="s">
        <v>3615</v>
      </c>
      <c r="FU11" s="2960" t="str">
        <f t="shared" si="27"/>
        <v>finestacqdisp</v>
      </c>
      <c r="FV11" s="2960" t="s">
        <v>3616</v>
      </c>
      <c r="FW11" s="2960" t="str">
        <f t="shared" si="27"/>
        <v>cacqdisp</v>
      </c>
      <c r="FX11" s="2960" t="s">
        <v>3617</v>
      </c>
      <c r="FY11" s="2960" t="str">
        <f t="shared" si="23"/>
        <v>nbobj</v>
      </c>
      <c r="FZ11" s="2960" t="str">
        <f t="shared" si="23"/>
        <v>nbobj</v>
      </c>
      <c r="GA11" s="2960" t="str">
        <f t="shared" si="23"/>
        <v>nbobj</v>
      </c>
      <c r="GB11" s="2960" t="str">
        <f t="shared" si="23"/>
        <v>nbobj</v>
      </c>
      <c r="GC11" s="2960" t="str">
        <f t="shared" si="23"/>
        <v>nbobj</v>
      </c>
      <c r="GD11" s="2960" t="str">
        <f t="shared" si="23"/>
        <v>nbobj</v>
      </c>
      <c r="GE11" s="2960" t="str">
        <f t="shared" si="23"/>
        <v>nbobj</v>
      </c>
      <c r="GF11" s="2960" t="s">
        <v>3618</v>
      </c>
      <c r="GG11" s="2960" t="str">
        <f t="shared" si="23"/>
        <v>cote5</v>
      </c>
      <c r="GH11" s="2960" t="str">
        <f t="shared" si="23"/>
        <v>cote5</v>
      </c>
      <c r="GI11" s="2960" t="str">
        <f t="shared" si="23"/>
        <v>cote5</v>
      </c>
      <c r="GJ11" s="2960" t="str">
        <f t="shared" si="23"/>
        <v>cote5</v>
      </c>
      <c r="GK11" s="2960" t="str">
        <f t="shared" si="23"/>
        <v>cote5</v>
      </c>
      <c r="GL11" s="2960" t="str">
        <f t="shared" si="23"/>
        <v>cote5</v>
      </c>
      <c r="GM11" s="2960" t="str">
        <f t="shared" si="23"/>
        <v>cote5</v>
      </c>
      <c r="GN11" s="2960" t="s">
        <v>3617</v>
      </c>
      <c r="GO11" s="2960" t="str">
        <f t="shared" si="14"/>
        <v>nbobj</v>
      </c>
      <c r="GP11" s="2960" t="str">
        <f t="shared" si="15"/>
        <v>nbobj</v>
      </c>
      <c r="GQ11" s="2960" t="str">
        <f t="shared" si="15"/>
        <v>nbobj</v>
      </c>
      <c r="GR11" s="2960" t="str">
        <f t="shared" si="15"/>
        <v>nbobj</v>
      </c>
      <c r="GS11" s="2960" t="str">
        <f t="shared" si="15"/>
        <v>nbobj</v>
      </c>
      <c r="GT11" s="2960" t="str">
        <f t="shared" si="15"/>
        <v>nbobj</v>
      </c>
      <c r="GU11" s="2960" t="str">
        <f t="shared" si="15"/>
        <v>nbobj</v>
      </c>
      <c r="GV11" s="2960" t="s">
        <v>3618</v>
      </c>
      <c r="GW11" s="2960" t="str">
        <f t="shared" si="15"/>
        <v>cote5</v>
      </c>
      <c r="GX11" s="2960" t="str">
        <f t="shared" si="15"/>
        <v>cote5</v>
      </c>
      <c r="GY11" s="2960" t="str">
        <f t="shared" si="15"/>
        <v>cote5</v>
      </c>
      <c r="GZ11" s="2960" t="str">
        <f t="shared" si="15"/>
        <v>cote5</v>
      </c>
      <c r="HA11" s="2960" t="str">
        <f t="shared" si="15"/>
        <v>cote5</v>
      </c>
      <c r="HB11" s="2960" t="str">
        <f t="shared" si="15"/>
        <v>cote5</v>
      </c>
      <c r="HC11" s="2960" t="str">
        <f t="shared" si="15"/>
        <v>cote5</v>
      </c>
      <c r="HD11" s="2960" t="s">
        <v>3568</v>
      </c>
      <c r="HE11" s="2960" t="s">
        <v>3569</v>
      </c>
      <c r="HF11" s="2960" t="s">
        <v>3617</v>
      </c>
      <c r="HG11" s="2960" t="str">
        <f t="shared" si="24"/>
        <v>nbobj</v>
      </c>
      <c r="HH11" s="2960" t="str">
        <f t="shared" si="24"/>
        <v>nbobj</v>
      </c>
      <c r="HI11" s="2960" t="str">
        <f t="shared" si="24"/>
        <v>nbobj</v>
      </c>
      <c r="HJ11" s="2960" t="str">
        <f t="shared" si="24"/>
        <v>nbobj</v>
      </c>
      <c r="HK11" s="2960" t="str">
        <f t="shared" si="24"/>
        <v>nbobj</v>
      </c>
      <c r="HL11" s="2960" t="str">
        <f t="shared" si="24"/>
        <v>nbobj</v>
      </c>
      <c r="HM11" s="2960" t="str">
        <f t="shared" si="24"/>
        <v>nbobj</v>
      </c>
      <c r="HN11" s="2960" t="s">
        <v>3618</v>
      </c>
      <c r="HO11" s="2960" t="str">
        <f t="shared" si="24"/>
        <v>cote5</v>
      </c>
      <c r="HP11" s="2960" t="str">
        <f t="shared" si="24"/>
        <v>cote5</v>
      </c>
      <c r="HQ11" s="2960" t="str">
        <f t="shared" si="24"/>
        <v>cote5</v>
      </c>
      <c r="HR11" s="2960" t="str">
        <f t="shared" si="16"/>
        <v>cote5</v>
      </c>
      <c r="HS11" s="2960" t="str">
        <f t="shared" si="16"/>
        <v>cote5</v>
      </c>
      <c r="HT11" s="2960" t="str">
        <f t="shared" si="16"/>
        <v>cote5</v>
      </c>
      <c r="HU11" s="2960" t="str">
        <f t="shared" si="16"/>
        <v>cote5</v>
      </c>
      <c r="HV11" s="2960" t="s">
        <v>3617</v>
      </c>
      <c r="HW11" s="2960" t="str">
        <f t="shared" si="17"/>
        <v>nbobj</v>
      </c>
      <c r="HX11" s="2960" t="str">
        <f t="shared" si="17"/>
        <v>nbobj</v>
      </c>
      <c r="HY11" s="2960" t="str">
        <f t="shared" si="17"/>
        <v>nbobj</v>
      </c>
      <c r="HZ11" s="2960" t="str">
        <f t="shared" si="17"/>
        <v>nbobj</v>
      </c>
      <c r="IA11" s="2960" t="str">
        <f t="shared" si="17"/>
        <v>nbobj</v>
      </c>
      <c r="IB11" s="2960" t="str">
        <f t="shared" si="17"/>
        <v>nbobj</v>
      </c>
      <c r="IC11" s="2960" t="str">
        <f t="shared" si="17"/>
        <v>nbobj</v>
      </c>
      <c r="ID11" s="2960" t="s">
        <v>3618</v>
      </c>
      <c r="IE11" s="2960" t="str">
        <f t="shared" si="17"/>
        <v>cote5</v>
      </c>
      <c r="IF11" s="2960" t="str">
        <f t="shared" si="17"/>
        <v>cote5</v>
      </c>
      <c r="IG11" s="2960" t="str">
        <f t="shared" si="17"/>
        <v>cote5</v>
      </c>
      <c r="IH11" s="2960" t="str">
        <f t="shared" si="17"/>
        <v>cote5</v>
      </c>
      <c r="II11" s="2960" t="str">
        <f t="shared" si="17"/>
        <v>cote5</v>
      </c>
      <c r="IJ11" s="2960" t="str">
        <f t="shared" si="17"/>
        <v>cote5</v>
      </c>
      <c r="IK11" s="2960" t="str">
        <f t="shared" si="17"/>
        <v>cote5</v>
      </c>
      <c r="IL11" s="2960" t="s">
        <v>3568</v>
      </c>
      <c r="IM11" s="2960" t="s">
        <v>3569</v>
      </c>
    </row>
    <row r="12" spans="1:247" s="2964" customFormat="1" ht="13.95" customHeight="1">
      <c r="A12" s="2964" t="s">
        <v>3619</v>
      </c>
      <c r="B12" s="2964" t="s">
        <v>3620</v>
      </c>
      <c r="C12" s="2964" t="s">
        <v>3621</v>
      </c>
      <c r="D12" s="2964" t="s">
        <v>3622</v>
      </c>
      <c r="E12" s="2964" t="s">
        <v>3623</v>
      </c>
      <c r="F12" s="2964" t="s">
        <v>3624</v>
      </c>
      <c r="G12" s="2964" t="s">
        <v>3625</v>
      </c>
      <c r="H12" s="2964" t="s">
        <v>3626</v>
      </c>
      <c r="I12" s="2964" t="s">
        <v>3627</v>
      </c>
      <c r="J12" s="2964" t="s">
        <v>3628</v>
      </c>
      <c r="K12" s="2964" t="s">
        <v>3626</v>
      </c>
      <c r="L12" s="2964" t="s">
        <v>3627</v>
      </c>
      <c r="M12" s="2964" t="s">
        <v>3628</v>
      </c>
      <c r="N12" s="2964" t="s">
        <v>3626</v>
      </c>
      <c r="O12" s="2964" t="s">
        <v>3627</v>
      </c>
      <c r="P12" s="2964" t="s">
        <v>3629</v>
      </c>
      <c r="Q12" s="2964" t="s">
        <v>3630</v>
      </c>
      <c r="R12" s="2964" t="s">
        <v>3626</v>
      </c>
      <c r="S12" s="2964" t="s">
        <v>3627</v>
      </c>
      <c r="T12" s="2964" t="s">
        <v>3628</v>
      </c>
      <c r="U12" s="2964" t="s">
        <v>3630</v>
      </c>
      <c r="V12" s="2964" t="s">
        <v>3626</v>
      </c>
      <c r="W12" s="2964" t="s">
        <v>3627</v>
      </c>
      <c r="X12" s="2964" t="s">
        <v>3626</v>
      </c>
      <c r="Y12" s="2964" t="s">
        <v>3627</v>
      </c>
      <c r="AB12" s="2964" t="s">
        <v>3626</v>
      </c>
      <c r="AC12" s="2964" t="s">
        <v>3627</v>
      </c>
      <c r="AD12" s="2964" t="s">
        <v>3628</v>
      </c>
      <c r="AE12" s="2964" t="s">
        <v>3626</v>
      </c>
      <c r="AF12" s="2964" t="s">
        <v>3627</v>
      </c>
      <c r="AG12" s="2964" t="s">
        <v>3628</v>
      </c>
      <c r="AH12" s="2964" t="s">
        <v>3631</v>
      </c>
      <c r="AI12" s="2964" t="s">
        <v>3632</v>
      </c>
      <c r="AJ12" s="2964" t="s">
        <v>3633</v>
      </c>
      <c r="AK12" s="2964" t="s">
        <v>3634</v>
      </c>
      <c r="AL12" s="2964" t="s">
        <v>3635</v>
      </c>
      <c r="AM12" s="2964" t="s">
        <v>3636</v>
      </c>
      <c r="AN12" s="2964" t="s">
        <v>3637</v>
      </c>
      <c r="AO12" s="2964" t="s">
        <v>3631</v>
      </c>
      <c r="AP12" s="2964" t="s">
        <v>3632</v>
      </c>
      <c r="AQ12" s="2964" t="s">
        <v>3633</v>
      </c>
      <c r="AR12" s="2964" t="s">
        <v>3634</v>
      </c>
      <c r="AS12" s="2964" t="s">
        <v>3635</v>
      </c>
      <c r="AT12" s="2964" t="s">
        <v>3636</v>
      </c>
      <c r="AU12" s="2964" t="s">
        <v>3637</v>
      </c>
      <c r="AV12" s="2964" t="s">
        <v>3631</v>
      </c>
      <c r="AW12" s="2964" t="s">
        <v>3632</v>
      </c>
      <c r="AX12" s="2964" t="s">
        <v>3633</v>
      </c>
      <c r="AY12" s="2964" t="s">
        <v>3634</v>
      </c>
      <c r="AZ12" s="2964" t="s">
        <v>3635</v>
      </c>
      <c r="BA12" s="2964" t="s">
        <v>3636</v>
      </c>
      <c r="BB12" s="2964" t="s">
        <v>3637</v>
      </c>
      <c r="BC12" s="2964" t="s">
        <v>3631</v>
      </c>
      <c r="BD12" s="2964" t="s">
        <v>3632</v>
      </c>
      <c r="BE12" s="2964" t="s">
        <v>3633</v>
      </c>
      <c r="BF12" s="2964" t="s">
        <v>3634</v>
      </c>
      <c r="BG12" s="2964" t="s">
        <v>3635</v>
      </c>
      <c r="BH12" s="2964" t="s">
        <v>3636</v>
      </c>
      <c r="BI12" s="2964" t="s">
        <v>3637</v>
      </c>
      <c r="BJ12" s="2964" t="s">
        <v>3638</v>
      </c>
      <c r="BK12" s="2964" t="s">
        <v>3639</v>
      </c>
      <c r="BL12" s="2964" t="s">
        <v>3640</v>
      </c>
      <c r="BM12" s="2964" t="s">
        <v>3641</v>
      </c>
      <c r="BN12" s="2964" t="s">
        <v>3642</v>
      </c>
      <c r="BO12" s="2964" t="s">
        <v>3643</v>
      </c>
      <c r="CY12" s="2964" t="s">
        <v>3644</v>
      </c>
      <c r="CZ12" s="2964" t="s">
        <v>3645</v>
      </c>
      <c r="DA12" s="2964" t="s">
        <v>3646</v>
      </c>
      <c r="DB12" s="2964" t="s">
        <v>3647</v>
      </c>
      <c r="DC12" s="2964" t="s">
        <v>3648</v>
      </c>
      <c r="DD12" s="2964" t="s">
        <v>3649</v>
      </c>
      <c r="DE12" s="2964" t="s">
        <v>3650</v>
      </c>
      <c r="DF12" s="2964" t="s">
        <v>3651</v>
      </c>
      <c r="DG12" s="2964" t="s">
        <v>3644</v>
      </c>
      <c r="DH12" s="2964" t="s">
        <v>3645</v>
      </c>
      <c r="DI12" s="2964" t="s">
        <v>3646</v>
      </c>
      <c r="DJ12" s="2964" t="s">
        <v>3647</v>
      </c>
      <c r="DK12" s="2964" t="s">
        <v>3648</v>
      </c>
      <c r="DL12" s="2964" t="s">
        <v>3649</v>
      </c>
      <c r="DM12" s="2964" t="s">
        <v>3650</v>
      </c>
      <c r="DN12" s="2964" t="s">
        <v>3651</v>
      </c>
      <c r="DO12" s="2964" t="s">
        <v>3576</v>
      </c>
      <c r="DP12" s="2964" t="s">
        <v>3577</v>
      </c>
      <c r="DQ12" s="2964" t="s">
        <v>3652</v>
      </c>
      <c r="DR12" s="2964" t="s">
        <v>3653</v>
      </c>
      <c r="DS12" s="2964" t="s">
        <v>3651</v>
      </c>
      <c r="DT12" s="2964" t="s">
        <v>3649</v>
      </c>
      <c r="DU12" s="2964" t="s">
        <v>3650</v>
      </c>
      <c r="DV12" s="2964" t="s">
        <v>3651</v>
      </c>
      <c r="DW12" s="2964" t="s">
        <v>3649</v>
      </c>
      <c r="DX12" s="2964" t="s">
        <v>3650</v>
      </c>
      <c r="DY12" s="2964" t="s">
        <v>3651</v>
      </c>
      <c r="DZ12" s="2964" t="s">
        <v>3649</v>
      </c>
      <c r="EA12" s="2964" t="s">
        <v>3650</v>
      </c>
      <c r="EB12" s="2964" t="s">
        <v>3651</v>
      </c>
      <c r="EC12" s="2964" t="s">
        <v>3649</v>
      </c>
      <c r="ED12" s="2964" t="s">
        <v>3650</v>
      </c>
      <c r="EE12" s="2964" t="s">
        <v>3651</v>
      </c>
      <c r="EF12" s="2964" t="s">
        <v>3654</v>
      </c>
      <c r="EG12" s="2964" t="s">
        <v>3655</v>
      </c>
      <c r="EH12" s="2964" t="s">
        <v>3656</v>
      </c>
      <c r="EI12" s="2964" t="s">
        <v>3657</v>
      </c>
      <c r="EJ12" s="2964" t="s">
        <v>3658</v>
      </c>
      <c r="EK12" s="2964" t="s">
        <v>3654</v>
      </c>
      <c r="EL12" s="2964" t="s">
        <v>3655</v>
      </c>
      <c r="EM12" s="2964" t="s">
        <v>3656</v>
      </c>
      <c r="EN12" s="2964" t="s">
        <v>3657</v>
      </c>
      <c r="EO12" s="2964" t="s">
        <v>3658</v>
      </c>
      <c r="EP12" s="2964" t="s">
        <v>3568</v>
      </c>
      <c r="EQ12" s="2964" t="s">
        <v>3569</v>
      </c>
      <c r="ER12" s="2964" t="s">
        <v>3568</v>
      </c>
      <c r="ES12" s="2964" t="s">
        <v>3569</v>
      </c>
      <c r="ET12" s="2964" t="s">
        <v>3654</v>
      </c>
      <c r="EU12" s="2964" t="s">
        <v>3659</v>
      </c>
      <c r="EV12" s="2964" t="s">
        <v>3660</v>
      </c>
      <c r="EW12" s="2964" t="s">
        <v>3661</v>
      </c>
      <c r="EX12" s="2964" t="s">
        <v>3657</v>
      </c>
      <c r="EY12" s="2964" t="s">
        <v>3658</v>
      </c>
      <c r="EZ12" s="2964" t="s">
        <v>3654</v>
      </c>
      <c r="FA12" s="2964" t="s">
        <v>3659</v>
      </c>
      <c r="FB12" s="2964" t="s">
        <v>3660</v>
      </c>
      <c r="FC12" s="2964" t="s">
        <v>3661</v>
      </c>
      <c r="FD12" s="2964" t="s">
        <v>3657</v>
      </c>
      <c r="FE12" s="2964" t="s">
        <v>3658</v>
      </c>
      <c r="FF12" s="2964" t="s">
        <v>3568</v>
      </c>
      <c r="FG12" s="2964" t="s">
        <v>3569</v>
      </c>
      <c r="FH12" s="2964" t="s">
        <v>3568</v>
      </c>
      <c r="FI12" s="2964" t="s">
        <v>3569</v>
      </c>
      <c r="FJ12" s="2964" t="s">
        <v>3654</v>
      </c>
      <c r="FK12" s="2964" t="s">
        <v>3660</v>
      </c>
      <c r="FL12" s="2964" t="s">
        <v>3661</v>
      </c>
      <c r="FM12" s="2964" t="s">
        <v>3657</v>
      </c>
      <c r="FN12" s="2964" t="s">
        <v>3658</v>
      </c>
      <c r="FO12" s="2964" t="s">
        <v>3654</v>
      </c>
      <c r="FP12" s="2964" t="s">
        <v>3660</v>
      </c>
      <c r="FQ12" s="2964" t="s">
        <v>3661</v>
      </c>
      <c r="FR12" s="2964" t="s">
        <v>3657</v>
      </c>
      <c r="FS12" s="2964" t="s">
        <v>3658</v>
      </c>
      <c r="FT12" s="2964" t="s">
        <v>3568</v>
      </c>
      <c r="FU12" s="2964" t="s">
        <v>3569</v>
      </c>
      <c r="FV12" s="2964" t="s">
        <v>3568</v>
      </c>
      <c r="FW12" s="2964" t="s">
        <v>3569</v>
      </c>
      <c r="FX12" s="2964" t="s">
        <v>3662</v>
      </c>
      <c r="FY12" s="2964" t="s">
        <v>3663</v>
      </c>
      <c r="FZ12" s="2964" t="s">
        <v>3664</v>
      </c>
      <c r="GA12" s="2964" t="s">
        <v>3665</v>
      </c>
      <c r="GB12" s="2964" t="s">
        <v>3666</v>
      </c>
      <c r="GC12" s="2964" t="s">
        <v>3667</v>
      </c>
      <c r="GD12" s="2964" t="s">
        <v>3668</v>
      </c>
      <c r="GE12" s="2964" t="s">
        <v>3669</v>
      </c>
      <c r="GF12" s="2964" t="s">
        <v>3662</v>
      </c>
      <c r="GG12" s="2964" t="s">
        <v>3663</v>
      </c>
      <c r="GH12" s="2964" t="s">
        <v>3664</v>
      </c>
      <c r="GI12" s="2964" t="s">
        <v>3665</v>
      </c>
      <c r="GJ12" s="2964" t="s">
        <v>3666</v>
      </c>
      <c r="GK12" s="2964" t="s">
        <v>3667</v>
      </c>
      <c r="GL12" s="2964" t="s">
        <v>3668</v>
      </c>
      <c r="GM12" s="2964" t="s">
        <v>3669</v>
      </c>
      <c r="GN12" s="2964" t="s">
        <v>3662</v>
      </c>
      <c r="GO12" s="2964" t="s">
        <v>3663</v>
      </c>
      <c r="GP12" s="2964" t="s">
        <v>3664</v>
      </c>
      <c r="GQ12" s="2964" t="s">
        <v>3665</v>
      </c>
      <c r="GR12" s="2964" t="s">
        <v>3666</v>
      </c>
      <c r="GS12" s="2964" t="s">
        <v>3667</v>
      </c>
      <c r="GT12" s="2964" t="s">
        <v>3668</v>
      </c>
      <c r="GU12" s="2964" t="s">
        <v>3669</v>
      </c>
      <c r="GV12" s="2964" t="s">
        <v>3662</v>
      </c>
      <c r="GW12" s="2964" t="s">
        <v>3663</v>
      </c>
      <c r="GX12" s="2964" t="s">
        <v>3664</v>
      </c>
      <c r="GY12" s="2964" t="s">
        <v>3665</v>
      </c>
      <c r="GZ12" s="2964" t="s">
        <v>3666</v>
      </c>
      <c r="HA12" s="2964" t="s">
        <v>3667</v>
      </c>
      <c r="HB12" s="2964" t="s">
        <v>3668</v>
      </c>
      <c r="HC12" s="2964" t="s">
        <v>3669</v>
      </c>
      <c r="HD12" s="2964" t="s">
        <v>3670</v>
      </c>
      <c r="HE12" s="2964" t="s">
        <v>3670</v>
      </c>
      <c r="HF12" s="2964" t="s">
        <v>3662</v>
      </c>
      <c r="HG12" s="2964" t="s">
        <v>3663</v>
      </c>
      <c r="HH12" s="2964" t="s">
        <v>3664</v>
      </c>
      <c r="HI12" s="2964" t="s">
        <v>3665</v>
      </c>
      <c r="HJ12" s="2964" t="s">
        <v>3666</v>
      </c>
      <c r="HK12" s="2964" t="s">
        <v>3667</v>
      </c>
      <c r="HL12" s="2964" t="s">
        <v>3668</v>
      </c>
      <c r="HM12" s="2964" t="s">
        <v>3669</v>
      </c>
      <c r="HN12" s="2964" t="s">
        <v>3662</v>
      </c>
      <c r="HO12" s="2964" t="s">
        <v>3663</v>
      </c>
      <c r="HP12" s="2964" t="s">
        <v>3664</v>
      </c>
      <c r="HQ12" s="2964" t="s">
        <v>3665</v>
      </c>
      <c r="HR12" s="2964" t="s">
        <v>3666</v>
      </c>
      <c r="HS12" s="2964" t="s">
        <v>3667</v>
      </c>
      <c r="HT12" s="2964" t="s">
        <v>3668</v>
      </c>
      <c r="HU12" s="2964" t="s">
        <v>3669</v>
      </c>
      <c r="HV12" s="2964" t="s">
        <v>3662</v>
      </c>
      <c r="HW12" s="2964" t="s">
        <v>3663</v>
      </c>
      <c r="HX12" s="2964" t="s">
        <v>3664</v>
      </c>
      <c r="HY12" s="2964" t="s">
        <v>3665</v>
      </c>
      <c r="HZ12" s="2964" t="s">
        <v>3666</v>
      </c>
      <c r="IA12" s="2964" t="s">
        <v>3667</v>
      </c>
      <c r="IB12" s="2964" t="s">
        <v>3668</v>
      </c>
      <c r="IC12" s="2964" t="s">
        <v>3669</v>
      </c>
      <c r="ID12" s="2964" t="s">
        <v>3662</v>
      </c>
      <c r="IE12" s="2964" t="s">
        <v>3663</v>
      </c>
      <c r="IF12" s="2964" t="s">
        <v>3664</v>
      </c>
      <c r="IG12" s="2964" t="s">
        <v>3665</v>
      </c>
      <c r="IH12" s="2964" t="s">
        <v>3666</v>
      </c>
      <c r="II12" s="2964" t="s">
        <v>3667</v>
      </c>
      <c r="IJ12" s="2964" t="s">
        <v>3668</v>
      </c>
      <c r="IK12" s="2964" t="s">
        <v>3669</v>
      </c>
      <c r="IL12" s="2964" t="s">
        <v>3670</v>
      </c>
      <c r="IM12" s="2964" t="s">
        <v>3670</v>
      </c>
    </row>
    <row r="13" spans="1:247" s="2960" customFormat="1" ht="13.95" customHeight="1">
      <c r="A13" s="2960" t="s">
        <v>3671</v>
      </c>
      <c r="B13" s="2960" t="str">
        <f>_xlfn.CONCAT(IF(B8="","",B8),IF(B9="","","_"),IF(B9="","",B9),IF(B10="","","_"),IF(B10="","",B10),IF(B11="","","_"),IF(B11="","",B11),IF(B12="","","_"),IF(B12="","",B12))</f>
        <v>p0_pd_type_infra_eau</v>
      </c>
      <c r="C13" s="2960" t="str">
        <f t="shared" ref="C13:BN13" si="28">_xlfn.CONCAT(IF(C8="","",C8),IF(C9="","","_"),IF(C9="","",C9),IF(C10="","","_"),IF(C10="","",C10),IF(C11="","","_"),IF(C11="","",C11),IF(C12="","","_"),IF(C12="","",C12))</f>
        <v>p0_pd_serv_fournis</v>
      </c>
      <c r="D13" s="2960" t="str">
        <f t="shared" si="28"/>
        <v>p0_pd_choix_pga</v>
      </c>
      <c r="E13" s="2960" t="str">
        <f t="shared" si="28"/>
        <v>p0_an_pga</v>
      </c>
      <c r="F13" s="2960" t="str">
        <f t="shared" si="28"/>
        <v>p0_version_pga</v>
      </c>
      <c r="G13" s="2960" t="str">
        <f t="shared" si="28"/>
        <v>p1_d_completion</v>
      </c>
      <c r="H13" s="2960" t="str">
        <f t="shared" si="28"/>
        <v>p2_pv1_vr_ss1_lineaire</v>
      </c>
      <c r="I13" s="2960" t="str">
        <f t="shared" si="28"/>
        <v>p2_pv1_vr_ss1_ponctuel</v>
      </c>
      <c r="J13" s="2960" t="str">
        <f t="shared" si="28"/>
        <v>p2_pv1_vr_ss1_autre_actif</v>
      </c>
      <c r="K13" s="2960" t="str">
        <f t="shared" si="28"/>
        <v>p2_pv1_vr_ss2_lineaire</v>
      </c>
      <c r="L13" s="2960" t="str">
        <f t="shared" si="28"/>
        <v>p2_pv1_vr_ss2_ponctuel</v>
      </c>
      <c r="M13" s="2960" t="str">
        <f t="shared" si="28"/>
        <v>p2_pv1_vr_ss2_autre_actif</v>
      </c>
      <c r="N13" s="2960" t="str">
        <f t="shared" si="28"/>
        <v>p2_pv1_inv_ss1_lineaire</v>
      </c>
      <c r="O13" s="2960" t="str">
        <f t="shared" si="28"/>
        <v>p2_pv1_inv_ss1_ponctuel</v>
      </c>
      <c r="P13" s="2960" t="str">
        <f t="shared" si="28"/>
        <v>p2_pv1_inv_ss1_autre_actif_km</v>
      </c>
      <c r="Q13" s="2960" t="str">
        <f t="shared" si="28"/>
        <v>p2_pv1_inv_ss1_autre_actif_ouvrg</v>
      </c>
      <c r="R13" s="2960" t="str">
        <f t="shared" si="28"/>
        <v>p2_pv1_inv_ss2_lineaire</v>
      </c>
      <c r="S13" s="2960" t="str">
        <f t="shared" si="28"/>
        <v>p2_pv1_inv_ss2_ponctuel</v>
      </c>
      <c r="T13" s="2960" t="str">
        <f t="shared" si="28"/>
        <v>p2_pv1_inv_ss2_autre_actif</v>
      </c>
      <c r="U13" s="2960" t="str">
        <f t="shared" si="28"/>
        <v>p2_pv1_inv_ss2_autre_actif_ouvrg</v>
      </c>
      <c r="V13" s="2960" t="str">
        <f t="shared" si="28"/>
        <v>p2_pv1_cvi_ss1_lineaire</v>
      </c>
      <c r="W13" s="2960" t="str">
        <f t="shared" si="28"/>
        <v>p2_pv1_cvi_ss1_ponctuel</v>
      </c>
      <c r="X13" s="2960" t="str">
        <f t="shared" si="28"/>
        <v>p2_pv1_cvi_ss2_lineaire</v>
      </c>
      <c r="Y13" s="2960" t="str">
        <f t="shared" si="28"/>
        <v>p2_pv1_cvi_ss2_ponctuel</v>
      </c>
      <c r="Z13" s="2960" t="str">
        <f t="shared" si="28"/>
        <v>p2_pv1_rq1_ss1</v>
      </c>
      <c r="AA13" s="2960" t="str">
        <f t="shared" si="28"/>
        <v>p2_pv1_rq1_ss2</v>
      </c>
      <c r="AB13" s="2960" t="str">
        <f t="shared" si="28"/>
        <v>p2_pv1_amp_ss1_lineaire</v>
      </c>
      <c r="AC13" s="2960" t="str">
        <f t="shared" si="28"/>
        <v>p2_pv1_amp_ss1_ponctuel</v>
      </c>
      <c r="AD13" s="2960" t="str">
        <f t="shared" si="28"/>
        <v>p2_pv1_amp_ss1_autre_actif</v>
      </c>
      <c r="AE13" s="2960" t="str">
        <f t="shared" si="28"/>
        <v>p2_pv1_amp_ss2_lineaire</v>
      </c>
      <c r="AF13" s="2960" t="str">
        <f t="shared" si="28"/>
        <v>p2_pv1_amp_ss2_ponctuel</v>
      </c>
      <c r="AG13" s="2960" t="str">
        <f t="shared" si="28"/>
        <v>p2_pv1_amp_ss2_autre_actif</v>
      </c>
      <c r="AH13" s="2960" t="str">
        <f t="shared" si="28"/>
        <v>p2_pv25_ss1_line_tres_bon</v>
      </c>
      <c r="AI13" s="2960" t="str">
        <f t="shared" si="28"/>
        <v>p2_pv25_ss1_line_bon</v>
      </c>
      <c r="AJ13" s="2960" t="str">
        <f t="shared" si="28"/>
        <v>p2_pv25_ss1_line_satisfaisant</v>
      </c>
      <c r="AK13" s="2960" t="str">
        <f t="shared" si="28"/>
        <v>p2_pv25_ss1_line_mauvais</v>
      </c>
      <c r="AL13" s="2960" t="str">
        <f t="shared" si="28"/>
        <v>p2_pv25_ss1_line_tres_mauvais</v>
      </c>
      <c r="AM13" s="2960" t="str">
        <f t="shared" si="28"/>
        <v>p2_pv25_ss1_line_inconnu</v>
      </c>
      <c r="AN13" s="2960" t="str">
        <f t="shared" si="28"/>
        <v>p2_pv25_ss1_line_confiance</v>
      </c>
      <c r="AO13" s="2960" t="str">
        <f t="shared" si="28"/>
        <v>p2_pv25_ss1_ponc_tres_bon</v>
      </c>
      <c r="AP13" s="2960" t="str">
        <f t="shared" si="28"/>
        <v>p2_pv25_ss1_ponc_bon</v>
      </c>
      <c r="AQ13" s="2960" t="str">
        <f t="shared" si="28"/>
        <v>p2_pv25_ss1_ponc_satisfaisant</v>
      </c>
      <c r="AR13" s="2960" t="str">
        <f t="shared" si="28"/>
        <v>p2_pv25_ss1_ponc_mauvais</v>
      </c>
      <c r="AS13" s="2960" t="str">
        <f t="shared" si="28"/>
        <v>p2_pv25_ss1_ponc_tres_mauvais</v>
      </c>
      <c r="AT13" s="2960" t="str">
        <f t="shared" si="28"/>
        <v>p2_pv25_ss1_ponc_inconnu</v>
      </c>
      <c r="AU13" s="2960" t="str">
        <f t="shared" si="28"/>
        <v>p2_pv25_ss1_ponc_confiance</v>
      </c>
      <c r="AV13" s="2960" t="str">
        <f t="shared" si="28"/>
        <v>p2_pv25_ss2_line_tres_bon</v>
      </c>
      <c r="AW13" s="2960" t="str">
        <f t="shared" si="28"/>
        <v>p2_pv25_ss2_line_bon</v>
      </c>
      <c r="AX13" s="2960" t="str">
        <f t="shared" si="28"/>
        <v>p2_pv25_ss2_line_satisfaisant</v>
      </c>
      <c r="AY13" s="2960" t="str">
        <f t="shared" si="28"/>
        <v>p2_pv25_ss2_line_mauvais</v>
      </c>
      <c r="AZ13" s="2960" t="str">
        <f t="shared" si="28"/>
        <v>p2_pv25_ss2_line_tres_mauvais</v>
      </c>
      <c r="BA13" s="2960" t="str">
        <f t="shared" si="28"/>
        <v>p2_pv25_ss2_line_inconnu</v>
      </c>
      <c r="BB13" s="2960" t="str">
        <f t="shared" si="28"/>
        <v>p2_pv25_ss2_line_confiance</v>
      </c>
      <c r="BC13" s="2960" t="str">
        <f t="shared" si="28"/>
        <v>p2_pv25_ss2_ponc_tres_bon</v>
      </c>
      <c r="BD13" s="2960" t="str">
        <f t="shared" si="28"/>
        <v>p2_pv25_ss2_ponc_bon</v>
      </c>
      <c r="BE13" s="2960" t="str">
        <f t="shared" si="28"/>
        <v>p2_pv25_ss2_ponc_satisfaisant</v>
      </c>
      <c r="BF13" s="2960" t="str">
        <f t="shared" si="28"/>
        <v>p2_pv25_ss2_ponc_mauvais</v>
      </c>
      <c r="BG13" s="2960" t="str">
        <f t="shared" si="28"/>
        <v>p2_pv25_ss2_ponc_tres_mauvais</v>
      </c>
      <c r="BH13" s="2960" t="str">
        <f t="shared" si="28"/>
        <v>p2_pv25_ss2_ponc_inconnu</v>
      </c>
      <c r="BI13" s="2960" t="str">
        <f t="shared" si="28"/>
        <v>p2_pv25_ss2_ponc_confiance</v>
      </c>
      <c r="BJ13" s="2960" t="str">
        <f t="shared" si="28"/>
        <v>p3_pv1_emns_exigence1</v>
      </c>
      <c r="BK13" s="2960" t="str">
        <f t="shared" si="28"/>
        <v>p3_pv1_emns_exigence2</v>
      </c>
      <c r="BL13" s="2960" t="str">
        <f t="shared" si="28"/>
        <v>p3_pv1_emns_exigence3</v>
      </c>
      <c r="BM13" s="2960" t="str">
        <f t="shared" si="28"/>
        <v>p3_pv1_emns_actif1</v>
      </c>
      <c r="BN13" s="2960" t="str">
        <f t="shared" si="28"/>
        <v>p3_pv1_emns_actif2</v>
      </c>
      <c r="BO13" s="2960" t="str">
        <f t="shared" ref="BO13:EU13" si="29">_xlfn.CONCAT(IF(BO8="","",BO8),IF(BO9="","","_"),IF(BO9="","",BO9),IF(BO10="","","_"),IF(BO10="","",BO10),IF(BO11="","","_"),IF(BO11="","",BO11),IF(BO12="","","_"),IF(BO12="","",BO12))</f>
        <v>p3_pv1_emns_actif3</v>
      </c>
      <c r="BP13" s="2960" t="str">
        <f t="shared" si="29"/>
        <v>p3_pv1_conf</v>
      </c>
      <c r="BQ13" s="2960" t="str">
        <f t="shared" si="29"/>
        <v>p3_pv2_iperf_iperf1</v>
      </c>
      <c r="BR13" s="2960" t="str">
        <f t="shared" si="29"/>
        <v>p3_pv2_iperf_crit1</v>
      </c>
      <c r="BS13" s="2960" t="str">
        <f t="shared" si="29"/>
        <v>p3_pv2_iperf_cat1</v>
      </c>
      <c r="BT13" s="2960" t="str">
        <f t="shared" si="29"/>
        <v>p3_pv2_iperf_iperf2</v>
      </c>
      <c r="BU13" s="2960" t="str">
        <f t="shared" si="29"/>
        <v>p3_pv2_iperf_crit2</v>
      </c>
      <c r="BV13" s="2960" t="str">
        <f t="shared" si="29"/>
        <v>p3_pv2_iperf_cat2</v>
      </c>
      <c r="BW13" s="2960" t="str">
        <f t="shared" si="29"/>
        <v>p3_pv2_iperf_iperf3</v>
      </c>
      <c r="BX13" s="2960" t="str">
        <f t="shared" si="29"/>
        <v>p3_pv2_iperf_crit3</v>
      </c>
      <c r="BY13" s="2960" t="str">
        <f t="shared" si="29"/>
        <v>p3_pv2_iperf_cat3</v>
      </c>
      <c r="BZ13" s="2960" t="str">
        <f t="shared" si="29"/>
        <v>p3_pv2_iperf_conf</v>
      </c>
      <c r="CA13" s="2960" t="str">
        <f t="shared" si="29"/>
        <v>p3_pv3_prioperf_iperf1</v>
      </c>
      <c r="CB13" s="2960" t="str">
        <f t="shared" si="29"/>
        <v>p3_pv3_prioperf_tend1</v>
      </c>
      <c r="CC13" s="2960" t="str">
        <f t="shared" si="29"/>
        <v>p3_pv3_prioperf_obj1</v>
      </c>
      <c r="CD13" s="2960" t="str">
        <f t="shared" si="29"/>
        <v>p3_pv3_prioperf_iperf2</v>
      </c>
      <c r="CE13" s="2960" t="str">
        <f t="shared" si="29"/>
        <v>p3_pv3_prioperf_tend2</v>
      </c>
      <c r="CF13" s="2960" t="str">
        <f t="shared" si="29"/>
        <v>p3_pv3_prioperf_obj2</v>
      </c>
      <c r="CG13" s="2960" t="str">
        <f t="shared" si="29"/>
        <v>p3_pv3_prioperf_iperf3</v>
      </c>
      <c r="CH13" s="2960" t="str">
        <f t="shared" si="29"/>
        <v>p3_pv3_prioperf_tend3</v>
      </c>
      <c r="CI13" s="2960" t="str">
        <f t="shared" si="29"/>
        <v>p3_pv3_prioperf_obj3</v>
      </c>
      <c r="CJ13" s="2960" t="str">
        <f t="shared" si="29"/>
        <v>p3_pv3_prioperf_conf</v>
      </c>
      <c r="CK13" s="2960" t="str">
        <f t="shared" si="29"/>
        <v>p4_pvd1_catchg_demograph</v>
      </c>
      <c r="CL13" s="2960" t="str">
        <f t="shared" si="29"/>
        <v>p4_pvd1_catchg_climat</v>
      </c>
      <c r="CM13" s="2960" t="str">
        <f t="shared" si="29"/>
        <v>p4_pvd1_catchg_cadre</v>
      </c>
      <c r="CN13" s="2960" t="str">
        <f t="shared" si="29"/>
        <v>p4_pvd1_catchg_econom</v>
      </c>
      <c r="CO13" s="2960" t="str">
        <f t="shared" si="29"/>
        <v>p4_pvd1_catchg_techno</v>
      </c>
      <c r="CP13" s="2960" t="str">
        <f t="shared" si="29"/>
        <v xml:space="preserve">p4_pvd1_catchg_Autre </v>
      </c>
      <c r="CQ13" s="2960" t="str">
        <f t="shared" si="29"/>
        <v>p4_pvd1_catchg_conf</v>
      </c>
      <c r="CR13" s="2960" t="str">
        <f t="shared" si="29"/>
        <v xml:space="preserve">p4_pvr1_catrisq_Autre </v>
      </c>
      <c r="CS13" s="2960" t="str">
        <f t="shared" si="29"/>
        <v>p4_pvr1_catrisq_manqinfo</v>
      </c>
      <c r="CT13" s="2960" t="str">
        <f t="shared" si="29"/>
        <v>p4_pvr1_catrisq_chgclimat</v>
      </c>
      <c r="CU13" s="2960" t="str">
        <f t="shared" si="29"/>
        <v>p4_pvr1_catrisq_sousfin</v>
      </c>
      <c r="CV13" s="2960" t="str">
        <f t="shared" si="29"/>
        <v>p4_pvr1_catrisq_dotperso</v>
      </c>
      <c r="CW13" s="2960" t="str">
        <f t="shared" si="29"/>
        <v>p4_pvr1_catrisq_actcritiq</v>
      </c>
      <c r="CX13" s="2960" t="str">
        <f t="shared" si="29"/>
        <v>p4_pvr1_catrisq_conf</v>
      </c>
      <c r="CY13" s="2960" t="str">
        <f t="shared" si="29"/>
        <v>p5_pv1_nca_ss1_fonc_budget</v>
      </c>
      <c r="CZ13" s="2960" t="str">
        <f t="shared" si="29"/>
        <v>p5_pv1_nca_ss1_immo_budget</v>
      </c>
      <c r="DA13" s="2960" t="str">
        <f t="shared" si="29"/>
        <v>p5_pv1_nca_ss1_fonc_expl_entr</v>
      </c>
      <c r="DB13" s="2960" t="str">
        <f t="shared" si="29"/>
        <v>p5_pv1_nca_ss1_immo_renouvl</v>
      </c>
      <c r="DC13" s="2960" t="str">
        <f t="shared" si="29"/>
        <v>p5_pv1_nca_ss1_immo_acq_dispo</v>
      </c>
      <c r="DD13" s="2960" t="str">
        <f t="shared" si="29"/>
        <v>p5_pv1_nca_ss1_ges_niv_serv</v>
      </c>
      <c r="DE13" s="2960" t="str">
        <f t="shared" si="29"/>
        <v>p5_pv1_nca_ss1_ges_risque</v>
      </c>
      <c r="DF13" s="2960" t="str">
        <f t="shared" si="29"/>
        <v>p5_pv1_nca_ss1_ges_dem_avenir</v>
      </c>
      <c r="DG13" s="2960" t="str">
        <f t="shared" si="29"/>
        <v>p5_pv1_nca_ss2_fonc_budget</v>
      </c>
      <c r="DH13" s="2960" t="str">
        <f t="shared" si="29"/>
        <v>p5_pv1_nca_ss2_immo_budget</v>
      </c>
      <c r="DI13" s="2960" t="str">
        <f t="shared" si="29"/>
        <v>p5_pv1_nca_ss2_fonc_expl_entr</v>
      </c>
      <c r="DJ13" s="2960" t="str">
        <f t="shared" si="29"/>
        <v>p5_pv1_nca_ss2_immo_renouvl</v>
      </c>
      <c r="DK13" s="2960" t="str">
        <f t="shared" si="29"/>
        <v>p5_pv1_nca_ss2_immo_acq_dispo</v>
      </c>
      <c r="DL13" s="2960" t="str">
        <f t="shared" si="29"/>
        <v>p5_pv1_nca_ss2_ges_niv_serv</v>
      </c>
      <c r="DM13" s="2960" t="str">
        <f t="shared" si="29"/>
        <v>p5_pv1_nca_ss2_ges_risque</v>
      </c>
      <c r="DN13" s="2960" t="str">
        <f t="shared" si="29"/>
        <v>p5_pv1_nca_ss2_ges_dem_avenir</v>
      </c>
      <c r="DO13" s="2960" t="str">
        <f t="shared" si="29"/>
        <v>p5_pv4_rb10_cmaint_fonc</v>
      </c>
      <c r="DP13" s="2960" t="str">
        <f t="shared" si="29"/>
        <v>p5_pv4_rb10_cmaint_immo</v>
      </c>
      <c r="DQ13" s="2960" t="str">
        <f t="shared" si="29"/>
        <v>p5_pv4_rb10_crattra_def_maint_act</v>
      </c>
      <c r="DR13" s="2960" t="str">
        <f t="shared" si="29"/>
        <v>p5_pv4_rb10_cadd_fonc_supp_acq</v>
      </c>
      <c r="DS13" s="2960" t="str">
        <f t="shared" si="29"/>
        <v>p5_pv4_rb10_cadd_ges_dem_avenir</v>
      </c>
      <c r="DT13" s="2960" t="str">
        <f t="shared" si="29"/>
        <v>p5_pv4_fonc_ss1_ges_niv_serv</v>
      </c>
      <c r="DU13" s="2960" t="str">
        <f t="shared" si="29"/>
        <v>p5_pv4_fonc_ss1_ges_risque</v>
      </c>
      <c r="DV13" s="2960" t="str">
        <f t="shared" si="29"/>
        <v>p5_pv4_fonc_ss1_ges_dem_avenir</v>
      </c>
      <c r="DW13" s="2960" t="str">
        <f t="shared" si="29"/>
        <v>p5_pv4_fonc_ss2_ges_niv_serv</v>
      </c>
      <c r="DX13" s="2960" t="str">
        <f t="shared" si="29"/>
        <v>p5_pv4_fonc_ss2_ges_risque</v>
      </c>
      <c r="DY13" s="2960" t="str">
        <f t="shared" si="29"/>
        <v>p5_pv4_fonc_ss2_ges_dem_avenir</v>
      </c>
      <c r="DZ13" s="2960" t="str">
        <f t="shared" si="29"/>
        <v>p5_pv4_immo_ss1_ges_niv_serv</v>
      </c>
      <c r="EA13" s="2960" t="str">
        <f t="shared" si="29"/>
        <v>p5_pv4_immo_ss1_ges_risque</v>
      </c>
      <c r="EB13" s="2960" t="str">
        <f t="shared" si="29"/>
        <v>p5_pv4_immo_ss1_ges_dem_avenir</v>
      </c>
      <c r="EC13" s="2960" t="str">
        <f t="shared" si="29"/>
        <v>p5_pv4_immo_ss2_ges_niv_serv</v>
      </c>
      <c r="ED13" s="2960" t="str">
        <f t="shared" si="29"/>
        <v>p5_pv4_immo_ss2_ges_risque</v>
      </c>
      <c r="EE13" s="2960" t="str">
        <f t="shared" si="29"/>
        <v>p5_pv4_immo_ss2_ges_dem_avenir</v>
      </c>
      <c r="EF13" s="2960" t="str">
        <f t="shared" si="29"/>
        <v>p6_pv1_ss1_c_prev_totaux</v>
      </c>
      <c r="EG13" s="2960" t="str">
        <f t="shared" si="29"/>
        <v>p6_pv1_0_ss1_recv_gouv_prov</v>
      </c>
      <c r="EH13" s="2960" t="str">
        <f t="shared" si="29"/>
        <v>p6_pv1_0_ss1_rev_mun</v>
      </c>
      <c r="EI13" s="2960" t="str">
        <f t="shared" si="29"/>
        <v>p6_pv1_0_ss1_budg_mun</v>
      </c>
      <c r="EJ13" s="2960" t="str">
        <f t="shared" si="29"/>
        <v>p6_pv1_0_ss1_deficit_fin</v>
      </c>
      <c r="EK13" s="2960" t="str">
        <f t="shared" si="29"/>
        <v>p6_pv1_0_ss2_c_prev_totaux</v>
      </c>
      <c r="EL13" s="2960" t="str">
        <f t="shared" si="29"/>
        <v>p6_pv1_0_ss2_recv_gouv_prov</v>
      </c>
      <c r="EM13" s="2960" t="str">
        <f t="shared" si="29"/>
        <v>p6_pv1_0_ss2_rev_mun</v>
      </c>
      <c r="EN13" s="2960" t="str">
        <f t="shared" si="29"/>
        <v>p6_pv1_0_ss2_budg_mun</v>
      </c>
      <c r="EO13" s="2960" t="str">
        <f t="shared" si="29"/>
        <v>p6_pv1_0_ss2_deficit_fin</v>
      </c>
      <c r="EP13" s="2960" t="str">
        <f t="shared" si="29"/>
        <v>p6_pv1_conf_finestfonc_ss1</v>
      </c>
      <c r="EQ13" s="2960" t="str">
        <f t="shared" si="29"/>
        <v>p6_pv1_conf_finestfonc_ss2</v>
      </c>
      <c r="ER13" s="2960" t="str">
        <f t="shared" si="29"/>
        <v>p6_pv1_conf_cexplor_ss1</v>
      </c>
      <c r="ES13" s="2960" t="str">
        <f t="shared" si="29"/>
        <v>p6_pv1_conf_cexplor_ss2</v>
      </c>
      <c r="ET13" s="2960" t="str">
        <f t="shared" si="29"/>
        <v>p6_pv2_ss1_c_prev_totaux</v>
      </c>
      <c r="EU13" s="2960" t="str">
        <f t="shared" si="29"/>
        <v>p6_pv2_ss1_exced_fonct</v>
      </c>
      <c r="EV13" s="2960" t="str">
        <f t="shared" ref="EV13:HH13" si="30">_xlfn.CONCAT(IF(EV8="","",EV8),IF(EV9="","","_"),IF(EV9="","",EV9),IF(EV10="","","_"),IF(EV10="","",EV10),IF(EV11="","","_"),IF(EV11="","",EV11),IF(EV12="","","_"),IF(EV12="","",EV12))</f>
        <v>p6_pv2_ss1_fin_gouv_prov</v>
      </c>
      <c r="EW13" s="2960" t="str">
        <f t="shared" si="30"/>
        <v>p6_pv2_ss1_autr_type_fin</v>
      </c>
      <c r="EX13" s="2960" t="str">
        <f t="shared" si="30"/>
        <v>p6_pv2_ss1_budg_mun</v>
      </c>
      <c r="EY13" s="2960" t="str">
        <f t="shared" si="30"/>
        <v>p6_pv2_ss1_deficit_fin</v>
      </c>
      <c r="EZ13" s="2960" t="str">
        <f t="shared" si="30"/>
        <v>p6_pv2_ss2_c_prev_totaux</v>
      </c>
      <c r="FA13" s="2960" t="str">
        <f t="shared" si="30"/>
        <v>p6_pv2_ss2_exced_fonct</v>
      </c>
      <c r="FB13" s="2960" t="str">
        <f t="shared" si="30"/>
        <v>p6_pv2_ss2_fin_gouv_prov</v>
      </c>
      <c r="FC13" s="2960" t="str">
        <f t="shared" si="30"/>
        <v>p6_pv2_ss2_autr_type_fin</v>
      </c>
      <c r="FD13" s="2960" t="str">
        <f t="shared" si="30"/>
        <v>p6_pv2_ss2_budg_mun</v>
      </c>
      <c r="FE13" s="2960" t="str">
        <f t="shared" si="30"/>
        <v>p6_pv2_ss2_deficit_fin</v>
      </c>
      <c r="FF13" s="2960" t="str">
        <f t="shared" si="30"/>
        <v>p6_pv2_conf_finestrenouvl_ss1</v>
      </c>
      <c r="FG13" s="2960" t="str">
        <f t="shared" si="30"/>
        <v>p6_pv2_conf_finestrenouvl_ss2</v>
      </c>
      <c r="FH13" s="2960" t="str">
        <f t="shared" si="30"/>
        <v>p6_pv2_conf_crenouvl_ss1</v>
      </c>
      <c r="FI13" s="2960" t="str">
        <f t="shared" si="30"/>
        <v>p6_pv2_conf_crenouvl_ss2</v>
      </c>
      <c r="FJ13" s="2960" t="str">
        <f t="shared" si="30"/>
        <v>p6_pv3_ss1_c_prev_totaux</v>
      </c>
      <c r="FK13" s="2960" t="str">
        <f t="shared" si="30"/>
        <v>p6_pv3_ss1_fin_gouv_prov</v>
      </c>
      <c r="FL13" s="2960" t="str">
        <f t="shared" si="30"/>
        <v>p6_pv3_ss1_autr_type_fin</v>
      </c>
      <c r="FM13" s="2960" t="str">
        <f t="shared" si="30"/>
        <v>p6_pv3_ss1_budg_mun</v>
      </c>
      <c r="FN13" s="2960" t="str">
        <f t="shared" si="30"/>
        <v>p6_pv3_ss1_deficit_fin</v>
      </c>
      <c r="FO13" s="2960" t="str">
        <f t="shared" si="30"/>
        <v>p6_pv3_ss2_c_prev_totaux</v>
      </c>
      <c r="FP13" s="2960" t="str">
        <f t="shared" si="30"/>
        <v>p6_pv3_ss2_fin_gouv_prov</v>
      </c>
      <c r="FQ13" s="2960" t="str">
        <f t="shared" si="30"/>
        <v>p6_pv3_ss2_autr_type_fin</v>
      </c>
      <c r="FR13" s="2960" t="str">
        <f t="shared" si="30"/>
        <v>p6_pv3_ss2_budg_mun</v>
      </c>
      <c r="FS13" s="2960" t="str">
        <f t="shared" si="30"/>
        <v>p6_pv3_ss2_deficit_fin</v>
      </c>
      <c r="FT13" s="2960" t="str">
        <f t="shared" si="30"/>
        <v>p6_pv3_conf_finestacqdisp_ss1</v>
      </c>
      <c r="FU13" s="2960" t="str">
        <f t="shared" si="30"/>
        <v>p6_pv3_conf_finestacqdisp_ss2</v>
      </c>
      <c r="FV13" s="2960" t="str">
        <f t="shared" si="30"/>
        <v>p6_pv3_conf_cacqdisp_ss1</v>
      </c>
      <c r="FW13" s="2960" t="str">
        <f t="shared" si="30"/>
        <v>p6_pv3_conf_cacqdisp_ss2</v>
      </c>
      <c r="FX13" s="2960" t="str">
        <f t="shared" si="30"/>
        <v>p7_pv1_ss1_nbobj_portrait</v>
      </c>
      <c r="FY13" s="2960" t="str">
        <f t="shared" si="30"/>
        <v>p7_pv1_ss1_nbobj_niv_service</v>
      </c>
      <c r="FZ13" s="2960" t="str">
        <f t="shared" si="30"/>
        <v>p7_pv1_ss1_nbobj_risque</v>
      </c>
      <c r="GA13" s="2960" t="str">
        <f t="shared" si="30"/>
        <v>p7_pv1_ss1_nbobj_demande</v>
      </c>
      <c r="GB13" s="2960" t="str">
        <f t="shared" si="30"/>
        <v>p7_pv1_ss1_nbobj_ccv_immo</v>
      </c>
      <c r="GC13" s="2960" t="str">
        <f t="shared" si="30"/>
        <v>p7_pv1_ss1_nbobj_ccv_fonc</v>
      </c>
      <c r="GD13" s="2960" t="str">
        <f t="shared" si="30"/>
        <v>p7_pv1_ss1_nbobj_finance</v>
      </c>
      <c r="GE13" s="2960" t="str">
        <f t="shared" si="30"/>
        <v>p7_pv1_ss1_nbobj_golbal</v>
      </c>
      <c r="GF13" s="2960" t="str">
        <f t="shared" si="30"/>
        <v>p7_pv1_ss1_cote5_portrait</v>
      </c>
      <c r="GG13" s="2960" t="str">
        <f t="shared" si="30"/>
        <v>p7_pv1_ss1_cote5_niv_service</v>
      </c>
      <c r="GH13" s="2960" t="str">
        <f t="shared" si="30"/>
        <v>p7_pv1_ss1_cote5_risque</v>
      </c>
      <c r="GI13" s="2960" t="str">
        <f t="shared" si="30"/>
        <v>p7_pv1_ss1_cote5_demande</v>
      </c>
      <c r="GJ13" s="2960" t="str">
        <f t="shared" si="30"/>
        <v>p7_pv1_ss1_cote5_ccv_immo</v>
      </c>
      <c r="GK13" s="2960" t="str">
        <f t="shared" si="30"/>
        <v>p7_pv1_ss1_cote5_ccv_fonc</v>
      </c>
      <c r="GL13" s="2960" t="str">
        <f t="shared" si="30"/>
        <v>p7_pv1_ss1_cote5_finance</v>
      </c>
      <c r="GM13" s="2960" t="str">
        <f t="shared" si="30"/>
        <v>p7_pv1_ss1_cote5_golbal</v>
      </c>
      <c r="GN13" s="2960" t="str">
        <f t="shared" si="30"/>
        <v>p7_pv1_ss2_nbobj_portrait</v>
      </c>
      <c r="GO13" s="2960" t="str">
        <f t="shared" si="30"/>
        <v>p7_pv1_ss2_nbobj_niv_service</v>
      </c>
      <c r="GP13" s="2960" t="str">
        <f t="shared" si="30"/>
        <v>p7_pv1_ss2_nbobj_risque</v>
      </c>
      <c r="GQ13" s="2960" t="str">
        <f t="shared" si="30"/>
        <v>p7_pv1_ss2_nbobj_demande</v>
      </c>
      <c r="GR13" s="2960" t="str">
        <f t="shared" si="30"/>
        <v>p7_pv1_ss2_nbobj_ccv_immo</v>
      </c>
      <c r="GS13" s="2960" t="str">
        <f t="shared" si="30"/>
        <v>p7_pv1_ss2_nbobj_ccv_fonc</v>
      </c>
      <c r="GT13" s="2960" t="str">
        <f t="shared" si="30"/>
        <v>p7_pv1_ss2_nbobj_finance</v>
      </c>
      <c r="GU13" s="2960" t="str">
        <f t="shared" si="30"/>
        <v>p7_pv1_ss2_nbobj_golbal</v>
      </c>
      <c r="GV13" s="2960" t="str">
        <f t="shared" si="30"/>
        <v>p7_pv1_ss2_cote5_portrait</v>
      </c>
      <c r="GW13" s="2960" t="str">
        <f t="shared" si="30"/>
        <v>p7_pv1_ss2_cote5_niv_service</v>
      </c>
      <c r="GX13" s="2960" t="str">
        <f t="shared" si="30"/>
        <v>p7_pv1_ss2_cote5_risque</v>
      </c>
      <c r="GY13" s="2960" t="str">
        <f t="shared" si="30"/>
        <v>p7_pv1_ss2_cote5_demande</v>
      </c>
      <c r="GZ13" s="2960" t="str">
        <f t="shared" si="30"/>
        <v>p7_pv1_ss2_cote5_ccv_immo</v>
      </c>
      <c r="HA13" s="2960" t="str">
        <f t="shared" si="30"/>
        <v>p7_pv1_ss2_cote5_ccv_fonc</v>
      </c>
      <c r="HB13" s="2960" t="str">
        <f t="shared" si="30"/>
        <v>p7_pv1_ss2_cote5_finance</v>
      </c>
      <c r="HC13" s="2960" t="str">
        <f t="shared" si="30"/>
        <v>p7_pv1_ss2_cote5_golbal</v>
      </c>
      <c r="HD13" s="2960" t="str">
        <f t="shared" si="30"/>
        <v>p7_pv1_ss1_cumul</v>
      </c>
      <c r="HE13" s="2960" t="str">
        <f t="shared" si="30"/>
        <v>p7_pv1_ss2_cumul</v>
      </c>
      <c r="HF13" s="2960" t="str">
        <f t="shared" si="30"/>
        <v>p7_pv2_ss1_nbobj_portrait</v>
      </c>
      <c r="HG13" s="2960" t="str">
        <f t="shared" si="30"/>
        <v>p7_pv2_ss1_nbobj_niv_service</v>
      </c>
      <c r="HH13" s="2960" t="str">
        <f t="shared" si="30"/>
        <v>p7_pv2_ss1_nbobj_risque</v>
      </c>
      <c r="HI13" s="2960" t="str">
        <f t="shared" ref="HI13:IM13" si="31">_xlfn.CONCAT(IF(HI8="","",HI8),IF(HI9="","","_"),IF(HI9="","",HI9),IF(HI10="","","_"),IF(HI10="","",HI10),IF(HI11="","","_"),IF(HI11="","",HI11),IF(HI12="","","_"),IF(HI12="","",HI12))</f>
        <v>p7_pv2_ss1_nbobj_demande</v>
      </c>
      <c r="HJ13" s="2960" t="str">
        <f t="shared" si="31"/>
        <v>p7_pv2_ss1_nbobj_ccv_immo</v>
      </c>
      <c r="HK13" s="2960" t="str">
        <f t="shared" si="31"/>
        <v>p7_pv2_ss1_nbobj_ccv_fonc</v>
      </c>
      <c r="HL13" s="2960" t="str">
        <f t="shared" si="31"/>
        <v>p7_pv2_ss1_nbobj_finance</v>
      </c>
      <c r="HM13" s="2960" t="str">
        <f t="shared" si="31"/>
        <v>p7_pv2_ss1_nbobj_golbal</v>
      </c>
      <c r="HN13" s="2960" t="str">
        <f t="shared" si="31"/>
        <v>p7_pv2_ss1_cote5_portrait</v>
      </c>
      <c r="HO13" s="2960" t="str">
        <f t="shared" si="31"/>
        <v>p7_pv2_ss1_cote5_niv_service</v>
      </c>
      <c r="HP13" s="2960" t="str">
        <f t="shared" si="31"/>
        <v>p7_pv2_ss1_cote5_risque</v>
      </c>
      <c r="HQ13" s="2960" t="str">
        <f t="shared" si="31"/>
        <v>p7_pv2_ss1_cote5_demande</v>
      </c>
      <c r="HR13" s="2960" t="str">
        <f t="shared" si="31"/>
        <v>p7_pv2_ss1_cote5_ccv_immo</v>
      </c>
      <c r="HS13" s="2960" t="str">
        <f t="shared" si="31"/>
        <v>p7_pv2_ss1_cote5_ccv_fonc</v>
      </c>
      <c r="HT13" s="2960" t="str">
        <f t="shared" si="31"/>
        <v>p7_pv2_ss1_cote5_finance</v>
      </c>
      <c r="HU13" s="2960" t="str">
        <f t="shared" si="31"/>
        <v>p7_pv2_ss1_cote5_golbal</v>
      </c>
      <c r="HV13" s="2960" t="str">
        <f t="shared" si="31"/>
        <v>p7_pv2_ss2_nbobj_portrait</v>
      </c>
      <c r="HW13" s="2960" t="str">
        <f t="shared" si="31"/>
        <v>p7_pv2_ss2_nbobj_niv_service</v>
      </c>
      <c r="HX13" s="2960" t="str">
        <f t="shared" si="31"/>
        <v>p7_pv2_ss2_nbobj_risque</v>
      </c>
      <c r="HY13" s="2960" t="str">
        <f t="shared" si="31"/>
        <v>p7_pv2_ss2_nbobj_demande</v>
      </c>
      <c r="HZ13" s="2960" t="str">
        <f t="shared" si="31"/>
        <v>p7_pv2_ss2_nbobj_ccv_immo</v>
      </c>
      <c r="IA13" s="2960" t="str">
        <f t="shared" si="31"/>
        <v>p7_pv2_ss2_nbobj_ccv_fonc</v>
      </c>
      <c r="IB13" s="2960" t="str">
        <f t="shared" si="31"/>
        <v>p7_pv2_ss2_nbobj_finance</v>
      </c>
      <c r="IC13" s="2960" t="str">
        <f t="shared" si="31"/>
        <v>p7_pv2_ss2_nbobj_golbal</v>
      </c>
      <c r="ID13" s="2960" t="str">
        <f t="shared" si="31"/>
        <v>p7_pv2_ss2_cote5_portrait</v>
      </c>
      <c r="IE13" s="2960" t="str">
        <f t="shared" si="31"/>
        <v>p7_pv2_ss2_cote5_niv_service</v>
      </c>
      <c r="IF13" s="2960" t="str">
        <f t="shared" si="31"/>
        <v>p7_pv2_ss2_cote5_risque</v>
      </c>
      <c r="IG13" s="2960" t="str">
        <f t="shared" si="31"/>
        <v>p7_pv2_ss2_cote5_demande</v>
      </c>
      <c r="IH13" s="2960" t="str">
        <f t="shared" si="31"/>
        <v>p7_pv2_ss2_cote5_ccv_immo</v>
      </c>
      <c r="II13" s="2960" t="str">
        <f t="shared" si="31"/>
        <v>p7_pv2_ss2_cote5_ccv_fonc</v>
      </c>
      <c r="IJ13" s="2960" t="str">
        <f t="shared" si="31"/>
        <v>p7_pv2_ss2_cote5_finance</v>
      </c>
      <c r="IK13" s="2960" t="str">
        <f t="shared" si="31"/>
        <v>p7_pv2_ss2_cote5_golbal</v>
      </c>
      <c r="IL13" s="2960" t="str">
        <f t="shared" si="31"/>
        <v>p7_pv2_ss1_cumul</v>
      </c>
      <c r="IM13" s="2960" t="str">
        <f t="shared" si="31"/>
        <v>p7_pv2_ss2_cumul</v>
      </c>
    </row>
    <row r="14" spans="1:247" s="2" customFormat="1">
      <c r="A14" s="2" t="s">
        <v>3672</v>
      </c>
      <c r="B14" s="2">
        <f>COUNTIF($A$18:$IM$18,B18)</f>
        <v>1</v>
      </c>
      <c r="C14" s="2">
        <f t="shared" ref="C14:BN14" si="32">COUNTIF($A$18:$IM$18,C18)</f>
        <v>1</v>
      </c>
      <c r="D14" s="2">
        <f t="shared" si="32"/>
        <v>1</v>
      </c>
      <c r="E14" s="2">
        <f t="shared" si="32"/>
        <v>1</v>
      </c>
      <c r="F14" s="2">
        <f t="shared" si="32"/>
        <v>1</v>
      </c>
      <c r="G14" s="2">
        <f t="shared" si="32"/>
        <v>1</v>
      </c>
      <c r="H14" s="2">
        <f t="shared" si="32"/>
        <v>1</v>
      </c>
      <c r="I14" s="2">
        <f t="shared" si="32"/>
        <v>1</v>
      </c>
      <c r="J14" s="2">
        <f t="shared" si="32"/>
        <v>1</v>
      </c>
      <c r="K14" s="2">
        <f t="shared" si="32"/>
        <v>1</v>
      </c>
      <c r="L14" s="2">
        <f t="shared" si="32"/>
        <v>1</v>
      </c>
      <c r="M14" s="2">
        <f t="shared" si="32"/>
        <v>1</v>
      </c>
      <c r="N14" s="2">
        <f t="shared" si="32"/>
        <v>1</v>
      </c>
      <c r="O14" s="2">
        <f t="shared" si="32"/>
        <v>1</v>
      </c>
      <c r="P14" s="2">
        <f t="shared" si="32"/>
        <v>1</v>
      </c>
      <c r="Q14" s="2">
        <f t="shared" si="32"/>
        <v>1</v>
      </c>
      <c r="R14" s="2">
        <f t="shared" si="32"/>
        <v>1</v>
      </c>
      <c r="S14" s="2">
        <f t="shared" si="32"/>
        <v>1</v>
      </c>
      <c r="T14" s="2">
        <f t="shared" si="32"/>
        <v>1</v>
      </c>
      <c r="U14" s="2">
        <f t="shared" si="32"/>
        <v>1</v>
      </c>
      <c r="V14" s="2">
        <f t="shared" si="32"/>
        <v>1</v>
      </c>
      <c r="W14" s="2">
        <f t="shared" si="32"/>
        <v>1</v>
      </c>
      <c r="X14" s="2">
        <f t="shared" si="32"/>
        <v>1</v>
      </c>
      <c r="Y14" s="2">
        <f t="shared" si="32"/>
        <v>1</v>
      </c>
      <c r="Z14" s="2">
        <f t="shared" si="32"/>
        <v>1</v>
      </c>
      <c r="AA14" s="2">
        <f t="shared" si="32"/>
        <v>1</v>
      </c>
      <c r="AB14" s="2">
        <f t="shared" si="32"/>
        <v>1</v>
      </c>
      <c r="AC14" s="2">
        <f t="shared" si="32"/>
        <v>1</v>
      </c>
      <c r="AD14" s="2">
        <f t="shared" si="32"/>
        <v>1</v>
      </c>
      <c r="AE14" s="2">
        <f t="shared" si="32"/>
        <v>1</v>
      </c>
      <c r="AF14" s="2">
        <f t="shared" si="32"/>
        <v>1</v>
      </c>
      <c r="AG14" s="2">
        <f t="shared" si="32"/>
        <v>1</v>
      </c>
      <c r="AH14" s="2">
        <f t="shared" si="32"/>
        <v>1</v>
      </c>
      <c r="AI14" s="2">
        <f t="shared" si="32"/>
        <v>1</v>
      </c>
      <c r="AJ14" s="2">
        <f t="shared" si="32"/>
        <v>1</v>
      </c>
      <c r="AK14" s="2">
        <f t="shared" si="32"/>
        <v>1</v>
      </c>
      <c r="AL14" s="2">
        <f t="shared" si="32"/>
        <v>1</v>
      </c>
      <c r="AM14" s="2">
        <f t="shared" si="32"/>
        <v>1</v>
      </c>
      <c r="AN14" s="2">
        <f t="shared" si="32"/>
        <v>1</v>
      </c>
      <c r="AO14" s="2">
        <f t="shared" si="32"/>
        <v>1</v>
      </c>
      <c r="AP14" s="2">
        <f t="shared" si="32"/>
        <v>1</v>
      </c>
      <c r="AQ14" s="2">
        <f t="shared" si="32"/>
        <v>1</v>
      </c>
      <c r="AR14" s="2">
        <f t="shared" si="32"/>
        <v>1</v>
      </c>
      <c r="AS14" s="2">
        <f t="shared" si="32"/>
        <v>1</v>
      </c>
      <c r="AT14" s="2">
        <f t="shared" si="32"/>
        <v>1</v>
      </c>
      <c r="AU14" s="2">
        <f t="shared" si="32"/>
        <v>1</v>
      </c>
      <c r="AV14" s="2">
        <f t="shared" si="32"/>
        <v>1</v>
      </c>
      <c r="AW14" s="2">
        <f t="shared" si="32"/>
        <v>1</v>
      </c>
      <c r="AX14" s="2">
        <f t="shared" si="32"/>
        <v>1</v>
      </c>
      <c r="AY14" s="2">
        <f t="shared" si="32"/>
        <v>1</v>
      </c>
      <c r="AZ14" s="2">
        <f t="shared" si="32"/>
        <v>1</v>
      </c>
      <c r="BA14" s="2">
        <f t="shared" si="32"/>
        <v>1</v>
      </c>
      <c r="BB14" s="2">
        <f t="shared" si="32"/>
        <v>1</v>
      </c>
      <c r="BC14" s="2">
        <f t="shared" si="32"/>
        <v>1</v>
      </c>
      <c r="BD14" s="2">
        <f t="shared" si="32"/>
        <v>1</v>
      </c>
      <c r="BE14" s="2">
        <f t="shared" si="32"/>
        <v>1</v>
      </c>
      <c r="BF14" s="2">
        <f t="shared" si="32"/>
        <v>1</v>
      </c>
      <c r="BG14" s="2">
        <f t="shared" si="32"/>
        <v>1</v>
      </c>
      <c r="BH14" s="2">
        <f t="shared" si="32"/>
        <v>1</v>
      </c>
      <c r="BI14" s="2">
        <f t="shared" si="32"/>
        <v>1</v>
      </c>
      <c r="BJ14" s="2">
        <f t="shared" si="32"/>
        <v>1</v>
      </c>
      <c r="BK14" s="2">
        <f t="shared" si="32"/>
        <v>1</v>
      </c>
      <c r="BL14" s="2">
        <f t="shared" si="32"/>
        <v>1</v>
      </c>
      <c r="BM14" s="2">
        <f t="shared" si="32"/>
        <v>1</v>
      </c>
      <c r="BN14" s="2">
        <f t="shared" si="32"/>
        <v>1</v>
      </c>
      <c r="BO14" s="2">
        <f t="shared" ref="BO14:DZ14" si="33">COUNTIF($A$18:$IM$18,BO18)</f>
        <v>1</v>
      </c>
      <c r="BP14" s="2">
        <f t="shared" si="33"/>
        <v>1</v>
      </c>
      <c r="BQ14" s="2">
        <f t="shared" si="33"/>
        <v>1</v>
      </c>
      <c r="BR14" s="2">
        <f t="shared" si="33"/>
        <v>1</v>
      </c>
      <c r="BS14" s="2">
        <f t="shared" si="33"/>
        <v>1</v>
      </c>
      <c r="BT14" s="2">
        <f t="shared" si="33"/>
        <v>1</v>
      </c>
      <c r="BU14" s="2">
        <f t="shared" si="33"/>
        <v>1</v>
      </c>
      <c r="BV14" s="2">
        <f t="shared" si="33"/>
        <v>1</v>
      </c>
      <c r="BW14" s="2">
        <f t="shared" si="33"/>
        <v>1</v>
      </c>
      <c r="BX14" s="2">
        <f t="shared" si="33"/>
        <v>1</v>
      </c>
      <c r="BY14" s="2">
        <f t="shared" si="33"/>
        <v>1</v>
      </c>
      <c r="BZ14" s="2">
        <f t="shared" si="33"/>
        <v>1</v>
      </c>
      <c r="CA14" s="2">
        <f t="shared" si="33"/>
        <v>1</v>
      </c>
      <c r="CB14" s="2">
        <f t="shared" si="33"/>
        <v>1</v>
      </c>
      <c r="CC14" s="2">
        <f t="shared" si="33"/>
        <v>1</v>
      </c>
      <c r="CD14" s="2">
        <f t="shared" si="33"/>
        <v>1</v>
      </c>
      <c r="CE14" s="2">
        <f t="shared" si="33"/>
        <v>1</v>
      </c>
      <c r="CF14" s="2">
        <f t="shared" si="33"/>
        <v>1</v>
      </c>
      <c r="CG14" s="2">
        <f t="shared" si="33"/>
        <v>1</v>
      </c>
      <c r="CH14" s="2">
        <f t="shared" si="33"/>
        <v>1</v>
      </c>
      <c r="CI14" s="2">
        <f t="shared" si="33"/>
        <v>1</v>
      </c>
      <c r="CJ14" s="2">
        <f t="shared" si="33"/>
        <v>1</v>
      </c>
      <c r="CK14" s="2">
        <f t="shared" si="33"/>
        <v>1</v>
      </c>
      <c r="CL14" s="2">
        <f t="shared" si="33"/>
        <v>1</v>
      </c>
      <c r="CM14" s="2">
        <f t="shared" si="33"/>
        <v>1</v>
      </c>
      <c r="CN14" s="2">
        <f t="shared" si="33"/>
        <v>1</v>
      </c>
      <c r="CO14" s="2">
        <f t="shared" si="33"/>
        <v>1</v>
      </c>
      <c r="CP14" s="2">
        <f t="shared" si="33"/>
        <v>1</v>
      </c>
      <c r="CQ14" s="2">
        <f t="shared" si="33"/>
        <v>1</v>
      </c>
      <c r="CR14" s="2">
        <f t="shared" si="33"/>
        <v>1</v>
      </c>
      <c r="CS14" s="2">
        <f t="shared" si="33"/>
        <v>1</v>
      </c>
      <c r="CT14" s="2">
        <f t="shared" si="33"/>
        <v>1</v>
      </c>
      <c r="CU14" s="2">
        <f t="shared" si="33"/>
        <v>1</v>
      </c>
      <c r="CV14" s="2">
        <f t="shared" si="33"/>
        <v>1</v>
      </c>
      <c r="CW14" s="2">
        <f t="shared" si="33"/>
        <v>1</v>
      </c>
      <c r="CX14" s="2">
        <f t="shared" si="33"/>
        <v>1</v>
      </c>
      <c r="CY14" s="2">
        <f t="shared" si="33"/>
        <v>1</v>
      </c>
      <c r="CZ14" s="2">
        <f t="shared" si="33"/>
        <v>1</v>
      </c>
      <c r="DA14" s="2">
        <f t="shared" si="33"/>
        <v>1</v>
      </c>
      <c r="DB14" s="2">
        <f t="shared" si="33"/>
        <v>1</v>
      </c>
      <c r="DC14" s="2">
        <f t="shared" si="33"/>
        <v>1</v>
      </c>
      <c r="DD14" s="2">
        <f t="shared" si="33"/>
        <v>1</v>
      </c>
      <c r="DE14" s="2">
        <f t="shared" si="33"/>
        <v>1</v>
      </c>
      <c r="DF14" s="2">
        <f t="shared" si="33"/>
        <v>1</v>
      </c>
      <c r="DG14" s="2">
        <f t="shared" si="33"/>
        <v>1</v>
      </c>
      <c r="DH14" s="2">
        <f t="shared" si="33"/>
        <v>1</v>
      </c>
      <c r="DI14" s="2">
        <f t="shared" si="33"/>
        <v>1</v>
      </c>
      <c r="DJ14" s="2">
        <f t="shared" si="33"/>
        <v>1</v>
      </c>
      <c r="DK14" s="2">
        <f t="shared" si="33"/>
        <v>1</v>
      </c>
      <c r="DL14" s="2">
        <f t="shared" si="33"/>
        <v>1</v>
      </c>
      <c r="DM14" s="2">
        <f t="shared" si="33"/>
        <v>1</v>
      </c>
      <c r="DN14" s="2">
        <f t="shared" si="33"/>
        <v>1</v>
      </c>
      <c r="DO14" s="2">
        <f t="shared" si="33"/>
        <v>1</v>
      </c>
      <c r="DP14" s="2">
        <f t="shared" si="33"/>
        <v>1</v>
      </c>
      <c r="DQ14" s="2">
        <f t="shared" si="33"/>
        <v>1</v>
      </c>
      <c r="DR14" s="2">
        <f t="shared" si="33"/>
        <v>1</v>
      </c>
      <c r="DS14" s="2">
        <f t="shared" si="33"/>
        <v>1</v>
      </c>
      <c r="DT14" s="2">
        <f t="shared" si="33"/>
        <v>1</v>
      </c>
      <c r="DU14" s="2">
        <f t="shared" si="33"/>
        <v>1</v>
      </c>
      <c r="DV14" s="2">
        <f t="shared" si="33"/>
        <v>1</v>
      </c>
      <c r="DW14" s="2">
        <f t="shared" si="33"/>
        <v>1</v>
      </c>
      <c r="DX14" s="2">
        <f t="shared" si="33"/>
        <v>1</v>
      </c>
      <c r="DY14" s="2">
        <f t="shared" si="33"/>
        <v>1</v>
      </c>
      <c r="DZ14" s="2">
        <f t="shared" si="33"/>
        <v>1</v>
      </c>
      <c r="EA14" s="2">
        <f t="shared" ref="EA14:GL14" si="34">COUNTIF($A$18:$IM$18,EA18)</f>
        <v>1</v>
      </c>
      <c r="EB14" s="2">
        <f t="shared" si="34"/>
        <v>1</v>
      </c>
      <c r="EC14" s="2">
        <f t="shared" si="34"/>
        <v>1</v>
      </c>
      <c r="ED14" s="2">
        <f t="shared" si="34"/>
        <v>1</v>
      </c>
      <c r="EE14" s="2">
        <f t="shared" si="34"/>
        <v>1</v>
      </c>
      <c r="EF14" s="2">
        <f t="shared" si="34"/>
        <v>1</v>
      </c>
      <c r="EG14" s="2">
        <f t="shared" si="34"/>
        <v>1</v>
      </c>
      <c r="EH14" s="2">
        <f t="shared" si="34"/>
        <v>1</v>
      </c>
      <c r="EI14" s="2">
        <f t="shared" si="34"/>
        <v>1</v>
      </c>
      <c r="EJ14" s="2">
        <f t="shared" si="34"/>
        <v>1</v>
      </c>
      <c r="EK14" s="2">
        <f t="shared" si="34"/>
        <v>1</v>
      </c>
      <c r="EL14" s="2">
        <f t="shared" si="34"/>
        <v>1</v>
      </c>
      <c r="EM14" s="2">
        <f t="shared" si="34"/>
        <v>1</v>
      </c>
      <c r="EN14" s="2">
        <f t="shared" si="34"/>
        <v>1</v>
      </c>
      <c r="EO14" s="2">
        <f t="shared" si="34"/>
        <v>1</v>
      </c>
      <c r="EP14" s="2">
        <f t="shared" si="34"/>
        <v>1</v>
      </c>
      <c r="EQ14" s="2">
        <f t="shared" si="34"/>
        <v>1</v>
      </c>
      <c r="ER14" s="2">
        <f t="shared" si="34"/>
        <v>1</v>
      </c>
      <c r="ES14" s="2">
        <f t="shared" si="34"/>
        <v>1</v>
      </c>
      <c r="ET14" s="2">
        <f t="shared" si="34"/>
        <v>1</v>
      </c>
      <c r="EU14" s="2">
        <f t="shared" si="34"/>
        <v>1</v>
      </c>
      <c r="EV14" s="2">
        <f t="shared" si="34"/>
        <v>1</v>
      </c>
      <c r="EW14" s="2">
        <f t="shared" si="34"/>
        <v>1</v>
      </c>
      <c r="EX14" s="2">
        <f t="shared" si="34"/>
        <v>1</v>
      </c>
      <c r="EY14" s="2">
        <f t="shared" si="34"/>
        <v>1</v>
      </c>
      <c r="EZ14" s="2">
        <f t="shared" si="34"/>
        <v>1</v>
      </c>
      <c r="FA14" s="2">
        <f t="shared" si="34"/>
        <v>1</v>
      </c>
      <c r="FB14" s="2">
        <f t="shared" si="34"/>
        <v>1</v>
      </c>
      <c r="FC14" s="2">
        <f t="shared" si="34"/>
        <v>1</v>
      </c>
      <c r="FD14" s="2">
        <f t="shared" si="34"/>
        <v>1</v>
      </c>
      <c r="FE14" s="2">
        <f t="shared" si="34"/>
        <v>1</v>
      </c>
      <c r="FF14" s="2">
        <f t="shared" si="34"/>
        <v>1</v>
      </c>
      <c r="FG14" s="2">
        <f t="shared" si="34"/>
        <v>1</v>
      </c>
      <c r="FH14" s="2">
        <f t="shared" si="34"/>
        <v>1</v>
      </c>
      <c r="FI14" s="2">
        <f t="shared" si="34"/>
        <v>1</v>
      </c>
      <c r="FJ14" s="2">
        <f t="shared" si="34"/>
        <v>1</v>
      </c>
      <c r="FK14" s="2">
        <f t="shared" si="34"/>
        <v>1</v>
      </c>
      <c r="FL14" s="2">
        <f t="shared" si="34"/>
        <v>1</v>
      </c>
      <c r="FM14" s="2">
        <f t="shared" si="34"/>
        <v>1</v>
      </c>
      <c r="FN14" s="2">
        <f t="shared" si="34"/>
        <v>1</v>
      </c>
      <c r="FO14" s="2">
        <f t="shared" si="34"/>
        <v>1</v>
      </c>
      <c r="FP14" s="2">
        <f t="shared" si="34"/>
        <v>1</v>
      </c>
      <c r="FQ14" s="2">
        <f t="shared" si="34"/>
        <v>1</v>
      </c>
      <c r="FR14" s="2">
        <f t="shared" si="34"/>
        <v>1</v>
      </c>
      <c r="FS14" s="2">
        <f t="shared" si="34"/>
        <v>1</v>
      </c>
      <c r="FT14" s="2">
        <f t="shared" si="34"/>
        <v>1</v>
      </c>
      <c r="FU14" s="2">
        <f t="shared" si="34"/>
        <v>1</v>
      </c>
      <c r="FV14" s="2">
        <f t="shared" si="34"/>
        <v>1</v>
      </c>
      <c r="FW14" s="2">
        <f t="shared" si="34"/>
        <v>1</v>
      </c>
      <c r="FX14" s="2">
        <f t="shared" si="34"/>
        <v>1</v>
      </c>
      <c r="FY14" s="2">
        <f t="shared" si="34"/>
        <v>1</v>
      </c>
      <c r="FZ14" s="2">
        <f t="shared" si="34"/>
        <v>1</v>
      </c>
      <c r="GA14" s="2">
        <f t="shared" si="34"/>
        <v>1</v>
      </c>
      <c r="GB14" s="2">
        <f t="shared" si="34"/>
        <v>1</v>
      </c>
      <c r="GC14" s="2">
        <f t="shared" si="34"/>
        <v>1</v>
      </c>
      <c r="GD14" s="2">
        <f t="shared" si="34"/>
        <v>1</v>
      </c>
      <c r="GE14" s="2">
        <f t="shared" si="34"/>
        <v>1</v>
      </c>
      <c r="GF14" s="2">
        <f t="shared" si="34"/>
        <v>1</v>
      </c>
      <c r="GG14" s="2">
        <f t="shared" si="34"/>
        <v>1</v>
      </c>
      <c r="GH14" s="2">
        <f t="shared" si="34"/>
        <v>1</v>
      </c>
      <c r="GI14" s="2">
        <f t="shared" si="34"/>
        <v>1</v>
      </c>
      <c r="GJ14" s="2">
        <f t="shared" si="34"/>
        <v>1</v>
      </c>
      <c r="GK14" s="2">
        <f t="shared" si="34"/>
        <v>1</v>
      </c>
      <c r="GL14" s="2">
        <f t="shared" si="34"/>
        <v>1</v>
      </c>
      <c r="GM14" s="2">
        <f t="shared" ref="GM14:IM14" si="35">COUNTIF($A$18:$IM$18,GM18)</f>
        <v>1</v>
      </c>
      <c r="GN14" s="2">
        <f t="shared" si="35"/>
        <v>1</v>
      </c>
      <c r="GO14" s="2">
        <f t="shared" si="35"/>
        <v>1</v>
      </c>
      <c r="GP14" s="2">
        <f t="shared" si="35"/>
        <v>1</v>
      </c>
      <c r="GQ14" s="2">
        <f t="shared" si="35"/>
        <v>1</v>
      </c>
      <c r="GR14" s="2">
        <f t="shared" si="35"/>
        <v>1</v>
      </c>
      <c r="GS14" s="2">
        <f t="shared" si="35"/>
        <v>1</v>
      </c>
      <c r="GT14" s="2">
        <f t="shared" si="35"/>
        <v>1</v>
      </c>
      <c r="GU14" s="2">
        <f t="shared" si="35"/>
        <v>1</v>
      </c>
      <c r="GV14" s="2">
        <f t="shared" si="35"/>
        <v>1</v>
      </c>
      <c r="GW14" s="2">
        <f t="shared" si="35"/>
        <v>1</v>
      </c>
      <c r="GX14" s="2">
        <f t="shared" si="35"/>
        <v>1</v>
      </c>
      <c r="GY14" s="2">
        <f t="shared" si="35"/>
        <v>1</v>
      </c>
      <c r="GZ14" s="2">
        <f t="shared" si="35"/>
        <v>1</v>
      </c>
      <c r="HA14" s="2">
        <f t="shared" si="35"/>
        <v>1</v>
      </c>
      <c r="HB14" s="2">
        <f t="shared" si="35"/>
        <v>1</v>
      </c>
      <c r="HC14" s="2">
        <f t="shared" si="35"/>
        <v>1</v>
      </c>
      <c r="HD14" s="2">
        <f t="shared" si="35"/>
        <v>1</v>
      </c>
      <c r="HE14" s="2">
        <f t="shared" si="35"/>
        <v>1</v>
      </c>
      <c r="HF14" s="2">
        <f t="shared" si="35"/>
        <v>1</v>
      </c>
      <c r="HG14" s="2">
        <f t="shared" si="35"/>
        <v>1</v>
      </c>
      <c r="HH14" s="2">
        <f t="shared" si="35"/>
        <v>1</v>
      </c>
      <c r="HI14" s="2">
        <f t="shared" si="35"/>
        <v>1</v>
      </c>
      <c r="HJ14" s="2">
        <f t="shared" si="35"/>
        <v>1</v>
      </c>
      <c r="HK14" s="2">
        <f t="shared" si="35"/>
        <v>1</v>
      </c>
      <c r="HL14" s="2">
        <f t="shared" si="35"/>
        <v>1</v>
      </c>
      <c r="HM14" s="2">
        <f t="shared" si="35"/>
        <v>1</v>
      </c>
      <c r="HN14" s="2">
        <f t="shared" si="35"/>
        <v>1</v>
      </c>
      <c r="HO14" s="2">
        <f t="shared" si="35"/>
        <v>1</v>
      </c>
      <c r="HP14" s="2">
        <f t="shared" si="35"/>
        <v>1</v>
      </c>
      <c r="HQ14" s="2">
        <f t="shared" si="35"/>
        <v>1</v>
      </c>
      <c r="HR14" s="2">
        <f t="shared" si="35"/>
        <v>1</v>
      </c>
      <c r="HS14" s="2">
        <f t="shared" si="35"/>
        <v>1</v>
      </c>
      <c r="HT14" s="2">
        <f t="shared" si="35"/>
        <v>1</v>
      </c>
      <c r="HU14" s="2">
        <f t="shared" si="35"/>
        <v>1</v>
      </c>
      <c r="HV14" s="2">
        <f t="shared" si="35"/>
        <v>1</v>
      </c>
      <c r="HW14" s="2">
        <f t="shared" si="35"/>
        <v>1</v>
      </c>
      <c r="HX14" s="2">
        <f t="shared" si="35"/>
        <v>1</v>
      </c>
      <c r="HY14" s="2">
        <f t="shared" si="35"/>
        <v>1</v>
      </c>
      <c r="HZ14" s="2">
        <f t="shared" si="35"/>
        <v>1</v>
      </c>
      <c r="IA14" s="2">
        <f t="shared" si="35"/>
        <v>1</v>
      </c>
      <c r="IB14" s="2">
        <f t="shared" si="35"/>
        <v>1</v>
      </c>
      <c r="IC14" s="2">
        <f t="shared" si="35"/>
        <v>1</v>
      </c>
      <c r="ID14" s="2">
        <f t="shared" si="35"/>
        <v>1</v>
      </c>
      <c r="IE14" s="2">
        <f t="shared" si="35"/>
        <v>1</v>
      </c>
      <c r="IF14" s="2">
        <f t="shared" si="35"/>
        <v>1</v>
      </c>
      <c r="IG14" s="2">
        <f t="shared" si="35"/>
        <v>1</v>
      </c>
      <c r="IH14" s="2">
        <f t="shared" si="35"/>
        <v>1</v>
      </c>
      <c r="II14" s="2">
        <f t="shared" si="35"/>
        <v>1</v>
      </c>
      <c r="IJ14" s="2">
        <f t="shared" si="35"/>
        <v>1</v>
      </c>
      <c r="IK14" s="2">
        <f t="shared" si="35"/>
        <v>1</v>
      </c>
      <c r="IL14" s="2">
        <f t="shared" si="35"/>
        <v>1</v>
      </c>
      <c r="IM14" s="2">
        <f t="shared" si="35"/>
        <v>1</v>
      </c>
    </row>
    <row r="15" spans="1:247" s="2" customFormat="1">
      <c r="A15" s="2962" t="s">
        <v>3673</v>
      </c>
      <c r="B15" s="2" t="b">
        <f>B13=B18</f>
        <v>1</v>
      </c>
      <c r="C15" s="2" t="b">
        <f t="shared" ref="C15:BN15" si="36">C13=C18</f>
        <v>1</v>
      </c>
      <c r="D15" s="2" t="b">
        <f t="shared" si="36"/>
        <v>1</v>
      </c>
      <c r="E15" s="2" t="b">
        <f t="shared" si="36"/>
        <v>1</v>
      </c>
      <c r="F15" s="2" t="b">
        <f t="shared" si="36"/>
        <v>1</v>
      </c>
      <c r="G15" s="2" t="b">
        <f t="shared" si="36"/>
        <v>1</v>
      </c>
      <c r="H15" s="2" t="b">
        <f t="shared" si="36"/>
        <v>1</v>
      </c>
      <c r="I15" s="2" t="b">
        <f t="shared" si="36"/>
        <v>1</v>
      </c>
      <c r="J15" s="2" t="b">
        <f t="shared" si="36"/>
        <v>1</v>
      </c>
      <c r="K15" s="2" t="b">
        <f t="shared" si="36"/>
        <v>1</v>
      </c>
      <c r="L15" s="2" t="b">
        <f t="shared" si="36"/>
        <v>1</v>
      </c>
      <c r="M15" s="2" t="b">
        <f t="shared" si="36"/>
        <v>1</v>
      </c>
      <c r="N15" s="2" t="b">
        <f t="shared" si="36"/>
        <v>1</v>
      </c>
      <c r="O15" s="2" t="b">
        <f t="shared" si="36"/>
        <v>1</v>
      </c>
      <c r="P15" s="2" t="b">
        <f t="shared" si="36"/>
        <v>1</v>
      </c>
      <c r="Q15" s="2" t="b">
        <f t="shared" si="36"/>
        <v>1</v>
      </c>
      <c r="R15" s="2" t="b">
        <f t="shared" si="36"/>
        <v>1</v>
      </c>
      <c r="S15" s="2" t="b">
        <f t="shared" si="36"/>
        <v>1</v>
      </c>
      <c r="T15" s="2" t="b">
        <f t="shared" si="36"/>
        <v>1</v>
      </c>
      <c r="U15" s="2" t="b">
        <f t="shared" si="36"/>
        <v>1</v>
      </c>
      <c r="V15" s="2" t="b">
        <f t="shared" si="36"/>
        <v>1</v>
      </c>
      <c r="W15" s="2" t="b">
        <f t="shared" si="36"/>
        <v>1</v>
      </c>
      <c r="X15" s="2" t="b">
        <f t="shared" si="36"/>
        <v>1</v>
      </c>
      <c r="Y15" s="2" t="b">
        <f t="shared" si="36"/>
        <v>1</v>
      </c>
      <c r="Z15" s="2" t="b">
        <f t="shared" si="36"/>
        <v>1</v>
      </c>
      <c r="AA15" s="2" t="b">
        <f t="shared" si="36"/>
        <v>1</v>
      </c>
      <c r="AB15" s="2" t="b">
        <f t="shared" si="36"/>
        <v>1</v>
      </c>
      <c r="AC15" s="2" t="b">
        <f t="shared" si="36"/>
        <v>1</v>
      </c>
      <c r="AD15" s="2" t="b">
        <f t="shared" si="36"/>
        <v>1</v>
      </c>
      <c r="AE15" s="2" t="b">
        <f t="shared" si="36"/>
        <v>1</v>
      </c>
      <c r="AF15" s="2" t="b">
        <f t="shared" si="36"/>
        <v>1</v>
      </c>
      <c r="AG15" s="2" t="b">
        <f t="shared" si="36"/>
        <v>1</v>
      </c>
      <c r="AH15" s="2" t="b">
        <f t="shared" si="36"/>
        <v>1</v>
      </c>
      <c r="AI15" s="2" t="b">
        <f t="shared" si="36"/>
        <v>1</v>
      </c>
      <c r="AJ15" s="2" t="b">
        <f t="shared" si="36"/>
        <v>1</v>
      </c>
      <c r="AK15" s="2" t="b">
        <f t="shared" si="36"/>
        <v>1</v>
      </c>
      <c r="AL15" s="2" t="b">
        <f t="shared" si="36"/>
        <v>1</v>
      </c>
      <c r="AM15" s="2" t="b">
        <f t="shared" si="36"/>
        <v>1</v>
      </c>
      <c r="AN15" s="2" t="b">
        <f t="shared" si="36"/>
        <v>1</v>
      </c>
      <c r="AO15" s="2" t="b">
        <f t="shared" si="36"/>
        <v>1</v>
      </c>
      <c r="AP15" s="2" t="b">
        <f t="shared" si="36"/>
        <v>1</v>
      </c>
      <c r="AQ15" s="2" t="b">
        <f t="shared" si="36"/>
        <v>1</v>
      </c>
      <c r="AR15" s="2" t="b">
        <f t="shared" si="36"/>
        <v>1</v>
      </c>
      <c r="AS15" s="2" t="b">
        <f t="shared" si="36"/>
        <v>1</v>
      </c>
      <c r="AT15" s="2" t="b">
        <f t="shared" si="36"/>
        <v>1</v>
      </c>
      <c r="AU15" s="2" t="b">
        <f t="shared" si="36"/>
        <v>1</v>
      </c>
      <c r="AV15" s="2" t="b">
        <f t="shared" si="36"/>
        <v>1</v>
      </c>
      <c r="AW15" s="2" t="b">
        <f t="shared" si="36"/>
        <v>1</v>
      </c>
      <c r="AX15" s="2" t="b">
        <f t="shared" si="36"/>
        <v>1</v>
      </c>
      <c r="AY15" s="2" t="b">
        <f t="shared" si="36"/>
        <v>1</v>
      </c>
      <c r="AZ15" s="2" t="b">
        <f t="shared" si="36"/>
        <v>1</v>
      </c>
      <c r="BA15" s="2" t="b">
        <f t="shared" si="36"/>
        <v>1</v>
      </c>
      <c r="BB15" s="2" t="b">
        <f t="shared" si="36"/>
        <v>1</v>
      </c>
      <c r="BC15" s="2" t="b">
        <f t="shared" si="36"/>
        <v>1</v>
      </c>
      <c r="BD15" s="2" t="b">
        <f t="shared" si="36"/>
        <v>1</v>
      </c>
      <c r="BE15" s="2" t="b">
        <f t="shared" si="36"/>
        <v>1</v>
      </c>
      <c r="BF15" s="2" t="b">
        <f t="shared" si="36"/>
        <v>1</v>
      </c>
      <c r="BG15" s="2" t="b">
        <f t="shared" si="36"/>
        <v>1</v>
      </c>
      <c r="BH15" s="2" t="b">
        <f t="shared" si="36"/>
        <v>1</v>
      </c>
      <c r="BI15" s="2" t="b">
        <f t="shared" si="36"/>
        <v>1</v>
      </c>
      <c r="BJ15" s="2" t="b">
        <f t="shared" si="36"/>
        <v>1</v>
      </c>
      <c r="BK15" s="2" t="b">
        <f t="shared" si="36"/>
        <v>1</v>
      </c>
      <c r="BL15" s="2" t="b">
        <f t="shared" si="36"/>
        <v>1</v>
      </c>
      <c r="BM15" s="2" t="b">
        <f t="shared" si="36"/>
        <v>1</v>
      </c>
      <c r="BN15" s="2" t="b">
        <f t="shared" si="36"/>
        <v>1</v>
      </c>
      <c r="BO15" s="2" t="b">
        <f t="shared" ref="BO15:ET15" si="37">BO13=BO18</f>
        <v>1</v>
      </c>
      <c r="BP15" s="2" t="b">
        <f t="shared" si="37"/>
        <v>1</v>
      </c>
      <c r="BQ15" s="2" t="b">
        <f t="shared" si="37"/>
        <v>1</v>
      </c>
      <c r="BR15" s="2" t="b">
        <f t="shared" si="37"/>
        <v>1</v>
      </c>
      <c r="BS15" s="2" t="b">
        <f t="shared" si="37"/>
        <v>1</v>
      </c>
      <c r="BT15" s="2" t="b">
        <f t="shared" si="37"/>
        <v>1</v>
      </c>
      <c r="BU15" s="2" t="b">
        <f t="shared" si="37"/>
        <v>1</v>
      </c>
      <c r="BV15" s="2" t="b">
        <f t="shared" si="37"/>
        <v>1</v>
      </c>
      <c r="BW15" s="2" t="b">
        <f t="shared" si="37"/>
        <v>1</v>
      </c>
      <c r="BX15" s="2" t="b">
        <f t="shared" si="37"/>
        <v>1</v>
      </c>
      <c r="BY15" s="2" t="b">
        <f t="shared" si="37"/>
        <v>1</v>
      </c>
      <c r="BZ15" s="2" t="b">
        <f t="shared" si="37"/>
        <v>1</v>
      </c>
      <c r="CA15" s="2" t="b">
        <f t="shared" si="37"/>
        <v>1</v>
      </c>
      <c r="CB15" s="2" t="b">
        <f t="shared" si="37"/>
        <v>1</v>
      </c>
      <c r="CC15" s="2" t="b">
        <f t="shared" si="37"/>
        <v>1</v>
      </c>
      <c r="CD15" s="2" t="b">
        <f t="shared" si="37"/>
        <v>1</v>
      </c>
      <c r="CE15" s="2" t="b">
        <f t="shared" si="37"/>
        <v>1</v>
      </c>
      <c r="CF15" s="2" t="b">
        <f t="shared" si="37"/>
        <v>1</v>
      </c>
      <c r="CG15" s="2" t="b">
        <f t="shared" si="37"/>
        <v>1</v>
      </c>
      <c r="CH15" s="2" t="b">
        <f t="shared" si="37"/>
        <v>1</v>
      </c>
      <c r="CI15" s="2" t="b">
        <f t="shared" si="37"/>
        <v>1</v>
      </c>
      <c r="CJ15" s="2" t="b">
        <f t="shared" si="37"/>
        <v>1</v>
      </c>
      <c r="CK15" s="2" t="b">
        <f t="shared" si="37"/>
        <v>1</v>
      </c>
      <c r="CL15" s="2" t="b">
        <f t="shared" si="37"/>
        <v>1</v>
      </c>
      <c r="CM15" s="2" t="b">
        <f t="shared" si="37"/>
        <v>1</v>
      </c>
      <c r="CN15" s="2" t="b">
        <f t="shared" si="37"/>
        <v>1</v>
      </c>
      <c r="CO15" s="2" t="b">
        <f t="shared" si="37"/>
        <v>1</v>
      </c>
      <c r="CP15" s="2" t="b">
        <f t="shared" si="37"/>
        <v>1</v>
      </c>
      <c r="CQ15" s="2" t="b">
        <f t="shared" si="37"/>
        <v>1</v>
      </c>
      <c r="CR15" s="2" t="b">
        <f t="shared" si="37"/>
        <v>1</v>
      </c>
      <c r="CS15" s="2" t="b">
        <f t="shared" si="37"/>
        <v>1</v>
      </c>
      <c r="CT15" s="2" t="b">
        <f t="shared" si="37"/>
        <v>1</v>
      </c>
      <c r="CU15" s="2" t="b">
        <f t="shared" si="37"/>
        <v>1</v>
      </c>
      <c r="CV15" s="2" t="b">
        <f t="shared" si="37"/>
        <v>1</v>
      </c>
      <c r="CW15" s="2" t="b">
        <f t="shared" si="37"/>
        <v>1</v>
      </c>
      <c r="CX15" s="2" t="b">
        <f t="shared" si="37"/>
        <v>1</v>
      </c>
      <c r="CY15" s="2" t="b">
        <f t="shared" si="37"/>
        <v>1</v>
      </c>
      <c r="CZ15" s="2" t="b">
        <f t="shared" si="37"/>
        <v>1</v>
      </c>
      <c r="DA15" s="2" t="b">
        <f t="shared" si="37"/>
        <v>1</v>
      </c>
      <c r="DB15" s="2" t="b">
        <f t="shared" si="37"/>
        <v>1</v>
      </c>
      <c r="DC15" s="2" t="b">
        <f t="shared" si="37"/>
        <v>1</v>
      </c>
      <c r="DD15" s="2" t="b">
        <f t="shared" si="37"/>
        <v>1</v>
      </c>
      <c r="DE15" s="2" t="b">
        <f t="shared" si="37"/>
        <v>1</v>
      </c>
      <c r="DF15" s="2" t="b">
        <f t="shared" si="37"/>
        <v>1</v>
      </c>
      <c r="DG15" s="2" t="b">
        <f t="shared" si="37"/>
        <v>1</v>
      </c>
      <c r="DH15" s="2" t="b">
        <f t="shared" si="37"/>
        <v>1</v>
      </c>
      <c r="DI15" s="2" t="b">
        <f t="shared" si="37"/>
        <v>1</v>
      </c>
      <c r="DJ15" s="2" t="b">
        <f t="shared" si="37"/>
        <v>1</v>
      </c>
      <c r="DK15" s="2" t="b">
        <f t="shared" si="37"/>
        <v>1</v>
      </c>
      <c r="DL15" s="2" t="b">
        <f t="shared" si="37"/>
        <v>1</v>
      </c>
      <c r="DM15" s="2" t="b">
        <f t="shared" si="37"/>
        <v>1</v>
      </c>
      <c r="DN15" s="2" t="b">
        <f t="shared" si="37"/>
        <v>1</v>
      </c>
      <c r="DO15" s="2" t="b">
        <f t="shared" si="37"/>
        <v>1</v>
      </c>
      <c r="DP15" s="2" t="b">
        <f t="shared" si="37"/>
        <v>1</v>
      </c>
      <c r="DQ15" s="2" t="b">
        <f t="shared" si="37"/>
        <v>1</v>
      </c>
      <c r="DR15" s="2" t="b">
        <f t="shared" si="37"/>
        <v>1</v>
      </c>
      <c r="DS15" s="2" t="b">
        <f t="shared" si="37"/>
        <v>1</v>
      </c>
      <c r="DT15" s="2" t="b">
        <f t="shared" si="37"/>
        <v>1</v>
      </c>
      <c r="DU15" s="2" t="b">
        <f t="shared" si="37"/>
        <v>1</v>
      </c>
      <c r="DV15" s="2" t="b">
        <f t="shared" si="37"/>
        <v>1</v>
      </c>
      <c r="DW15" s="2" t="b">
        <f t="shared" si="37"/>
        <v>1</v>
      </c>
      <c r="DX15" s="2" t="b">
        <f t="shared" si="37"/>
        <v>1</v>
      </c>
      <c r="DY15" s="2" t="b">
        <f t="shared" si="37"/>
        <v>1</v>
      </c>
      <c r="DZ15" s="2" t="b">
        <f t="shared" si="37"/>
        <v>1</v>
      </c>
      <c r="EA15" s="2" t="b">
        <f t="shared" si="37"/>
        <v>1</v>
      </c>
      <c r="EB15" s="2" t="b">
        <f t="shared" si="37"/>
        <v>1</v>
      </c>
      <c r="EC15" s="2" t="b">
        <f t="shared" si="37"/>
        <v>1</v>
      </c>
      <c r="ED15" s="2" t="b">
        <f t="shared" si="37"/>
        <v>1</v>
      </c>
      <c r="EE15" s="2" t="b">
        <f t="shared" si="37"/>
        <v>1</v>
      </c>
      <c r="EF15" s="2" t="b">
        <f t="shared" si="37"/>
        <v>1</v>
      </c>
      <c r="EG15" s="2" t="b">
        <f t="shared" si="37"/>
        <v>1</v>
      </c>
      <c r="EH15" s="2" t="b">
        <f t="shared" si="37"/>
        <v>1</v>
      </c>
      <c r="EI15" s="2" t="b">
        <f t="shared" si="37"/>
        <v>1</v>
      </c>
      <c r="EJ15" s="2" t="b">
        <f t="shared" si="37"/>
        <v>1</v>
      </c>
      <c r="EK15" s="2" t="b">
        <f t="shared" si="37"/>
        <v>1</v>
      </c>
      <c r="EL15" s="2" t="b">
        <f t="shared" si="37"/>
        <v>1</v>
      </c>
      <c r="EM15" s="2" t="b">
        <f t="shared" si="37"/>
        <v>1</v>
      </c>
      <c r="EN15" s="2" t="b">
        <f t="shared" si="37"/>
        <v>1</v>
      </c>
      <c r="EO15" s="2" t="b">
        <f t="shared" si="37"/>
        <v>1</v>
      </c>
      <c r="EP15" s="2" t="b">
        <f t="shared" si="37"/>
        <v>1</v>
      </c>
      <c r="EQ15" s="2" t="b">
        <f t="shared" si="37"/>
        <v>1</v>
      </c>
      <c r="ER15" s="2" t="b">
        <f t="shared" si="37"/>
        <v>1</v>
      </c>
      <c r="ES15" s="2" t="b">
        <f t="shared" si="37"/>
        <v>1</v>
      </c>
      <c r="ET15" s="2" t="b">
        <f t="shared" si="37"/>
        <v>1</v>
      </c>
      <c r="EU15" s="2" t="b">
        <f t="shared" ref="EU15:HF15" si="38">EU13=EU18</f>
        <v>1</v>
      </c>
      <c r="EV15" s="2" t="b">
        <f t="shared" si="38"/>
        <v>1</v>
      </c>
      <c r="EW15" s="2" t="b">
        <f t="shared" si="38"/>
        <v>1</v>
      </c>
      <c r="EX15" s="2" t="b">
        <f t="shared" si="38"/>
        <v>1</v>
      </c>
      <c r="EY15" s="2" t="b">
        <f t="shared" si="38"/>
        <v>1</v>
      </c>
      <c r="EZ15" s="2" t="b">
        <f t="shared" si="38"/>
        <v>1</v>
      </c>
      <c r="FA15" s="2" t="b">
        <f t="shared" si="38"/>
        <v>1</v>
      </c>
      <c r="FB15" s="2" t="b">
        <f t="shared" si="38"/>
        <v>1</v>
      </c>
      <c r="FC15" s="2" t="b">
        <f t="shared" si="38"/>
        <v>1</v>
      </c>
      <c r="FD15" s="2" t="b">
        <f t="shared" si="38"/>
        <v>1</v>
      </c>
      <c r="FE15" s="2" t="b">
        <f t="shared" si="38"/>
        <v>1</v>
      </c>
      <c r="FF15" s="2" t="b">
        <f t="shared" si="38"/>
        <v>1</v>
      </c>
      <c r="FG15" s="2" t="b">
        <f t="shared" si="38"/>
        <v>1</v>
      </c>
      <c r="FH15" s="2" t="b">
        <f t="shared" si="38"/>
        <v>1</v>
      </c>
      <c r="FI15" s="2" t="b">
        <f t="shared" si="38"/>
        <v>1</v>
      </c>
      <c r="FJ15" s="2" t="b">
        <f t="shared" si="38"/>
        <v>1</v>
      </c>
      <c r="FK15" s="2" t="b">
        <f t="shared" si="38"/>
        <v>1</v>
      </c>
      <c r="FL15" s="2" t="b">
        <f t="shared" si="38"/>
        <v>1</v>
      </c>
      <c r="FM15" s="2" t="b">
        <f t="shared" si="38"/>
        <v>1</v>
      </c>
      <c r="FN15" s="2" t="b">
        <f t="shared" si="38"/>
        <v>1</v>
      </c>
      <c r="FO15" s="2" t="b">
        <f t="shared" si="38"/>
        <v>1</v>
      </c>
      <c r="FP15" s="2" t="b">
        <f t="shared" si="38"/>
        <v>1</v>
      </c>
      <c r="FQ15" s="2" t="b">
        <f t="shared" si="38"/>
        <v>1</v>
      </c>
      <c r="FR15" s="2" t="b">
        <f t="shared" si="38"/>
        <v>1</v>
      </c>
      <c r="FS15" s="2" t="b">
        <f t="shared" si="38"/>
        <v>1</v>
      </c>
      <c r="FT15" s="2" t="b">
        <f t="shared" si="38"/>
        <v>1</v>
      </c>
      <c r="FU15" s="2" t="b">
        <f t="shared" si="38"/>
        <v>1</v>
      </c>
      <c r="FV15" s="2" t="b">
        <f t="shared" si="38"/>
        <v>1</v>
      </c>
      <c r="FW15" s="2" t="b">
        <f t="shared" si="38"/>
        <v>1</v>
      </c>
      <c r="FX15" s="2" t="b">
        <f t="shared" si="38"/>
        <v>1</v>
      </c>
      <c r="FY15" s="2" t="b">
        <f t="shared" si="38"/>
        <v>1</v>
      </c>
      <c r="FZ15" s="2" t="b">
        <f t="shared" si="38"/>
        <v>1</v>
      </c>
      <c r="GA15" s="2" t="b">
        <f t="shared" si="38"/>
        <v>1</v>
      </c>
      <c r="GB15" s="2" t="b">
        <f t="shared" si="38"/>
        <v>1</v>
      </c>
      <c r="GC15" s="2" t="b">
        <f t="shared" si="38"/>
        <v>1</v>
      </c>
      <c r="GD15" s="2" t="b">
        <f t="shared" si="38"/>
        <v>1</v>
      </c>
      <c r="GE15" s="2" t="b">
        <f t="shared" si="38"/>
        <v>1</v>
      </c>
      <c r="GF15" s="2" t="b">
        <f t="shared" si="38"/>
        <v>1</v>
      </c>
      <c r="GG15" s="2" t="b">
        <f t="shared" si="38"/>
        <v>1</v>
      </c>
      <c r="GH15" s="2" t="b">
        <f t="shared" si="38"/>
        <v>1</v>
      </c>
      <c r="GI15" s="2" t="b">
        <f t="shared" si="38"/>
        <v>1</v>
      </c>
      <c r="GJ15" s="2" t="b">
        <f t="shared" si="38"/>
        <v>1</v>
      </c>
      <c r="GK15" s="2" t="b">
        <f t="shared" si="38"/>
        <v>1</v>
      </c>
      <c r="GL15" s="2" t="b">
        <f t="shared" si="38"/>
        <v>1</v>
      </c>
      <c r="GM15" s="2" t="b">
        <f t="shared" si="38"/>
        <v>1</v>
      </c>
      <c r="GN15" s="2" t="b">
        <f t="shared" si="38"/>
        <v>1</v>
      </c>
      <c r="GO15" s="2" t="b">
        <f t="shared" si="38"/>
        <v>1</v>
      </c>
      <c r="GP15" s="2" t="b">
        <f t="shared" si="38"/>
        <v>1</v>
      </c>
      <c r="GQ15" s="2" t="b">
        <f t="shared" si="38"/>
        <v>1</v>
      </c>
      <c r="GR15" s="2" t="b">
        <f t="shared" si="38"/>
        <v>1</v>
      </c>
      <c r="GS15" s="2" t="b">
        <f t="shared" si="38"/>
        <v>1</v>
      </c>
      <c r="GT15" s="2" t="b">
        <f t="shared" si="38"/>
        <v>1</v>
      </c>
      <c r="GU15" s="2" t="b">
        <f t="shared" si="38"/>
        <v>1</v>
      </c>
      <c r="GV15" s="2" t="b">
        <f t="shared" si="38"/>
        <v>1</v>
      </c>
      <c r="GW15" s="2" t="b">
        <f t="shared" si="38"/>
        <v>1</v>
      </c>
      <c r="GX15" s="2" t="b">
        <f t="shared" si="38"/>
        <v>1</v>
      </c>
      <c r="GY15" s="2" t="b">
        <f t="shared" si="38"/>
        <v>1</v>
      </c>
      <c r="GZ15" s="2" t="b">
        <f t="shared" si="38"/>
        <v>1</v>
      </c>
      <c r="HA15" s="2" t="b">
        <f t="shared" si="38"/>
        <v>1</v>
      </c>
      <c r="HB15" s="2" t="b">
        <f t="shared" si="38"/>
        <v>1</v>
      </c>
      <c r="HC15" s="2" t="b">
        <f t="shared" si="38"/>
        <v>1</v>
      </c>
      <c r="HD15" s="2" t="b">
        <f t="shared" si="38"/>
        <v>1</v>
      </c>
      <c r="HE15" s="2" t="b">
        <f t="shared" si="38"/>
        <v>1</v>
      </c>
      <c r="HF15" s="2" t="b">
        <f t="shared" si="38"/>
        <v>1</v>
      </c>
      <c r="HG15" s="2" t="b">
        <f t="shared" ref="HG15:IM15" si="39">HG13=HG18</f>
        <v>1</v>
      </c>
      <c r="HH15" s="2" t="b">
        <f t="shared" si="39"/>
        <v>1</v>
      </c>
      <c r="HI15" s="2" t="b">
        <f t="shared" si="39"/>
        <v>1</v>
      </c>
      <c r="HJ15" s="2" t="b">
        <f t="shared" si="39"/>
        <v>1</v>
      </c>
      <c r="HK15" s="2" t="b">
        <f t="shared" si="39"/>
        <v>1</v>
      </c>
      <c r="HL15" s="2" t="b">
        <f t="shared" si="39"/>
        <v>1</v>
      </c>
      <c r="HM15" s="2" t="b">
        <f t="shared" si="39"/>
        <v>1</v>
      </c>
      <c r="HN15" s="2" t="b">
        <f t="shared" si="39"/>
        <v>1</v>
      </c>
      <c r="HO15" s="2" t="b">
        <f t="shared" si="39"/>
        <v>1</v>
      </c>
      <c r="HP15" s="2" t="b">
        <f t="shared" si="39"/>
        <v>1</v>
      </c>
      <c r="HQ15" s="2" t="b">
        <f t="shared" si="39"/>
        <v>1</v>
      </c>
      <c r="HR15" s="2" t="b">
        <f t="shared" si="39"/>
        <v>1</v>
      </c>
      <c r="HS15" s="2" t="b">
        <f t="shared" si="39"/>
        <v>1</v>
      </c>
      <c r="HT15" s="2" t="b">
        <f t="shared" si="39"/>
        <v>1</v>
      </c>
      <c r="HU15" s="2" t="b">
        <f t="shared" si="39"/>
        <v>1</v>
      </c>
      <c r="HV15" s="2" t="b">
        <f t="shared" si="39"/>
        <v>1</v>
      </c>
      <c r="HW15" s="2" t="b">
        <f t="shared" si="39"/>
        <v>1</v>
      </c>
      <c r="HX15" s="2" t="b">
        <f t="shared" si="39"/>
        <v>1</v>
      </c>
      <c r="HY15" s="2" t="b">
        <f t="shared" si="39"/>
        <v>1</v>
      </c>
      <c r="HZ15" s="2" t="b">
        <f t="shared" si="39"/>
        <v>1</v>
      </c>
      <c r="IA15" s="2" t="b">
        <f t="shared" si="39"/>
        <v>1</v>
      </c>
      <c r="IB15" s="2" t="b">
        <f t="shared" si="39"/>
        <v>1</v>
      </c>
      <c r="IC15" s="2" t="b">
        <f t="shared" si="39"/>
        <v>1</v>
      </c>
      <c r="ID15" s="2" t="b">
        <f t="shared" si="39"/>
        <v>1</v>
      </c>
      <c r="IE15" s="2" t="b">
        <f t="shared" si="39"/>
        <v>1</v>
      </c>
      <c r="IF15" s="2" t="b">
        <f t="shared" si="39"/>
        <v>1</v>
      </c>
      <c r="IG15" s="2" t="b">
        <f t="shared" si="39"/>
        <v>1</v>
      </c>
      <c r="IH15" s="2" t="b">
        <f t="shared" si="39"/>
        <v>1</v>
      </c>
      <c r="II15" s="2" t="b">
        <f t="shared" si="39"/>
        <v>1</v>
      </c>
      <c r="IJ15" s="2" t="b">
        <f t="shared" si="39"/>
        <v>1</v>
      </c>
      <c r="IK15" s="2" t="b">
        <f t="shared" si="39"/>
        <v>1</v>
      </c>
      <c r="IL15" s="2" t="b">
        <f t="shared" si="39"/>
        <v>1</v>
      </c>
      <c r="IM15" s="2" t="b">
        <f t="shared" si="39"/>
        <v>1</v>
      </c>
    </row>
    <row r="16" spans="1:247" s="2962" customFormat="1" ht="13.95" customHeight="1" thickBot="1">
      <c r="A16" s="2962" t="s">
        <v>3674</v>
      </c>
      <c r="B16" s="2962" t="s">
        <v>3675</v>
      </c>
      <c r="C16" s="2962" t="s">
        <v>3675</v>
      </c>
      <c r="D16" s="2962" t="s">
        <v>3675</v>
      </c>
      <c r="E16" s="2962" t="s">
        <v>3675</v>
      </c>
      <c r="F16" s="2962" t="s">
        <v>3675</v>
      </c>
      <c r="G16" s="2962" t="s">
        <v>3676</v>
      </c>
      <c r="H16" s="2962" t="s">
        <v>3677</v>
      </c>
      <c r="I16" s="2962" t="s">
        <v>3677</v>
      </c>
      <c r="J16" s="2962" t="s">
        <v>3677</v>
      </c>
      <c r="K16" s="2962" t="s">
        <v>3677</v>
      </c>
      <c r="L16" s="2962" t="s">
        <v>3677</v>
      </c>
      <c r="M16" s="2962" t="s">
        <v>3677</v>
      </c>
      <c r="N16" s="2962" t="s">
        <v>3678</v>
      </c>
      <c r="O16" s="2962" t="s">
        <v>3675</v>
      </c>
      <c r="P16" s="2962" t="s">
        <v>3678</v>
      </c>
      <c r="Q16" s="2962" t="s">
        <v>3675</v>
      </c>
      <c r="R16" s="2962" t="s">
        <v>3678</v>
      </c>
      <c r="S16" s="2962" t="s">
        <v>3675</v>
      </c>
      <c r="T16" s="2962" t="s">
        <v>3678</v>
      </c>
      <c r="U16" s="2962" t="s">
        <v>3675</v>
      </c>
      <c r="V16" s="2962" t="s">
        <v>3675</v>
      </c>
      <c r="W16" s="2962" t="s">
        <v>3675</v>
      </c>
      <c r="X16" s="2962" t="s">
        <v>3675</v>
      </c>
      <c r="Y16" s="2962" t="s">
        <v>3675</v>
      </c>
      <c r="Z16" s="2962" t="s">
        <v>3675</v>
      </c>
      <c r="AA16" s="2962" t="s">
        <v>3675</v>
      </c>
      <c r="AB16" s="2962" t="s">
        <v>3675</v>
      </c>
      <c r="AC16" s="2962" t="s">
        <v>3675</v>
      </c>
      <c r="AD16" s="2962" t="s">
        <v>3675</v>
      </c>
      <c r="AE16" s="2962" t="s">
        <v>3675</v>
      </c>
      <c r="AF16" s="2962" t="s">
        <v>3675</v>
      </c>
      <c r="AG16" s="2962" t="s">
        <v>3675</v>
      </c>
      <c r="AH16" s="2962" t="s">
        <v>3679</v>
      </c>
      <c r="AI16" s="2962" t="s">
        <v>3679</v>
      </c>
      <c r="AJ16" s="2962" t="s">
        <v>3679</v>
      </c>
      <c r="AK16" s="2962" t="s">
        <v>3679</v>
      </c>
      <c r="AL16" s="2962" t="s">
        <v>3679</v>
      </c>
      <c r="AM16" s="2962" t="s">
        <v>3679</v>
      </c>
      <c r="AN16" s="2962" t="s">
        <v>3680</v>
      </c>
      <c r="AO16" s="2962" t="s">
        <v>3679</v>
      </c>
      <c r="AP16" s="2962" t="s">
        <v>3679</v>
      </c>
      <c r="AQ16" s="2962" t="s">
        <v>3679</v>
      </c>
      <c r="AR16" s="2962" t="s">
        <v>3679</v>
      </c>
      <c r="AS16" s="2962" t="s">
        <v>3679</v>
      </c>
      <c r="AT16" s="2962" t="s">
        <v>3679</v>
      </c>
      <c r="AU16" s="2962" t="s">
        <v>3675</v>
      </c>
      <c r="AV16" s="2962" t="s">
        <v>3679</v>
      </c>
      <c r="AW16" s="2962" t="s">
        <v>3679</v>
      </c>
      <c r="AX16" s="2962" t="s">
        <v>3679</v>
      </c>
      <c r="AY16" s="2962" t="s">
        <v>3679</v>
      </c>
      <c r="AZ16" s="2962" t="s">
        <v>3679</v>
      </c>
      <c r="BA16" s="2962" t="s">
        <v>3679</v>
      </c>
      <c r="BB16" s="2962" t="s">
        <v>3675</v>
      </c>
      <c r="BC16" s="2962" t="s">
        <v>3679</v>
      </c>
      <c r="BD16" s="2962" t="s">
        <v>3679</v>
      </c>
      <c r="BE16" s="2962" t="s">
        <v>3679</v>
      </c>
      <c r="BF16" s="2962" t="s">
        <v>3679</v>
      </c>
      <c r="BG16" s="2962" t="s">
        <v>3679</v>
      </c>
      <c r="BH16" s="2962" t="s">
        <v>3679</v>
      </c>
      <c r="BI16" s="2962" t="s">
        <v>3675</v>
      </c>
      <c r="BJ16" s="2962" t="s">
        <v>3675</v>
      </c>
      <c r="BK16" s="2962" t="s">
        <v>3675</v>
      </c>
      <c r="BL16" s="2962" t="s">
        <v>3675</v>
      </c>
      <c r="BM16" s="2962" t="s">
        <v>3675</v>
      </c>
      <c r="BN16" s="2962" t="s">
        <v>3675</v>
      </c>
      <c r="BO16" s="2962" t="s">
        <v>3675</v>
      </c>
      <c r="BP16" s="2962" t="s">
        <v>3675</v>
      </c>
      <c r="BQ16" s="2962" t="s">
        <v>3675</v>
      </c>
      <c r="BR16" s="2962" t="s">
        <v>3675</v>
      </c>
      <c r="BS16" s="2962" t="s">
        <v>3675</v>
      </c>
      <c r="BT16" s="2962" t="s">
        <v>3675</v>
      </c>
      <c r="BU16" s="2962" t="s">
        <v>3675</v>
      </c>
      <c r="BV16" s="2962" t="s">
        <v>3675</v>
      </c>
      <c r="BW16" s="2962" t="s">
        <v>3675</v>
      </c>
      <c r="BX16" s="2962" t="s">
        <v>3675</v>
      </c>
      <c r="BY16" s="2962" t="s">
        <v>3675</v>
      </c>
      <c r="BZ16" s="2962" t="s">
        <v>3675</v>
      </c>
      <c r="CA16" s="2962" t="s">
        <v>3675</v>
      </c>
      <c r="CB16" s="2962" t="s">
        <v>3675</v>
      </c>
      <c r="CC16" s="2962" t="s">
        <v>3675</v>
      </c>
      <c r="CD16" s="2962" t="s">
        <v>3675</v>
      </c>
      <c r="CE16" s="2962" t="s">
        <v>3675</v>
      </c>
      <c r="CF16" s="2962" t="s">
        <v>3675</v>
      </c>
      <c r="CG16" s="2962" t="s">
        <v>3675</v>
      </c>
      <c r="CH16" s="2962" t="s">
        <v>3675</v>
      </c>
      <c r="CI16" s="2962" t="s">
        <v>3675</v>
      </c>
      <c r="CJ16" s="2962" t="s">
        <v>3675</v>
      </c>
      <c r="CK16" s="2962" t="s">
        <v>3675</v>
      </c>
      <c r="CL16" s="2962" t="s">
        <v>3675</v>
      </c>
      <c r="CM16" s="2962" t="s">
        <v>3675</v>
      </c>
      <c r="CN16" s="2962" t="s">
        <v>3675</v>
      </c>
      <c r="CO16" s="2962" t="s">
        <v>3675</v>
      </c>
      <c r="CP16" s="2962" t="s">
        <v>3675</v>
      </c>
      <c r="CQ16" s="2962" t="s">
        <v>3675</v>
      </c>
      <c r="CR16" s="2962" t="s">
        <v>3675</v>
      </c>
      <c r="CS16" s="2962" t="s">
        <v>3675</v>
      </c>
      <c r="CT16" s="2962" t="s">
        <v>3675</v>
      </c>
      <c r="CU16" s="2962" t="s">
        <v>3675</v>
      </c>
      <c r="CV16" s="2962" t="s">
        <v>3675</v>
      </c>
      <c r="CW16" s="2962" t="s">
        <v>3675</v>
      </c>
      <c r="CX16" s="2962" t="s">
        <v>3675</v>
      </c>
      <c r="CY16" s="2962" t="s">
        <v>3675</v>
      </c>
      <c r="CZ16" s="2962" t="s">
        <v>3675</v>
      </c>
      <c r="DA16" s="2962" t="s">
        <v>3675</v>
      </c>
      <c r="DB16" s="2962" t="s">
        <v>3675</v>
      </c>
      <c r="DC16" s="2962" t="s">
        <v>3675</v>
      </c>
      <c r="DD16" s="2962" t="s">
        <v>3675</v>
      </c>
      <c r="DE16" s="2962" t="s">
        <v>3675</v>
      </c>
      <c r="DF16" s="2962" t="s">
        <v>3675</v>
      </c>
      <c r="DG16" s="2962" t="s">
        <v>3675</v>
      </c>
      <c r="DH16" s="2962" t="s">
        <v>3675</v>
      </c>
      <c r="DI16" s="2962" t="s">
        <v>3675</v>
      </c>
      <c r="DJ16" s="2962" t="s">
        <v>3675</v>
      </c>
      <c r="DK16" s="2962" t="s">
        <v>3675</v>
      </c>
      <c r="DL16" s="2962" t="s">
        <v>3675</v>
      </c>
      <c r="DM16" s="2962" t="s">
        <v>3675</v>
      </c>
      <c r="DN16" s="2962" t="s">
        <v>3675</v>
      </c>
      <c r="DO16" s="2962" t="s">
        <v>3677</v>
      </c>
      <c r="DP16" s="2962" t="s">
        <v>3677</v>
      </c>
      <c r="DQ16" s="2962" t="s">
        <v>3677</v>
      </c>
      <c r="DR16" s="2962" t="s">
        <v>3677</v>
      </c>
      <c r="DS16" s="2962" t="s">
        <v>3677</v>
      </c>
      <c r="DT16" s="2962" t="s">
        <v>3677</v>
      </c>
      <c r="DU16" s="2962" t="s">
        <v>3677</v>
      </c>
      <c r="DV16" s="2962" t="s">
        <v>3677</v>
      </c>
      <c r="DW16" s="2962" t="s">
        <v>3677</v>
      </c>
      <c r="DX16" s="2962" t="s">
        <v>3677</v>
      </c>
      <c r="DY16" s="2962" t="s">
        <v>3677</v>
      </c>
      <c r="DZ16" s="2962" t="s">
        <v>3677</v>
      </c>
      <c r="EA16" s="2962" t="s">
        <v>3677</v>
      </c>
      <c r="EB16" s="2962" t="s">
        <v>3677</v>
      </c>
      <c r="EC16" s="2962" t="s">
        <v>3677</v>
      </c>
      <c r="ED16" s="2962" t="s">
        <v>3677</v>
      </c>
      <c r="EE16" s="2962" t="s">
        <v>3677</v>
      </c>
      <c r="EF16" s="2962" t="s">
        <v>3677</v>
      </c>
      <c r="EG16" s="2962" t="s">
        <v>3677</v>
      </c>
      <c r="EH16" s="2962" t="s">
        <v>3677</v>
      </c>
      <c r="EI16" s="2962" t="s">
        <v>3677</v>
      </c>
      <c r="EJ16" s="2962" t="s">
        <v>3677</v>
      </c>
      <c r="EK16" s="2962" t="s">
        <v>3677</v>
      </c>
      <c r="EL16" s="2962" t="s">
        <v>3677</v>
      </c>
      <c r="EM16" s="2962" t="s">
        <v>3677</v>
      </c>
      <c r="EN16" s="2962" t="s">
        <v>3677</v>
      </c>
      <c r="EO16" s="2962" t="s">
        <v>3677</v>
      </c>
      <c r="EP16" s="2962" t="s">
        <v>3675</v>
      </c>
      <c r="EQ16" s="2962" t="s">
        <v>3675</v>
      </c>
      <c r="ER16" s="2962" t="s">
        <v>3675</v>
      </c>
      <c r="ES16" s="2962" t="s">
        <v>3675</v>
      </c>
      <c r="ET16" s="2962" t="s">
        <v>3677</v>
      </c>
      <c r="EU16" s="2962" t="s">
        <v>3677</v>
      </c>
      <c r="EV16" s="2962" t="s">
        <v>3677</v>
      </c>
      <c r="EW16" s="2962" t="s">
        <v>3677</v>
      </c>
      <c r="EX16" s="2962" t="s">
        <v>3677</v>
      </c>
      <c r="EY16" s="2962" t="s">
        <v>3677</v>
      </c>
      <c r="EZ16" s="2962" t="s">
        <v>3677</v>
      </c>
      <c r="FA16" s="2962" t="s">
        <v>3677</v>
      </c>
      <c r="FB16" s="2962" t="s">
        <v>3677</v>
      </c>
      <c r="FC16" s="2962" t="s">
        <v>3677</v>
      </c>
      <c r="FD16" s="2962" t="s">
        <v>3677</v>
      </c>
      <c r="FE16" s="2962" t="s">
        <v>3677</v>
      </c>
      <c r="FF16" s="2962" t="s">
        <v>3675</v>
      </c>
      <c r="FG16" s="2962" t="s">
        <v>3675</v>
      </c>
      <c r="FH16" s="2962" t="s">
        <v>3675</v>
      </c>
      <c r="FI16" s="2962" t="s">
        <v>3675</v>
      </c>
      <c r="FJ16" s="2962" t="s">
        <v>3677</v>
      </c>
      <c r="FK16" s="2962" t="s">
        <v>3677</v>
      </c>
      <c r="FL16" s="2962" t="s">
        <v>3677</v>
      </c>
      <c r="FM16" s="2962" t="s">
        <v>3677</v>
      </c>
      <c r="FN16" s="2962" t="s">
        <v>3677</v>
      </c>
      <c r="FO16" s="2962" t="s">
        <v>3677</v>
      </c>
      <c r="FP16" s="2962" t="s">
        <v>3677</v>
      </c>
      <c r="FQ16" s="2962" t="s">
        <v>3677</v>
      </c>
      <c r="FR16" s="2962" t="s">
        <v>3677</v>
      </c>
      <c r="FS16" s="2962" t="s">
        <v>3677</v>
      </c>
      <c r="FT16" s="2962" t="s">
        <v>3675</v>
      </c>
      <c r="FU16" s="2962" t="s">
        <v>3675</v>
      </c>
      <c r="FV16" s="2962" t="s">
        <v>3675</v>
      </c>
      <c r="FW16" s="2962" t="s">
        <v>3675</v>
      </c>
      <c r="FX16" s="2962" t="s">
        <v>3675</v>
      </c>
      <c r="FY16" s="2962" t="s">
        <v>3675</v>
      </c>
      <c r="FZ16" s="2962" t="s">
        <v>3675</v>
      </c>
      <c r="GA16" s="2962" t="s">
        <v>3675</v>
      </c>
      <c r="GB16" s="2962" t="s">
        <v>3675</v>
      </c>
      <c r="GC16" s="2962" t="s">
        <v>3675</v>
      </c>
      <c r="GD16" s="2962" t="s">
        <v>3675</v>
      </c>
      <c r="GE16" s="2962" t="s">
        <v>3675</v>
      </c>
      <c r="GF16" s="2962" t="s">
        <v>3675</v>
      </c>
      <c r="GG16" s="2962" t="s">
        <v>3675</v>
      </c>
      <c r="GH16" s="2962" t="s">
        <v>3675</v>
      </c>
      <c r="GI16" s="2962" t="s">
        <v>3675</v>
      </c>
      <c r="GJ16" s="2962" t="s">
        <v>3675</v>
      </c>
      <c r="GK16" s="2962" t="s">
        <v>3675</v>
      </c>
      <c r="GL16" s="2962" t="s">
        <v>3675</v>
      </c>
      <c r="GM16" s="2962" t="s">
        <v>3675</v>
      </c>
      <c r="GN16" s="2962" t="s">
        <v>3675</v>
      </c>
      <c r="GO16" s="2962" t="s">
        <v>3675</v>
      </c>
      <c r="GP16" s="2962" t="s">
        <v>3675</v>
      </c>
      <c r="GQ16" s="2962" t="s">
        <v>3675</v>
      </c>
      <c r="GR16" s="2962" t="s">
        <v>3675</v>
      </c>
      <c r="GS16" s="2962" t="s">
        <v>3675</v>
      </c>
      <c r="GT16" s="2962" t="s">
        <v>3675</v>
      </c>
      <c r="GU16" s="2962" t="s">
        <v>3675</v>
      </c>
      <c r="GV16" s="2962" t="s">
        <v>3675</v>
      </c>
      <c r="GW16" s="2962" t="s">
        <v>3675</v>
      </c>
      <c r="GX16" s="2962" t="s">
        <v>3675</v>
      </c>
      <c r="GY16" s="2962" t="s">
        <v>3675</v>
      </c>
      <c r="GZ16" s="2962" t="s">
        <v>3675</v>
      </c>
      <c r="HA16" s="2962" t="s">
        <v>3675</v>
      </c>
      <c r="HB16" s="2962" t="s">
        <v>3675</v>
      </c>
      <c r="HC16" s="2962" t="s">
        <v>3675</v>
      </c>
      <c r="HD16" s="2962" t="s">
        <v>3675</v>
      </c>
      <c r="HE16" s="2962" t="s">
        <v>3675</v>
      </c>
      <c r="HF16" s="2962" t="s">
        <v>3675</v>
      </c>
      <c r="HG16" s="2962" t="s">
        <v>3675</v>
      </c>
      <c r="HH16" s="2962" t="s">
        <v>3675</v>
      </c>
      <c r="HI16" s="2962" t="s">
        <v>3675</v>
      </c>
      <c r="HJ16" s="2962" t="s">
        <v>3675</v>
      </c>
      <c r="HK16" s="2962" t="s">
        <v>3675</v>
      </c>
      <c r="HL16" s="2962" t="s">
        <v>3675</v>
      </c>
      <c r="HM16" s="2962" t="s">
        <v>3675</v>
      </c>
      <c r="HN16" s="2962" t="s">
        <v>3675</v>
      </c>
      <c r="HO16" s="2962" t="s">
        <v>3675</v>
      </c>
      <c r="HP16" s="2962" t="s">
        <v>3675</v>
      </c>
      <c r="HQ16" s="2962" t="s">
        <v>3675</v>
      </c>
      <c r="HR16" s="2962" t="s">
        <v>3675</v>
      </c>
      <c r="HS16" s="2962" t="s">
        <v>3675</v>
      </c>
      <c r="HT16" s="2962" t="s">
        <v>3675</v>
      </c>
      <c r="HU16" s="2962" t="s">
        <v>3675</v>
      </c>
      <c r="HV16" s="2962" t="s">
        <v>3675</v>
      </c>
      <c r="HW16" s="2962" t="s">
        <v>3675</v>
      </c>
      <c r="HX16" s="2962" t="s">
        <v>3675</v>
      </c>
      <c r="HY16" s="2962" t="s">
        <v>3675</v>
      </c>
      <c r="HZ16" s="2962" t="s">
        <v>3675</v>
      </c>
      <c r="IA16" s="2962" t="s">
        <v>3675</v>
      </c>
      <c r="IB16" s="2962" t="s">
        <v>3675</v>
      </c>
      <c r="IC16" s="2962" t="s">
        <v>3675</v>
      </c>
      <c r="ID16" s="2962" t="s">
        <v>3675</v>
      </c>
      <c r="IE16" s="2962" t="s">
        <v>3675</v>
      </c>
      <c r="IF16" s="2962" t="s">
        <v>3675</v>
      </c>
      <c r="IG16" s="2962" t="s">
        <v>3675</v>
      </c>
      <c r="IH16" s="2962" t="s">
        <v>3675</v>
      </c>
      <c r="II16" s="2962" t="s">
        <v>3675</v>
      </c>
      <c r="IJ16" s="2962" t="s">
        <v>3675</v>
      </c>
      <c r="IK16" s="2962" t="s">
        <v>3675</v>
      </c>
      <c r="IL16" s="2962" t="s">
        <v>3675</v>
      </c>
      <c r="IM16" s="2962" t="s">
        <v>3675</v>
      </c>
    </row>
    <row r="17" spans="1:247" s="2960" customFormat="1" ht="16.8" thickTop="1" thickBot="1">
      <c r="A17" s="2989" t="str">
        <f>IF(IDENTIFICATION!D62='MENU DÉROULANT'!D19,IF(IDENTIFICATION!D72="","ERREUR",IDENTIFICATION!D72),IF(IDENTIFICATION!D62='MENU DÉROULANT'!D20,IF(IDENTIFICATION!D81="","ERREUR",IDENTIFICATION!D81),"ERREUR"))</f>
        <v>ERREUR</v>
      </c>
      <c r="AB17" s="2966" t="s">
        <v>3681</v>
      </c>
      <c r="AC17" s="2966" t="s">
        <v>3681</v>
      </c>
      <c r="AD17" s="2966" t="s">
        <v>3681</v>
      </c>
      <c r="AE17" s="2966" t="s">
        <v>3681</v>
      </c>
      <c r="AF17" s="2966" t="s">
        <v>3681</v>
      </c>
      <c r="AG17" s="2966" t="s">
        <v>3681</v>
      </c>
      <c r="BJ17" s="2966" t="s">
        <v>3681</v>
      </c>
      <c r="BK17" s="2966" t="s">
        <v>3681</v>
      </c>
      <c r="BL17" s="2966" t="s">
        <v>3681</v>
      </c>
      <c r="BM17" s="2966" t="s">
        <v>3681</v>
      </c>
      <c r="BN17" s="2966" t="s">
        <v>3681</v>
      </c>
      <c r="BO17" s="2966" t="s">
        <v>3681</v>
      </c>
      <c r="BQ17" s="2966" t="s">
        <v>3681</v>
      </c>
      <c r="BT17" s="2966" t="s">
        <v>3681</v>
      </c>
      <c r="BW17" s="2966" t="s">
        <v>3681</v>
      </c>
      <c r="CA17" s="2966" t="s">
        <v>3681</v>
      </c>
      <c r="CD17" s="2966" t="s">
        <v>3681</v>
      </c>
      <c r="CG17" s="2966" t="s">
        <v>3681</v>
      </c>
    </row>
    <row r="18" spans="1:247" s="2967" customFormat="1" ht="15" thickTop="1">
      <c r="A18" s="2967" t="s">
        <v>3682</v>
      </c>
      <c r="B18" s="2967" t="s">
        <v>3683</v>
      </c>
      <c r="C18" s="2967" t="s">
        <v>3684</v>
      </c>
      <c r="D18" s="2967" t="s">
        <v>3685</v>
      </c>
      <c r="E18" s="2967" t="s">
        <v>3686</v>
      </c>
      <c r="F18" s="2967" t="s">
        <v>3687</v>
      </c>
      <c r="G18" s="2967" t="s">
        <v>3688</v>
      </c>
      <c r="H18" s="2967" t="s">
        <v>3689</v>
      </c>
      <c r="I18" s="2967" t="s">
        <v>3690</v>
      </c>
      <c r="J18" s="2967" t="s">
        <v>3691</v>
      </c>
      <c r="K18" s="2967" t="s">
        <v>3692</v>
      </c>
      <c r="L18" s="2967" t="s">
        <v>3693</v>
      </c>
      <c r="M18" s="2967" t="s">
        <v>3694</v>
      </c>
      <c r="N18" s="2967" t="s">
        <v>3695</v>
      </c>
      <c r="O18" s="2967" t="s">
        <v>3696</v>
      </c>
      <c r="P18" s="2967" t="s">
        <v>3697</v>
      </c>
      <c r="Q18" s="2967" t="s">
        <v>3698</v>
      </c>
      <c r="R18" s="2967" t="s">
        <v>3699</v>
      </c>
      <c r="S18" s="2967" t="s">
        <v>3700</v>
      </c>
      <c r="T18" s="2967" t="s">
        <v>3701</v>
      </c>
      <c r="U18" s="2967" t="s">
        <v>3702</v>
      </c>
      <c r="V18" s="2967" t="s">
        <v>3703</v>
      </c>
      <c r="W18" s="2967" t="s">
        <v>3704</v>
      </c>
      <c r="X18" s="2967" t="s">
        <v>3705</v>
      </c>
      <c r="Y18" s="2967" t="s">
        <v>3706</v>
      </c>
      <c r="Z18" s="2967" t="s">
        <v>3707</v>
      </c>
      <c r="AA18" s="2967" t="s">
        <v>3708</v>
      </c>
      <c r="AB18" s="2967" t="s">
        <v>3709</v>
      </c>
      <c r="AC18" s="2967" t="s">
        <v>3710</v>
      </c>
      <c r="AD18" s="2967" t="s">
        <v>3711</v>
      </c>
      <c r="AE18" s="2967" t="s">
        <v>3712</v>
      </c>
      <c r="AF18" s="2967" t="s">
        <v>3713</v>
      </c>
      <c r="AG18" s="2967" t="s">
        <v>3714</v>
      </c>
      <c r="AH18" s="2967" t="s">
        <v>3715</v>
      </c>
      <c r="AI18" s="2967" t="s">
        <v>3716</v>
      </c>
      <c r="AJ18" s="2967" t="s">
        <v>3717</v>
      </c>
      <c r="AK18" s="2967" t="s">
        <v>3718</v>
      </c>
      <c r="AL18" s="2967" t="s">
        <v>3719</v>
      </c>
      <c r="AM18" s="2967" t="s">
        <v>3720</v>
      </c>
      <c r="AN18" s="2967" t="s">
        <v>3721</v>
      </c>
      <c r="AO18" s="2967" t="s">
        <v>3722</v>
      </c>
      <c r="AP18" s="2967" t="s">
        <v>3723</v>
      </c>
      <c r="AQ18" s="2967" t="s">
        <v>3724</v>
      </c>
      <c r="AR18" s="2967" t="s">
        <v>3725</v>
      </c>
      <c r="AS18" s="2967" t="s">
        <v>3726</v>
      </c>
      <c r="AT18" s="2967" t="s">
        <v>3727</v>
      </c>
      <c r="AU18" s="2967" t="s">
        <v>3728</v>
      </c>
      <c r="AV18" s="2967" t="s">
        <v>3729</v>
      </c>
      <c r="AW18" s="2967" t="s">
        <v>3730</v>
      </c>
      <c r="AX18" s="2967" t="s">
        <v>3731</v>
      </c>
      <c r="AY18" s="2967" t="s">
        <v>3732</v>
      </c>
      <c r="AZ18" s="2967" t="s">
        <v>3733</v>
      </c>
      <c r="BA18" s="2967" t="s">
        <v>3734</v>
      </c>
      <c r="BB18" s="2967" t="s">
        <v>3735</v>
      </c>
      <c r="BC18" s="2967" t="s">
        <v>3736</v>
      </c>
      <c r="BD18" s="2967" t="s">
        <v>3737</v>
      </c>
      <c r="BE18" s="2967" t="s">
        <v>3738</v>
      </c>
      <c r="BF18" s="2967" t="s">
        <v>3739</v>
      </c>
      <c r="BG18" s="2967" t="s">
        <v>3740</v>
      </c>
      <c r="BH18" s="2967" t="s">
        <v>3741</v>
      </c>
      <c r="BI18" s="2967" t="s">
        <v>3742</v>
      </c>
      <c r="BJ18" s="2967" t="s">
        <v>3743</v>
      </c>
      <c r="BK18" s="2967" t="s">
        <v>3744</v>
      </c>
      <c r="BL18" s="2967" t="s">
        <v>3745</v>
      </c>
      <c r="BM18" s="2967" t="s">
        <v>3746</v>
      </c>
      <c r="BN18" s="2967" t="s">
        <v>3747</v>
      </c>
      <c r="BO18" s="2967" t="s">
        <v>3748</v>
      </c>
      <c r="BP18" s="2967" t="s">
        <v>3749</v>
      </c>
      <c r="BQ18" s="2967" t="s">
        <v>3750</v>
      </c>
      <c r="BR18" s="2967" t="s">
        <v>3751</v>
      </c>
      <c r="BS18" s="2967" t="s">
        <v>3752</v>
      </c>
      <c r="BT18" s="2967" t="s">
        <v>3753</v>
      </c>
      <c r="BU18" s="2967" t="s">
        <v>3754</v>
      </c>
      <c r="BV18" s="2967" t="s">
        <v>3755</v>
      </c>
      <c r="BW18" s="2967" t="s">
        <v>3756</v>
      </c>
      <c r="BX18" s="2967" t="s">
        <v>3757</v>
      </c>
      <c r="BY18" s="2967" t="s">
        <v>3758</v>
      </c>
      <c r="BZ18" s="2967" t="s">
        <v>3759</v>
      </c>
      <c r="CA18" s="2967" t="s">
        <v>3760</v>
      </c>
      <c r="CB18" s="2967" t="s">
        <v>3761</v>
      </c>
      <c r="CC18" s="2967" t="s">
        <v>3762</v>
      </c>
      <c r="CD18" s="2967" t="s">
        <v>3763</v>
      </c>
      <c r="CE18" s="2967" t="s">
        <v>3764</v>
      </c>
      <c r="CF18" s="2967" t="s">
        <v>3765</v>
      </c>
      <c r="CG18" s="2967" t="s">
        <v>3766</v>
      </c>
      <c r="CH18" s="2967" t="s">
        <v>3767</v>
      </c>
      <c r="CI18" s="2967" t="s">
        <v>3768</v>
      </c>
      <c r="CJ18" s="2967" t="s">
        <v>3769</v>
      </c>
      <c r="CK18" s="2967" t="s">
        <v>3770</v>
      </c>
      <c r="CL18" s="2967" t="s">
        <v>3771</v>
      </c>
      <c r="CM18" s="2967" t="s">
        <v>3772</v>
      </c>
      <c r="CN18" s="2967" t="s">
        <v>3773</v>
      </c>
      <c r="CO18" s="2967" t="s">
        <v>3774</v>
      </c>
      <c r="CP18" s="2967" t="s">
        <v>3775</v>
      </c>
      <c r="CQ18" s="2967" t="s">
        <v>3776</v>
      </c>
      <c r="CR18" s="2967" t="s">
        <v>3777</v>
      </c>
      <c r="CS18" s="2967" t="s">
        <v>3778</v>
      </c>
      <c r="CT18" s="2967" t="s">
        <v>3779</v>
      </c>
      <c r="CU18" s="2967" t="s">
        <v>3780</v>
      </c>
      <c r="CV18" s="2967" t="s">
        <v>3781</v>
      </c>
      <c r="CW18" s="2967" t="s">
        <v>3782</v>
      </c>
      <c r="CX18" s="2967" t="s">
        <v>3783</v>
      </c>
      <c r="CY18" s="2967" t="s">
        <v>3784</v>
      </c>
      <c r="CZ18" s="2967" t="s">
        <v>3785</v>
      </c>
      <c r="DA18" s="2967" t="s">
        <v>3786</v>
      </c>
      <c r="DB18" s="2967" t="s">
        <v>3787</v>
      </c>
      <c r="DC18" s="2967" t="s">
        <v>3788</v>
      </c>
      <c r="DD18" s="2967" t="s">
        <v>3789</v>
      </c>
      <c r="DE18" s="2967" t="s">
        <v>3790</v>
      </c>
      <c r="DF18" s="2967" t="s">
        <v>3791</v>
      </c>
      <c r="DG18" s="2967" t="s">
        <v>3792</v>
      </c>
      <c r="DH18" s="2967" t="s">
        <v>3793</v>
      </c>
      <c r="DI18" s="2967" t="s">
        <v>3794</v>
      </c>
      <c r="DJ18" s="2967" t="s">
        <v>3795</v>
      </c>
      <c r="DK18" s="2967" t="s">
        <v>3796</v>
      </c>
      <c r="DL18" s="2967" t="s">
        <v>3797</v>
      </c>
      <c r="DM18" s="2967" t="s">
        <v>3798</v>
      </c>
      <c r="DN18" s="2967" t="s">
        <v>3799</v>
      </c>
      <c r="DO18" s="2967" t="s">
        <v>3800</v>
      </c>
      <c r="DP18" s="2967" t="s">
        <v>3801</v>
      </c>
      <c r="DQ18" s="2967" t="s">
        <v>3802</v>
      </c>
      <c r="DR18" s="2967" t="s">
        <v>3803</v>
      </c>
      <c r="DS18" s="2967" t="s">
        <v>3804</v>
      </c>
      <c r="DT18" s="2967" t="s">
        <v>3805</v>
      </c>
      <c r="DU18" s="2967" t="s">
        <v>3806</v>
      </c>
      <c r="DV18" s="2967" t="s">
        <v>3807</v>
      </c>
      <c r="DW18" s="2967" t="s">
        <v>3808</v>
      </c>
      <c r="DX18" s="2967" t="s">
        <v>3809</v>
      </c>
      <c r="DY18" s="2967" t="s">
        <v>3810</v>
      </c>
      <c r="DZ18" s="2967" t="s">
        <v>3811</v>
      </c>
      <c r="EA18" s="2967" t="s">
        <v>3812</v>
      </c>
      <c r="EB18" s="2967" t="s">
        <v>3813</v>
      </c>
      <c r="EC18" s="2967" t="s">
        <v>3814</v>
      </c>
      <c r="ED18" s="2967" t="s">
        <v>3815</v>
      </c>
      <c r="EE18" s="2967" t="s">
        <v>3816</v>
      </c>
      <c r="EF18" s="2967" t="s">
        <v>3817</v>
      </c>
      <c r="EG18" s="2967" t="s">
        <v>3818</v>
      </c>
      <c r="EH18" s="2967" t="s">
        <v>3819</v>
      </c>
      <c r="EI18" s="2967" t="s">
        <v>3820</v>
      </c>
      <c r="EJ18" s="2967" t="s">
        <v>3821</v>
      </c>
      <c r="EK18" s="2967" t="s">
        <v>3822</v>
      </c>
      <c r="EL18" s="2967" t="s">
        <v>3823</v>
      </c>
      <c r="EM18" s="2967" t="s">
        <v>3824</v>
      </c>
      <c r="EN18" s="2967" t="s">
        <v>3825</v>
      </c>
      <c r="EO18" s="2967" t="s">
        <v>3826</v>
      </c>
      <c r="EP18" s="2967" t="s">
        <v>3827</v>
      </c>
      <c r="EQ18" s="2967" t="s">
        <v>3828</v>
      </c>
      <c r="ER18" s="2967" t="s">
        <v>3829</v>
      </c>
      <c r="ES18" s="2967" t="s">
        <v>3830</v>
      </c>
      <c r="ET18" s="2967" t="s">
        <v>3831</v>
      </c>
      <c r="EU18" s="2967" t="s">
        <v>3832</v>
      </c>
      <c r="EV18" s="2967" t="s">
        <v>3833</v>
      </c>
      <c r="EW18" s="2967" t="s">
        <v>3834</v>
      </c>
      <c r="EX18" s="2967" t="s">
        <v>3835</v>
      </c>
      <c r="EY18" s="2967" t="s">
        <v>3836</v>
      </c>
      <c r="EZ18" s="2967" t="s">
        <v>3837</v>
      </c>
      <c r="FA18" s="2967" t="s">
        <v>3838</v>
      </c>
      <c r="FB18" s="2967" t="s">
        <v>3839</v>
      </c>
      <c r="FC18" s="2967" t="s">
        <v>3840</v>
      </c>
      <c r="FD18" s="2967" t="s">
        <v>3841</v>
      </c>
      <c r="FE18" s="2967" t="s">
        <v>3842</v>
      </c>
      <c r="FF18" s="2967" t="s">
        <v>3843</v>
      </c>
      <c r="FG18" s="2967" t="s">
        <v>3844</v>
      </c>
      <c r="FH18" s="2967" t="s">
        <v>3845</v>
      </c>
      <c r="FI18" s="2967" t="s">
        <v>3846</v>
      </c>
      <c r="FJ18" s="2967" t="s">
        <v>3847</v>
      </c>
      <c r="FK18" s="2967" t="s">
        <v>3848</v>
      </c>
      <c r="FL18" s="2967" t="s">
        <v>3849</v>
      </c>
      <c r="FM18" s="2967" t="s">
        <v>3850</v>
      </c>
      <c r="FN18" s="2967" t="s">
        <v>3851</v>
      </c>
      <c r="FO18" s="2967" t="s">
        <v>3852</v>
      </c>
      <c r="FP18" s="2967" t="s">
        <v>3853</v>
      </c>
      <c r="FQ18" s="2967" t="s">
        <v>3854</v>
      </c>
      <c r="FR18" s="2967" t="s">
        <v>3855</v>
      </c>
      <c r="FS18" s="2967" t="s">
        <v>3856</v>
      </c>
      <c r="FT18" s="2967" t="s">
        <v>3857</v>
      </c>
      <c r="FU18" s="2967" t="s">
        <v>3858</v>
      </c>
      <c r="FV18" s="2967" t="s">
        <v>3859</v>
      </c>
      <c r="FW18" s="2967" t="s">
        <v>3860</v>
      </c>
      <c r="FX18" s="2967" t="s">
        <v>3861</v>
      </c>
      <c r="FY18" s="2967" t="s">
        <v>3862</v>
      </c>
      <c r="FZ18" s="2967" t="s">
        <v>3863</v>
      </c>
      <c r="GA18" s="2967" t="s">
        <v>3864</v>
      </c>
      <c r="GB18" s="2967" t="s">
        <v>3865</v>
      </c>
      <c r="GC18" s="2967" t="s">
        <v>3866</v>
      </c>
      <c r="GD18" s="2967" t="s">
        <v>3867</v>
      </c>
      <c r="GE18" s="2967" t="s">
        <v>3868</v>
      </c>
      <c r="GF18" s="2967" t="s">
        <v>3869</v>
      </c>
      <c r="GG18" s="2967" t="s">
        <v>3870</v>
      </c>
      <c r="GH18" s="2967" t="s">
        <v>3871</v>
      </c>
      <c r="GI18" s="2967" t="s">
        <v>3872</v>
      </c>
      <c r="GJ18" s="2967" t="s">
        <v>3873</v>
      </c>
      <c r="GK18" s="2967" t="s">
        <v>3874</v>
      </c>
      <c r="GL18" s="2967" t="s">
        <v>3875</v>
      </c>
      <c r="GM18" s="2967" t="s">
        <v>3876</v>
      </c>
      <c r="GN18" s="2967" t="s">
        <v>3877</v>
      </c>
      <c r="GO18" s="2967" t="s">
        <v>3878</v>
      </c>
      <c r="GP18" s="2967" t="s">
        <v>3879</v>
      </c>
      <c r="GQ18" s="2967" t="s">
        <v>3880</v>
      </c>
      <c r="GR18" s="2967" t="s">
        <v>3881</v>
      </c>
      <c r="GS18" s="2967" t="s">
        <v>3882</v>
      </c>
      <c r="GT18" s="2967" t="s">
        <v>3883</v>
      </c>
      <c r="GU18" s="2967" t="s">
        <v>3884</v>
      </c>
      <c r="GV18" s="2967" t="s">
        <v>3885</v>
      </c>
      <c r="GW18" s="2967" t="s">
        <v>3886</v>
      </c>
      <c r="GX18" s="2967" t="s">
        <v>3887</v>
      </c>
      <c r="GY18" s="2967" t="s">
        <v>3888</v>
      </c>
      <c r="GZ18" s="2967" t="s">
        <v>3889</v>
      </c>
      <c r="HA18" s="2967" t="s">
        <v>3890</v>
      </c>
      <c r="HB18" s="2967" t="s">
        <v>3891</v>
      </c>
      <c r="HC18" s="2967" t="s">
        <v>3892</v>
      </c>
      <c r="HD18" s="2967" t="s">
        <v>3893</v>
      </c>
      <c r="HE18" s="2967" t="s">
        <v>3894</v>
      </c>
      <c r="HF18" s="2967" t="s">
        <v>3895</v>
      </c>
      <c r="HG18" s="2967" t="s">
        <v>3896</v>
      </c>
      <c r="HH18" s="2967" t="s">
        <v>3897</v>
      </c>
      <c r="HI18" s="2967" t="s">
        <v>3898</v>
      </c>
      <c r="HJ18" s="2967" t="s">
        <v>3899</v>
      </c>
      <c r="HK18" s="2967" t="s">
        <v>3900</v>
      </c>
      <c r="HL18" s="2967" t="s">
        <v>3901</v>
      </c>
      <c r="HM18" s="2967" t="s">
        <v>3902</v>
      </c>
      <c r="HN18" s="2967" t="s">
        <v>3903</v>
      </c>
      <c r="HO18" s="2967" t="s">
        <v>3904</v>
      </c>
      <c r="HP18" s="2967" t="s">
        <v>3905</v>
      </c>
      <c r="HQ18" s="2967" t="s">
        <v>3906</v>
      </c>
      <c r="HR18" s="2967" t="s">
        <v>3907</v>
      </c>
      <c r="HS18" s="2967" t="s">
        <v>3908</v>
      </c>
      <c r="HT18" s="2967" t="s">
        <v>3909</v>
      </c>
      <c r="HU18" s="2967" t="s">
        <v>3910</v>
      </c>
      <c r="HV18" s="2967" t="s">
        <v>3911</v>
      </c>
      <c r="HW18" s="2967" t="s">
        <v>3912</v>
      </c>
      <c r="HX18" s="2967" t="s">
        <v>3913</v>
      </c>
      <c r="HY18" s="2967" t="s">
        <v>3914</v>
      </c>
      <c r="HZ18" s="2967" t="s">
        <v>3915</v>
      </c>
      <c r="IA18" s="2967" t="s">
        <v>3916</v>
      </c>
      <c r="IB18" s="2967" t="s">
        <v>3917</v>
      </c>
      <c r="IC18" s="2967" t="s">
        <v>3918</v>
      </c>
      <c r="ID18" s="2967" t="s">
        <v>3919</v>
      </c>
      <c r="IE18" s="2967" t="s">
        <v>3920</v>
      </c>
      <c r="IF18" s="2967" t="s">
        <v>3921</v>
      </c>
      <c r="IG18" s="2967" t="s">
        <v>3922</v>
      </c>
      <c r="IH18" s="2967" t="s">
        <v>3923</v>
      </c>
      <c r="II18" s="2967" t="s">
        <v>3924</v>
      </c>
      <c r="IJ18" s="2967" t="s">
        <v>3925</v>
      </c>
      <c r="IK18" s="2967" t="s">
        <v>3926</v>
      </c>
      <c r="IL18" s="2967" t="s">
        <v>3927</v>
      </c>
      <c r="IM18" s="2967" t="s">
        <v>3928</v>
      </c>
    </row>
    <row r="19" spans="1:247">
      <c r="A19" s="2990" t="str">
        <f>IF(OR(T_mun[[#This Row],[p0_pd_serv_fournis]]="ERREUR",T_mun[[#This Row],[p0_pd_choix_pga]]="ERREUR"),"ERREUR",IF(T_mun[[#This Row],[p0_pd_serv_fournis]]="Non","",IF(OR('CALCULS Eau potable'!$G$9="",'CALCULS Eau potable'!$G$9="##"),"ERREUR",'CALCULS Eau potable'!$G$9)))</f>
        <v>ERREUR</v>
      </c>
      <c r="B19" t="s">
        <v>96</v>
      </c>
      <c r="C19" t="str">
        <f>IF(OR(IDENTIFICATION!F126="Oui",IDENTIFICATION!F126="Non"),IDENTIFICATION!F126,"ERREUR")</f>
        <v>ERREUR</v>
      </c>
      <c r="D19" t="str">
        <f>IF(IDENTIFICATION!$G$142="","ERREUR",IDENTIFICATION!$G$142)</f>
        <v>ERREUR</v>
      </c>
      <c r="E19" t="str">
        <f>'CALCULS Eau potable'!$G$11</f>
        <v>##</v>
      </c>
      <c r="F19" t="str">
        <f>'CALCULS Eau potable'!$H$12</f>
        <v/>
      </c>
      <c r="G19" s="2968" t="str">
        <f>'CALCULS Eau potable'!$G$13</f>
        <v>##</v>
      </c>
      <c r="H19" s="2969">
        <f>'CALCULS Eau potable'!$E$21</f>
        <v>0</v>
      </c>
      <c r="I19" s="2969">
        <f>'CALCULS Eau potable'!$E$22</f>
        <v>0</v>
      </c>
      <c r="J19" s="2969">
        <f>'CALCULS Eau potable'!$E$23</f>
        <v>0</v>
      </c>
      <c r="K19" s="2969">
        <f>'CALCULS Eau potable'!$E$24</f>
        <v>0</v>
      </c>
      <c r="L19" s="2969">
        <f>'CALCULS Eau potable'!$E$25</f>
        <v>0</v>
      </c>
      <c r="M19" s="2969">
        <f>'CALCULS Eau potable'!$E$26</f>
        <v>0</v>
      </c>
      <c r="N19" s="2970">
        <f>'CALCULS Eau potable'!$G$21</f>
        <v>0</v>
      </c>
      <c r="O19">
        <f>'CALCULS Eau potable'!$G$22</f>
        <v>0</v>
      </c>
      <c r="P19" s="2970">
        <f>'CALCULS Eau potable'!$G$23</f>
        <v>0</v>
      </c>
      <c r="Q19">
        <f>'CALCULS Eau potable'!$H$23</f>
        <v>0</v>
      </c>
      <c r="R19" s="2970">
        <f>'CALCULS Eau potable'!$G$24</f>
        <v>0</v>
      </c>
      <c r="S19">
        <f>'CALCULS Eau potable'!$G$25</f>
        <v>0</v>
      </c>
      <c r="T19" s="2970">
        <f>'CALCULS Eau potable'!$G$26</f>
        <v>0</v>
      </c>
      <c r="U19">
        <f>'CALCULS Eau potable'!$H$26</f>
        <v>0</v>
      </c>
      <c r="V19">
        <f>'CALCULS Eau potable'!$J$21</f>
        <v>0</v>
      </c>
      <c r="W19">
        <f>'CALCULS Eau potable'!$J$22</f>
        <v>0</v>
      </c>
      <c r="X19">
        <f>'CALCULS Eau potable'!$J$24</f>
        <v>0</v>
      </c>
      <c r="Y19">
        <f>'CALCULS Eau potable'!$J$25</f>
        <v>0</v>
      </c>
      <c r="Z19">
        <f>'CALCULS Eau potable'!$I$33</f>
        <v>0</v>
      </c>
      <c r="AA19">
        <f>'CALCULS Eau potable'!$I$41</f>
        <v>0</v>
      </c>
      <c r="AB19" t="str">
        <f>'SOMMAIRE PGA Eau potable'!$F$29</f>
        <v/>
      </c>
      <c r="AC19" t="str">
        <f>'SOMMAIRE PGA Eau potable'!$F$30</f>
        <v/>
      </c>
      <c r="AD19" t="str">
        <f>'SOMMAIRE PGA Eau potable'!$F$31</f>
        <v/>
      </c>
      <c r="AE19" t="str">
        <f>'SOMMAIRE PGA Eau potable'!$R$29</f>
        <v/>
      </c>
      <c r="AF19" t="str">
        <f>'SOMMAIRE PGA Eau potable'!$R$30</f>
        <v/>
      </c>
      <c r="AG19" t="str">
        <f>'SOMMAIRE PGA Eau potable'!$R$31</f>
        <v/>
      </c>
      <c r="AH19" s="2971">
        <f>'CALCULS Eau potable'!$E$53</f>
        <v>0</v>
      </c>
      <c r="AI19" s="2971">
        <f>'CALCULS Eau potable'!$F$53</f>
        <v>0</v>
      </c>
      <c r="AJ19" s="2971">
        <f>'CALCULS Eau potable'!$G$53</f>
        <v>0</v>
      </c>
      <c r="AK19" s="2971">
        <f>'CALCULS Eau potable'!$H$53</f>
        <v>0</v>
      </c>
      <c r="AL19" s="2971">
        <f>'CALCULS Eau potable'!$I$53</f>
        <v>0</v>
      </c>
      <c r="AM19" s="2971">
        <f>'CALCULS Eau potable'!$J$53</f>
        <v>0</v>
      </c>
      <c r="AN19">
        <f>'CALCULS Eau potable'!$L$53</f>
        <v>0</v>
      </c>
      <c r="AO19" s="2971">
        <f>'CALCULS Eau potable'!$E$54</f>
        <v>0</v>
      </c>
      <c r="AP19" s="2971">
        <f>'CALCULS Eau potable'!$F$54</f>
        <v>0</v>
      </c>
      <c r="AQ19" s="2971">
        <f>'CALCULS Eau potable'!$G$54</f>
        <v>0</v>
      </c>
      <c r="AR19" s="2971">
        <f>'CALCULS Eau potable'!$H$54</f>
        <v>0</v>
      </c>
      <c r="AS19" s="2971">
        <f>'CALCULS Eau potable'!$I$54</f>
        <v>0</v>
      </c>
      <c r="AT19" s="2971">
        <f>'CALCULS Eau potable'!$J$54</f>
        <v>0</v>
      </c>
      <c r="AU19">
        <f>'CALCULS Eau potable'!$L$54</f>
        <v>0</v>
      </c>
      <c r="AV19" s="2971">
        <f>'CALCULS Eau potable'!$E$55</f>
        <v>0</v>
      </c>
      <c r="AW19" s="2971">
        <f>'CALCULS Eau potable'!$F$55</f>
        <v>0</v>
      </c>
      <c r="AX19" s="2971">
        <f>'CALCULS Eau potable'!$G$55</f>
        <v>0</v>
      </c>
      <c r="AY19" s="2971">
        <f>'CALCULS Eau potable'!$H$55</f>
        <v>0</v>
      </c>
      <c r="AZ19" s="2971">
        <f>'CALCULS Eau potable'!$I$55</f>
        <v>0</v>
      </c>
      <c r="BA19" s="2971">
        <f>'CALCULS Eau potable'!$J$55</f>
        <v>0</v>
      </c>
      <c r="BB19">
        <f>'CALCULS Eau potable'!$L$55</f>
        <v>0</v>
      </c>
      <c r="BC19" s="2971">
        <f>'CALCULS Eau potable'!$E$56</f>
        <v>0</v>
      </c>
      <c r="BD19" s="2971">
        <f>'CALCULS Eau potable'!$F$56</f>
        <v>0</v>
      </c>
      <c r="BE19" s="2971">
        <f>'CALCULS Eau potable'!$G$56</f>
        <v>0</v>
      </c>
      <c r="BF19" s="2971">
        <f>'CALCULS Eau potable'!$H$56</f>
        <v>0</v>
      </c>
      <c r="BG19" s="2971">
        <f>'CALCULS Eau potable'!$I$56</f>
        <v>0</v>
      </c>
      <c r="BH19" s="2971">
        <f>'CALCULS Eau potable'!$J$56</f>
        <v>0</v>
      </c>
      <c r="BI19">
        <f>'CALCULS Eau potable'!$L$56</f>
        <v>0</v>
      </c>
      <c r="BJ19" t="str">
        <f>IF('CALCULS Eau potable'!$D$64=0,"",'CALCULS Eau potable'!$D$64)</f>
        <v/>
      </c>
      <c r="BK19" t="str">
        <f>IF('CALCULS Eau potable'!$D$65=0,"",'CALCULS Eau potable'!$D$65)</f>
        <v/>
      </c>
      <c r="BL19" t="str">
        <f>IF('CALCULS Eau potable'!$D$66=0,"",'CALCULS Eau potable'!$D$66)</f>
        <v/>
      </c>
      <c r="BM19" t="str">
        <f>IF('CALCULS Eau potable'!$H$64=0,"",'CALCULS Eau potable'!$H$64)</f>
        <v/>
      </c>
      <c r="BN19" t="str">
        <f>IF('CALCULS Eau potable'!$H$65=0,"",'CALCULS Eau potable'!$H$65)</f>
        <v/>
      </c>
      <c r="BO19" t="str">
        <f>IF('CALCULS Eau potable'!$H$66=0,"",'CALCULS Eau potable'!$H$66)</f>
        <v/>
      </c>
      <c r="BP19">
        <f>'CALCULS Eau potable'!$O$63</f>
        <v>0</v>
      </c>
      <c r="BQ19">
        <f>'CALCULS Eau potable'!$D$72</f>
        <v>0</v>
      </c>
      <c r="BR19">
        <f>'CALCULS Eau potable'!$E$72</f>
        <v>0</v>
      </c>
      <c r="BS19">
        <f>'CALCULS Eau potable'!$F$72</f>
        <v>0</v>
      </c>
      <c r="BT19">
        <f>'CALCULS Eau potable'!$D$73</f>
        <v>0</v>
      </c>
      <c r="BU19">
        <f>'CALCULS Eau potable'!$E$73</f>
        <v>0</v>
      </c>
      <c r="BV19">
        <f>'CALCULS Eau potable'!$F$73</f>
        <v>0</v>
      </c>
      <c r="BW19">
        <f>'CALCULS Eau potable'!$D$74</f>
        <v>0</v>
      </c>
      <c r="BX19">
        <f>'CALCULS Eau potable'!$E$74</f>
        <v>0</v>
      </c>
      <c r="BY19">
        <f>'CALCULS Eau potable'!$F$74</f>
        <v>0</v>
      </c>
      <c r="BZ19">
        <f>'CALCULS Eau potable'!$O$71</f>
        <v>0</v>
      </c>
      <c r="CA19">
        <f>'CALCULS Eau potable'!$D$87</f>
        <v>0</v>
      </c>
      <c r="CB19">
        <f>'CALCULS Eau potable'!$E$87</f>
        <v>0</v>
      </c>
      <c r="CC19">
        <f>'CALCULS Eau potable'!$F$87</f>
        <v>0</v>
      </c>
      <c r="CD19">
        <f>'CALCULS Eau potable'!$D$88</f>
        <v>0</v>
      </c>
      <c r="CE19">
        <f>'CALCULS Eau potable'!$E$88</f>
        <v>0</v>
      </c>
      <c r="CF19">
        <f>'CALCULS Eau potable'!$F$88</f>
        <v>0</v>
      </c>
      <c r="CG19">
        <f>'CALCULS Eau potable'!$D$89</f>
        <v>0</v>
      </c>
      <c r="CH19">
        <f>'CALCULS Eau potable'!$E$89</f>
        <v>0</v>
      </c>
      <c r="CI19">
        <f>'CALCULS Eau potable'!$F$89</f>
        <v>0</v>
      </c>
      <c r="CJ19">
        <f>'CALCULS Eau potable'!$O$86</f>
        <v>0</v>
      </c>
      <c r="CK19">
        <f>'CALCULS Eau potable'!$E$105</f>
        <v>0</v>
      </c>
      <c r="CL19">
        <f>'CALCULS Eau potable'!$E$106</f>
        <v>0</v>
      </c>
      <c r="CM19">
        <f>'CALCULS Eau potable'!$E$107</f>
        <v>0</v>
      </c>
      <c r="CN19">
        <f>'CALCULS Eau potable'!$E$108</f>
        <v>0</v>
      </c>
      <c r="CO19">
        <f>'CALCULS Eau potable'!$E$109</f>
        <v>0</v>
      </c>
      <c r="CP19" t="str">
        <f>IF('CALCULS Eau potable'!$E$110=0,"",'CALCULS Eau potable'!$E$110)</f>
        <v/>
      </c>
      <c r="CQ19">
        <f>'CALCULS Eau potable'!$L$112</f>
        <v>0</v>
      </c>
      <c r="CR19" t="str">
        <f>IF('CALCULS Eau potable'!$E$118=0,"",'CALCULS Eau potable'!$E$118)</f>
        <v/>
      </c>
      <c r="CS19">
        <f>'CALCULS Eau potable'!$E$119</f>
        <v>0</v>
      </c>
      <c r="CT19">
        <f>'CALCULS Eau potable'!$E$120</f>
        <v>0</v>
      </c>
      <c r="CU19">
        <f>'CALCULS Eau potable'!$E$121</f>
        <v>0</v>
      </c>
      <c r="CV19">
        <f>'CALCULS Eau potable'!$E$122</f>
        <v>0</v>
      </c>
      <c r="CW19">
        <f>'CALCULS Eau potable'!$E$123</f>
        <v>0</v>
      </c>
      <c r="CX19">
        <f>'CALCULS Eau potable'!$L$125</f>
        <v>0</v>
      </c>
      <c r="CY19">
        <f>'CALCULS Eau potable'!$F$148</f>
        <v>0</v>
      </c>
      <c r="CZ19">
        <f>'CALCULS Eau potable'!$F$149</f>
        <v>0</v>
      </c>
      <c r="DA19">
        <f>'CALCULS Eau potable'!$F$150</f>
        <v>0</v>
      </c>
      <c r="DB19">
        <f>'CALCULS Eau potable'!$F$151</f>
        <v>0</v>
      </c>
      <c r="DC19">
        <f>'CALCULS Eau potable'!$F$152</f>
        <v>0</v>
      </c>
      <c r="DD19">
        <f>'CALCULS Eau potable'!$F$154</f>
        <v>0</v>
      </c>
      <c r="DE19">
        <f>'CALCULS Eau potable'!$F$155</f>
        <v>0</v>
      </c>
      <c r="DF19">
        <f>'CALCULS Eau potable'!$F$156</f>
        <v>0</v>
      </c>
      <c r="DG19">
        <f>'CALCULS Eau potable'!$M$148</f>
        <v>0</v>
      </c>
      <c r="DH19">
        <f>'CALCULS Eau potable'!$M$149</f>
        <v>0</v>
      </c>
      <c r="DI19">
        <f>'CALCULS Eau potable'!$M$150</f>
        <v>0</v>
      </c>
      <c r="DJ19">
        <f>'CALCULS Eau potable'!$M$151</f>
        <v>0</v>
      </c>
      <c r="DK19">
        <f>'CALCULS Eau potable'!$M$152</f>
        <v>0</v>
      </c>
      <c r="DL19">
        <f>'CALCULS Eau potable'!$M$154</f>
        <v>0</v>
      </c>
      <c r="DM19">
        <f>'CALCULS Eau potable'!$M$155</f>
        <v>0</v>
      </c>
      <c r="DN19">
        <f>'CALCULS Eau potable'!$M$156</f>
        <v>0</v>
      </c>
      <c r="DO19" s="2969">
        <f>'CALCULS Eau potable'!$M$236</f>
        <v>0</v>
      </c>
      <c r="DP19" s="2969">
        <f>'CALCULS Eau potable'!$M$237</f>
        <v>0</v>
      </c>
      <c r="DQ19" s="2969">
        <f>'CALCULS Eau potable'!$M$240</f>
        <v>0</v>
      </c>
      <c r="DR19" s="2969">
        <f>'CALCULS Eau potable'!$M$243</f>
        <v>0</v>
      </c>
      <c r="DS19" s="2969">
        <f>'CALCULS Eau potable'!$M$244</f>
        <v>0</v>
      </c>
      <c r="DT19" s="2969">
        <f>'CALCULS Eau potable'!$F$253</f>
        <v>0</v>
      </c>
      <c r="DU19" s="2969">
        <f>'CALCULS Eau potable'!$F$255</f>
        <v>0</v>
      </c>
      <c r="DV19" s="2969">
        <f>'CALCULS Eau potable'!$F$257</f>
        <v>0</v>
      </c>
      <c r="DW19" s="2969">
        <f>'CALCULS Eau potable'!$G$253</f>
        <v>0</v>
      </c>
      <c r="DX19" s="2969">
        <f>'CALCULS Eau potable'!$G$255</f>
        <v>0</v>
      </c>
      <c r="DY19" s="2969">
        <f>'CALCULS Eau potable'!$G$257</f>
        <v>0</v>
      </c>
      <c r="DZ19" s="2969">
        <f>'CALCULS Eau potable'!$I$253</f>
        <v>0</v>
      </c>
      <c r="EA19" s="2969">
        <f>'CALCULS Eau potable'!$I$255</f>
        <v>0</v>
      </c>
      <c r="EB19" s="2969">
        <f>'CALCULS Eau potable'!$I$257</f>
        <v>0</v>
      </c>
      <c r="EC19" s="2969">
        <f>'CALCULS Eau potable'!$J$253</f>
        <v>0</v>
      </c>
      <c r="ED19" s="2969">
        <f>'CALCULS Eau potable'!$J$255</f>
        <v>0</v>
      </c>
      <c r="EE19" s="2969">
        <f>'CALCULS Eau potable'!$J$257</f>
        <v>0</v>
      </c>
      <c r="EF19" s="2969">
        <f>'CALCULS Eau potable'!$E$268</f>
        <v>0</v>
      </c>
      <c r="EG19" s="2969">
        <f>'CALCULS Eau potable'!$E$269</f>
        <v>0</v>
      </c>
      <c r="EH19" s="2969">
        <f>'CALCULS Eau potable'!$E$270</f>
        <v>0</v>
      </c>
      <c r="EI19" s="2969">
        <f>'CALCULS Eau potable'!$E$271</f>
        <v>0</v>
      </c>
      <c r="EJ19" s="2969">
        <f>'CALCULS Eau potable'!$E$272</f>
        <v>0</v>
      </c>
      <c r="EK19" s="2969">
        <f>'CALCULS Eau potable'!$F$268</f>
        <v>0</v>
      </c>
      <c r="EL19" s="2969">
        <f>'CALCULS Eau potable'!$F$269</f>
        <v>0</v>
      </c>
      <c r="EM19" s="2969">
        <f>'CALCULS Eau potable'!$F$270</f>
        <v>0</v>
      </c>
      <c r="EN19" s="2969">
        <f>'CALCULS Eau potable'!$F$271</f>
        <v>0</v>
      </c>
      <c r="EO19" s="2969">
        <f>'CALCULS Eau potable'!$F$272</f>
        <v>0</v>
      </c>
      <c r="EP19">
        <f>'CALCULS Eau potable'!$M$276</f>
        <v>0</v>
      </c>
      <c r="EQ19">
        <f>'CALCULS Eau potable'!$M$277</f>
        <v>0</v>
      </c>
      <c r="ER19">
        <f>'CALCULS Eau potable'!$M$278</f>
        <v>0</v>
      </c>
      <c r="ES19">
        <f>'CALCULS Eau potable'!$M$279</f>
        <v>0</v>
      </c>
      <c r="ET19" s="2969">
        <f>'CALCULS Eau potable'!$E$286</f>
        <v>0</v>
      </c>
      <c r="EU19" s="2969">
        <f>'CALCULS Eau potable'!$E$287</f>
        <v>0</v>
      </c>
      <c r="EV19" s="2969">
        <f>'CALCULS Eau potable'!$E$288</f>
        <v>0</v>
      </c>
      <c r="EW19" s="2969">
        <f>'CALCULS Eau potable'!$E$289</f>
        <v>0</v>
      </c>
      <c r="EX19" s="2969">
        <f>'CALCULS Eau potable'!$E$290</f>
        <v>0</v>
      </c>
      <c r="EY19" s="2969">
        <f>'CALCULS Eau potable'!$E$291</f>
        <v>0</v>
      </c>
      <c r="EZ19" s="2969">
        <f>'CALCULS Eau potable'!$F$286</f>
        <v>0</v>
      </c>
      <c r="FA19" s="2969">
        <f>'CALCULS Eau potable'!$F$287</f>
        <v>0</v>
      </c>
      <c r="FB19" s="2969">
        <f>'CALCULS Eau potable'!$F$288</f>
        <v>0</v>
      </c>
      <c r="FC19" s="2969">
        <f>'CALCULS Eau potable'!$F$289</f>
        <v>0</v>
      </c>
      <c r="FD19" s="2969">
        <f>'CALCULS Eau potable'!$F$290</f>
        <v>0</v>
      </c>
      <c r="FE19" s="2969">
        <f>'CALCULS Eau potable'!$F$291</f>
        <v>0</v>
      </c>
      <c r="FF19">
        <f>'CALCULS Eau potable'!$M$295</f>
        <v>0</v>
      </c>
      <c r="FG19">
        <f>'CALCULS Eau potable'!$M$296</f>
        <v>0</v>
      </c>
      <c r="FH19">
        <f>'CALCULS Eau potable'!$M$297</f>
        <v>0</v>
      </c>
      <c r="FI19">
        <f>'CALCULS Eau potable'!$M$298</f>
        <v>0</v>
      </c>
      <c r="FJ19" s="2969">
        <f>'CALCULS Eau potable'!$E$306</f>
        <v>0</v>
      </c>
      <c r="FK19" s="2969">
        <f>'CALCULS Eau potable'!$E$307</f>
        <v>0</v>
      </c>
      <c r="FL19" s="2969">
        <f>'CALCULS Eau potable'!$E$308</f>
        <v>0</v>
      </c>
      <c r="FM19" s="2969">
        <f>'CALCULS Eau potable'!$E$309</f>
        <v>0</v>
      </c>
      <c r="FN19" s="2969">
        <f>'CALCULS Eau potable'!$E$310</f>
        <v>0</v>
      </c>
      <c r="FO19" s="2969">
        <f>'CALCULS Eau potable'!$F$306</f>
        <v>0</v>
      </c>
      <c r="FP19" s="2969">
        <f>'CALCULS Eau potable'!$F$307</f>
        <v>0</v>
      </c>
      <c r="FQ19" s="2969">
        <f>'CALCULS Eau potable'!$F$308</f>
        <v>0</v>
      </c>
      <c r="FR19" s="2969">
        <f>'CALCULS Eau potable'!$F$309</f>
        <v>0</v>
      </c>
      <c r="FS19" s="2969">
        <f>'CALCULS Eau potable'!$F$310</f>
        <v>0</v>
      </c>
      <c r="FT19">
        <f>'CALCULS Eau potable'!$M$314</f>
        <v>0</v>
      </c>
      <c r="FU19">
        <f>'CALCULS Eau potable'!$M$315</f>
        <v>0</v>
      </c>
      <c r="FV19">
        <f>'CALCULS Eau potable'!$M$316</f>
        <v>0</v>
      </c>
      <c r="FW19">
        <f>'CALCULS Eau potable'!$M$317</f>
        <v>0</v>
      </c>
      <c r="FX19">
        <f>'CALCULS Eau potable'!$E$326</f>
        <v>0</v>
      </c>
      <c r="FY19">
        <f>'CALCULS Eau potable'!$F$326</f>
        <v>0</v>
      </c>
      <c r="FZ19">
        <f>'CALCULS Eau potable'!$G$326</f>
        <v>0</v>
      </c>
      <c r="GA19">
        <f>'CALCULS Eau potable'!$H$326</f>
        <v>0</v>
      </c>
      <c r="GB19">
        <f>'CALCULS Eau potable'!$I$326</f>
        <v>0</v>
      </c>
      <c r="GC19">
        <f>'CALCULS Eau potable'!$J$326</f>
        <v>0</v>
      </c>
      <c r="GD19">
        <f>'CALCULS Eau potable'!$K$326</f>
        <v>0</v>
      </c>
      <c r="GE19" t="str">
        <f>'CALCULS Eau potable'!$L$326</f>
        <v>N/A</v>
      </c>
      <c r="GF19">
        <f>'CALCULS Eau potable'!$E$327</f>
        <v>0</v>
      </c>
      <c r="GG19">
        <f>'CALCULS Eau potable'!$F$327</f>
        <v>0</v>
      </c>
      <c r="GH19">
        <f>'CALCULS Eau potable'!$G$327</f>
        <v>0</v>
      </c>
      <c r="GI19">
        <f>'CALCULS Eau potable'!$H$327</f>
        <v>0</v>
      </c>
      <c r="GJ19">
        <f>'CALCULS Eau potable'!$I$327</f>
        <v>0</v>
      </c>
      <c r="GK19">
        <f>'CALCULS Eau potable'!$J$327</f>
        <v>0</v>
      </c>
      <c r="GL19">
        <f>'CALCULS Eau potable'!$K$327</f>
        <v>0</v>
      </c>
      <c r="GM19">
        <f>'CALCULS Eau potable'!$L$327</f>
        <v>0</v>
      </c>
      <c r="GN19">
        <f>'CALCULS Eau potable'!$E$328</f>
        <v>0</v>
      </c>
      <c r="GO19">
        <f>'CALCULS Eau potable'!$F$328</f>
        <v>0</v>
      </c>
      <c r="GP19">
        <f>'CALCULS Eau potable'!$G$328</f>
        <v>0</v>
      </c>
      <c r="GQ19">
        <f>'CALCULS Eau potable'!$H$328</f>
        <v>0</v>
      </c>
      <c r="GR19">
        <f>'CALCULS Eau potable'!$I$328</f>
        <v>0</v>
      </c>
      <c r="GS19">
        <f>'CALCULS Eau potable'!$J$328</f>
        <v>0</v>
      </c>
      <c r="GT19">
        <f>'CALCULS Eau potable'!$K$328</f>
        <v>0</v>
      </c>
      <c r="GU19" t="str">
        <f>'CALCULS Eau potable'!$L$328</f>
        <v>N/A</v>
      </c>
      <c r="GV19">
        <f>'CALCULS Eau potable'!$E$329</f>
        <v>0</v>
      </c>
      <c r="GW19">
        <f>'CALCULS Eau potable'!$F$329</f>
        <v>0</v>
      </c>
      <c r="GX19">
        <f>'CALCULS Eau potable'!$G$329</f>
        <v>0</v>
      </c>
      <c r="GY19">
        <f>'CALCULS Eau potable'!$H$329</f>
        <v>0</v>
      </c>
      <c r="GZ19">
        <f>'CALCULS Eau potable'!$I$329</f>
        <v>0</v>
      </c>
      <c r="HA19">
        <f>'CALCULS Eau potable'!$J$329</f>
        <v>0</v>
      </c>
      <c r="HB19">
        <f>'CALCULS Eau potable'!$K$329</f>
        <v>0</v>
      </c>
      <c r="HC19">
        <f>'CALCULS Eau potable'!$L$329</f>
        <v>0</v>
      </c>
      <c r="HD19" s="2972" t="str">
        <f>'CALCULS Eau potable'!$E$331</f>
        <v/>
      </c>
      <c r="HE19" s="2972" t="str">
        <f>'CALCULS Eau potable'!$E$332</f>
        <v/>
      </c>
      <c r="HF19">
        <f>'CALCULS Eau potable'!$E$338</f>
        <v>0</v>
      </c>
      <c r="HG19">
        <f>'CALCULS Eau potable'!$F$338</f>
        <v>0</v>
      </c>
      <c r="HH19">
        <f>'CALCULS Eau potable'!$G$338</f>
        <v>0</v>
      </c>
      <c r="HI19">
        <f>'CALCULS Eau potable'!$H$338</f>
        <v>0</v>
      </c>
      <c r="HJ19">
        <f>'CALCULS Eau potable'!$I$338</f>
        <v>0</v>
      </c>
      <c r="HK19">
        <f>'CALCULS Eau potable'!$J$338</f>
        <v>0</v>
      </c>
      <c r="HL19">
        <f>'CALCULS Eau potable'!$K$338</f>
        <v>0</v>
      </c>
      <c r="HM19" t="str">
        <f>'CALCULS Eau potable'!$L$338</f>
        <v>N/A</v>
      </c>
      <c r="HN19">
        <f>'CALCULS Eau potable'!$E$339</f>
        <v>0</v>
      </c>
      <c r="HO19">
        <f>'CALCULS Eau potable'!$F$339</f>
        <v>0</v>
      </c>
      <c r="HP19">
        <f>'CALCULS Eau potable'!$G$339</f>
        <v>0</v>
      </c>
      <c r="HQ19">
        <f>'CALCULS Eau potable'!$H$339</f>
        <v>0</v>
      </c>
      <c r="HR19">
        <f>'CALCULS Eau potable'!$I$339</f>
        <v>0</v>
      </c>
      <c r="HS19">
        <f>'CALCULS Eau potable'!$J$339</f>
        <v>0</v>
      </c>
      <c r="HT19">
        <f>'CALCULS Eau potable'!$K$339</f>
        <v>0</v>
      </c>
      <c r="HU19">
        <f>'CALCULS Eau potable'!$L$339</f>
        <v>0</v>
      </c>
      <c r="HV19">
        <f>'CALCULS Eau potable'!$E$340</f>
        <v>0</v>
      </c>
      <c r="HW19">
        <f>'CALCULS Eau potable'!$F$340</f>
        <v>0</v>
      </c>
      <c r="HX19">
        <f>'CALCULS Eau potable'!$G$340</f>
        <v>0</v>
      </c>
      <c r="HY19">
        <f>'CALCULS Eau potable'!$H$340</f>
        <v>0</v>
      </c>
      <c r="HZ19">
        <f>'CALCULS Eau potable'!$I$340</f>
        <v>0</v>
      </c>
      <c r="IA19">
        <f>'CALCULS Eau potable'!$J$340</f>
        <v>0</v>
      </c>
      <c r="IB19">
        <f>'CALCULS Eau potable'!$K$340</f>
        <v>0</v>
      </c>
      <c r="IC19" t="str">
        <f>'CALCULS Eau potable'!$L$340</f>
        <v>N/A</v>
      </c>
      <c r="ID19">
        <f>'CALCULS Eau potable'!$E$341</f>
        <v>0</v>
      </c>
      <c r="IE19">
        <f>'CALCULS Eau potable'!$F$341</f>
        <v>0</v>
      </c>
      <c r="IF19">
        <f>'CALCULS Eau potable'!$G$341</f>
        <v>0</v>
      </c>
      <c r="IG19">
        <f>'CALCULS Eau potable'!$H$341</f>
        <v>0</v>
      </c>
      <c r="IH19">
        <f>'CALCULS Eau potable'!$I$341</f>
        <v>0</v>
      </c>
      <c r="II19">
        <f>'CALCULS Eau potable'!$J$341</f>
        <v>0</v>
      </c>
      <c r="IJ19">
        <f>'CALCULS Eau potable'!$K$341</f>
        <v>0</v>
      </c>
      <c r="IK19">
        <f>'CALCULS Eau potable'!$L$341</f>
        <v>0</v>
      </c>
      <c r="IL19" s="2972" t="str">
        <f>'CALCULS Eau potable'!$E$343</f>
        <v/>
      </c>
      <c r="IM19" s="2972" t="str">
        <f>'CALCULS Eau potable'!$E$344</f>
        <v/>
      </c>
    </row>
    <row r="20" spans="1:247">
      <c r="A20" s="2990" t="str">
        <f>IF(OR(T_mun[[#This Row],[p0_pd_serv_fournis]]="ERREUR",T_mun[[#This Row],[p0_pd_choix_pga]]="ERREUR"),"ERREUR",IF(T_mun[[#This Row],[p0_pd_serv_fournis]]="Non","",IF(OR('CALCULS Eaux usées'!$G$9="",'CALCULS Eaux usées'!$G$9="##"),"ERREUR",'CALCULS Eaux usées'!$G$9)))</f>
        <v>ERREUR</v>
      </c>
      <c r="B20" t="s">
        <v>97</v>
      </c>
      <c r="C20" t="str">
        <f>IF(OR(IDENTIFICATION!I126="Oui",IDENTIFICATION!I126="Non"),IDENTIFICATION!I126,"ERREUR")</f>
        <v>ERREUR</v>
      </c>
      <c r="D20" t="str">
        <f>IF(IDENTIFICATION!$G$142="","ERREUR",IDENTIFICATION!$G$142)</f>
        <v>ERREUR</v>
      </c>
      <c r="E20" t="str">
        <f>'CALCULS Eaux usées'!$G$11</f>
        <v>##</v>
      </c>
      <c r="F20" t="str">
        <f>'CALCULS Eaux usées'!$H$12</f>
        <v/>
      </c>
      <c r="G20" s="2968" t="str">
        <f>'CALCULS Eaux usées'!$G$13</f>
        <v>##</v>
      </c>
      <c r="H20" s="2969">
        <f>'CALCULS Eaux usées'!$E$21</f>
        <v>0</v>
      </c>
      <c r="I20" s="2969">
        <f>'CALCULS Eaux usées'!$E$22</f>
        <v>0</v>
      </c>
      <c r="J20" s="2969">
        <f>'CALCULS Eaux usées'!$E$23</f>
        <v>0</v>
      </c>
      <c r="K20" s="2969">
        <f>'CALCULS Eaux usées'!$E$24</f>
        <v>0</v>
      </c>
      <c r="L20" s="2969">
        <f>'CALCULS Eaux usées'!$E$25</f>
        <v>0</v>
      </c>
      <c r="M20" s="2969">
        <f>'CALCULS Eaux usées'!$E$26</f>
        <v>0</v>
      </c>
      <c r="N20" s="2970">
        <f>'CALCULS Eaux usées'!$G$21</f>
        <v>0</v>
      </c>
      <c r="O20">
        <f>'CALCULS Eaux usées'!$G$22</f>
        <v>0</v>
      </c>
      <c r="P20" s="2970">
        <f>'CALCULS Eaux usées'!$G$23</f>
        <v>0</v>
      </c>
      <c r="Q20">
        <f>'CALCULS Eaux usées'!$H$23</f>
        <v>0</v>
      </c>
      <c r="R20" s="2970">
        <f>'CALCULS Eaux usées'!$G$24</f>
        <v>0</v>
      </c>
      <c r="S20">
        <f>'CALCULS Eaux usées'!$G$25</f>
        <v>0</v>
      </c>
      <c r="T20" s="2970">
        <f>'CALCULS Eaux usées'!$G$26</f>
        <v>0</v>
      </c>
      <c r="U20">
        <f>'CALCULS Eaux usées'!$H$26</f>
        <v>0</v>
      </c>
      <c r="V20">
        <f>'CALCULS Eaux usées'!$J$21</f>
        <v>0</v>
      </c>
      <c r="W20">
        <f>'CALCULS Eaux usées'!$J$22</f>
        <v>0</v>
      </c>
      <c r="X20">
        <f>'CALCULS Eaux usées'!$J$24</f>
        <v>0</v>
      </c>
      <c r="Y20">
        <f>'CALCULS Eaux usées'!$J$25</f>
        <v>0</v>
      </c>
      <c r="Z20">
        <f>'CALCULS Eaux usées'!$I$33</f>
        <v>0</v>
      </c>
      <c r="AA20">
        <f>'CALCULS Eaux usées'!$I$41</f>
        <v>0</v>
      </c>
      <c r="AB20" t="str">
        <f>'SOMMAIRE PGA Eaux usées'!$F$29</f>
        <v/>
      </c>
      <c r="AC20" t="str">
        <f>'SOMMAIRE PGA Eaux usées'!$F$30</f>
        <v/>
      </c>
      <c r="AD20" t="str">
        <f>'SOMMAIRE PGA Eaux usées'!$F$31</f>
        <v/>
      </c>
      <c r="AE20" t="str">
        <f>'SOMMAIRE PGA Eaux usées'!$R$29</f>
        <v/>
      </c>
      <c r="AF20" t="str">
        <f>'SOMMAIRE PGA Eaux usées'!$R$30</f>
        <v/>
      </c>
      <c r="AG20" t="str">
        <f>'SOMMAIRE PGA Eaux usées'!$R$31</f>
        <v/>
      </c>
      <c r="AH20" s="2971">
        <f>'CALCULS Eaux usées'!$E$53</f>
        <v>0</v>
      </c>
      <c r="AI20" s="2971">
        <f>'CALCULS Eaux usées'!$F$53</f>
        <v>0</v>
      </c>
      <c r="AJ20" s="2971">
        <f>'CALCULS Eaux usées'!$G$53</f>
        <v>0</v>
      </c>
      <c r="AK20" s="2971">
        <f>'CALCULS Eaux usées'!$H$53</f>
        <v>0</v>
      </c>
      <c r="AL20" s="2971">
        <f>'CALCULS Eaux usées'!$I$53</f>
        <v>0</v>
      </c>
      <c r="AM20" s="2971">
        <f>'CALCULS Eaux usées'!$J$53</f>
        <v>0</v>
      </c>
      <c r="AN20">
        <f>'CALCULS Eaux usées'!$L$53</f>
        <v>0</v>
      </c>
      <c r="AO20" s="2971">
        <f>'CALCULS Eaux usées'!$E$54</f>
        <v>0</v>
      </c>
      <c r="AP20" s="2971">
        <f>'CALCULS Eaux usées'!$F$54</f>
        <v>0</v>
      </c>
      <c r="AQ20" s="2971">
        <f>'CALCULS Eaux usées'!$G$54</f>
        <v>0</v>
      </c>
      <c r="AR20" s="2971">
        <f>'CALCULS Eaux usées'!$H$54</f>
        <v>0</v>
      </c>
      <c r="AS20" s="2971">
        <f>'CALCULS Eaux usées'!$I$54</f>
        <v>0</v>
      </c>
      <c r="AT20" s="2971">
        <f>'CALCULS Eaux usées'!$J$54</f>
        <v>0</v>
      </c>
      <c r="AU20">
        <f>'CALCULS Eaux usées'!$L$54</f>
        <v>0</v>
      </c>
      <c r="AV20" s="2971">
        <f>'CALCULS Eaux usées'!$E$55</f>
        <v>0</v>
      </c>
      <c r="AW20" s="2971">
        <f>'CALCULS Eaux usées'!$F$55</f>
        <v>0</v>
      </c>
      <c r="AX20" s="2971">
        <f>'CALCULS Eaux usées'!$G$55</f>
        <v>0</v>
      </c>
      <c r="AY20" s="2971">
        <f>'CALCULS Eaux usées'!$H$55</f>
        <v>0</v>
      </c>
      <c r="AZ20" s="2971">
        <f>'CALCULS Eaux usées'!$I$55</f>
        <v>0</v>
      </c>
      <c r="BA20" s="2971">
        <f>'CALCULS Eaux usées'!$J$55</f>
        <v>0</v>
      </c>
      <c r="BB20">
        <f>'CALCULS Eaux usées'!$L$55</f>
        <v>0</v>
      </c>
      <c r="BC20" s="2971">
        <f>'CALCULS Eaux usées'!$E$56</f>
        <v>0</v>
      </c>
      <c r="BD20" s="2971">
        <f>'CALCULS Eaux usées'!$F$56</f>
        <v>0</v>
      </c>
      <c r="BE20" s="2971">
        <f>'CALCULS Eaux usées'!$G$56</f>
        <v>0</v>
      </c>
      <c r="BF20" s="2971">
        <f>'CALCULS Eaux usées'!$H$56</f>
        <v>0</v>
      </c>
      <c r="BG20" s="2971">
        <f>'CALCULS Eaux usées'!$I$56</f>
        <v>0</v>
      </c>
      <c r="BH20" s="2971">
        <f>'CALCULS Eaux usées'!$J$56</f>
        <v>0</v>
      </c>
      <c r="BI20">
        <f>'CALCULS Eaux usées'!$L$56</f>
        <v>0</v>
      </c>
      <c r="BJ20" t="str">
        <f>IF('CALCULS Eaux usées'!$D$64=0,"",'CALCULS Eaux usées'!$D$64)</f>
        <v/>
      </c>
      <c r="BK20" t="str">
        <f>IF('CALCULS Eaux usées'!$D$65=0,"",'CALCULS Eaux usées'!$D$65)</f>
        <v/>
      </c>
      <c r="BL20" t="str">
        <f>IF('CALCULS Eaux usées'!$D$66=0,"",'CALCULS Eaux usées'!$D$66)</f>
        <v/>
      </c>
      <c r="BM20" t="str">
        <f>IF('CALCULS Eaux usées'!$H$64=0,"",'CALCULS Eaux usées'!$H$64)</f>
        <v/>
      </c>
      <c r="BN20" t="str">
        <f>IF('CALCULS Eaux usées'!$H$65=0,"",'CALCULS Eaux usées'!$H$65)</f>
        <v/>
      </c>
      <c r="BO20" t="str">
        <f>IF('CALCULS Eaux usées'!$H$66=0,"",'CALCULS Eaux usées'!$H$66)</f>
        <v/>
      </c>
      <c r="BP20">
        <f>'CALCULS Eaux usées'!$O$63</f>
        <v>0</v>
      </c>
      <c r="BQ20">
        <f>'CALCULS Eaux usées'!$D$72</f>
        <v>0</v>
      </c>
      <c r="BR20">
        <f>'CALCULS Eaux usées'!$E$72</f>
        <v>0</v>
      </c>
      <c r="BS20">
        <f>'CALCULS Eaux usées'!$F$72</f>
        <v>0</v>
      </c>
      <c r="BT20">
        <f>'CALCULS Eaux usées'!$D$73</f>
        <v>0</v>
      </c>
      <c r="BU20">
        <f>'CALCULS Eaux usées'!$E$73</f>
        <v>0</v>
      </c>
      <c r="BV20">
        <f>'CALCULS Eaux usées'!$F$73</f>
        <v>0</v>
      </c>
      <c r="BW20">
        <f>'CALCULS Eaux usées'!$D$74</f>
        <v>0</v>
      </c>
      <c r="BX20">
        <f>'CALCULS Eaux usées'!$E$74</f>
        <v>0</v>
      </c>
      <c r="BY20">
        <f>'CALCULS Eaux usées'!$F$74</f>
        <v>0</v>
      </c>
      <c r="BZ20">
        <f>'CALCULS Eaux usées'!$O$71</f>
        <v>0</v>
      </c>
      <c r="CA20">
        <f>'CALCULS Eaux usées'!$D$87</f>
        <v>0</v>
      </c>
      <c r="CB20">
        <f>'CALCULS Eaux usées'!$E$87</f>
        <v>0</v>
      </c>
      <c r="CC20">
        <f>'CALCULS Eaux usées'!$F$87</f>
        <v>0</v>
      </c>
      <c r="CD20">
        <f>'CALCULS Eaux usées'!$D$88</f>
        <v>0</v>
      </c>
      <c r="CE20">
        <f>'CALCULS Eaux usées'!$E$88</f>
        <v>0</v>
      </c>
      <c r="CF20">
        <f>'CALCULS Eaux usées'!$F$88</f>
        <v>0</v>
      </c>
      <c r="CG20">
        <f>'CALCULS Eaux usées'!$D$89</f>
        <v>0</v>
      </c>
      <c r="CH20">
        <f>'CALCULS Eaux usées'!$E$89</f>
        <v>0</v>
      </c>
      <c r="CI20">
        <f>'CALCULS Eaux usées'!$F$89</f>
        <v>0</v>
      </c>
      <c r="CJ20">
        <f>'CALCULS Eaux usées'!$O$86</f>
        <v>0</v>
      </c>
      <c r="CK20">
        <f>'CALCULS Eaux usées'!$E$105</f>
        <v>0</v>
      </c>
      <c r="CL20">
        <f>'CALCULS Eaux usées'!$E$106</f>
        <v>0</v>
      </c>
      <c r="CM20">
        <f>'CALCULS Eaux usées'!$E$107</f>
        <v>0</v>
      </c>
      <c r="CN20">
        <f>'CALCULS Eaux usées'!$E$108</f>
        <v>0</v>
      </c>
      <c r="CO20">
        <f>'CALCULS Eaux usées'!$E$109</f>
        <v>0</v>
      </c>
      <c r="CP20" t="str">
        <f>IF('CALCULS Eaux usées'!$E$110=0,"",'CALCULS Eaux usées'!$E$110)</f>
        <v/>
      </c>
      <c r="CQ20">
        <f>'CALCULS Eaux usées'!$L$112</f>
        <v>0</v>
      </c>
      <c r="CR20" t="str">
        <f>IF('CALCULS Eaux usées'!$E$118=0,"",'CALCULS Eaux usées'!$E$118)</f>
        <v/>
      </c>
      <c r="CS20">
        <f>'CALCULS Eaux usées'!$E$119</f>
        <v>0</v>
      </c>
      <c r="CT20">
        <f>'CALCULS Eaux usées'!$E$120</f>
        <v>0</v>
      </c>
      <c r="CU20">
        <f>'CALCULS Eaux usées'!$E$121</f>
        <v>0</v>
      </c>
      <c r="CV20">
        <f>'CALCULS Eaux usées'!$E$122</f>
        <v>0</v>
      </c>
      <c r="CW20">
        <f>'CALCULS Eaux usées'!$E$123</f>
        <v>0</v>
      </c>
      <c r="CX20">
        <f>'CALCULS Eaux usées'!$L$125</f>
        <v>0</v>
      </c>
      <c r="CY20">
        <f>'CALCULS Eaux usées'!$F$148</f>
        <v>0</v>
      </c>
      <c r="CZ20">
        <f>'CALCULS Eaux usées'!$F$149</f>
        <v>0</v>
      </c>
      <c r="DA20">
        <f>'CALCULS Eaux usées'!$F$150</f>
        <v>0</v>
      </c>
      <c r="DB20">
        <f>'CALCULS Eaux usées'!$F$151</f>
        <v>0</v>
      </c>
      <c r="DC20">
        <f>'CALCULS Eaux usées'!$F$152</f>
        <v>0</v>
      </c>
      <c r="DD20">
        <f>'CALCULS Eaux usées'!$F$154</f>
        <v>0</v>
      </c>
      <c r="DE20">
        <f>'CALCULS Eaux usées'!$F$155</f>
        <v>0</v>
      </c>
      <c r="DF20">
        <f>'CALCULS Eaux usées'!$F$156</f>
        <v>0</v>
      </c>
      <c r="DG20">
        <f>'CALCULS Eaux usées'!$M$148</f>
        <v>0</v>
      </c>
      <c r="DH20">
        <f>'CALCULS Eaux usées'!$M$149</f>
        <v>0</v>
      </c>
      <c r="DI20">
        <f>'CALCULS Eaux usées'!$M$150</f>
        <v>0</v>
      </c>
      <c r="DJ20">
        <f>'CALCULS Eaux usées'!$M$151</f>
        <v>0</v>
      </c>
      <c r="DK20">
        <f>'CALCULS Eaux usées'!$M$152</f>
        <v>0</v>
      </c>
      <c r="DL20">
        <f>'CALCULS Eaux usées'!$M$154</f>
        <v>0</v>
      </c>
      <c r="DM20">
        <f>'CALCULS Eaux usées'!$M$155</f>
        <v>0</v>
      </c>
      <c r="DN20">
        <f>'CALCULS Eaux usées'!$M$156</f>
        <v>0</v>
      </c>
      <c r="DO20" s="2969">
        <f>'CALCULS Eaux usées'!$M$236</f>
        <v>0</v>
      </c>
      <c r="DP20" s="2969">
        <f>'CALCULS Eaux usées'!$M$237</f>
        <v>0</v>
      </c>
      <c r="DQ20" s="2969">
        <f>'CALCULS Eaux usées'!$M$240</f>
        <v>0</v>
      </c>
      <c r="DR20" s="2969">
        <f>'CALCULS Eaux usées'!$M$243</f>
        <v>0</v>
      </c>
      <c r="DS20" s="2969">
        <f>'CALCULS Eaux usées'!$M$244</f>
        <v>0</v>
      </c>
      <c r="DT20" s="2969">
        <f>'CALCULS Eaux usées'!$F$253</f>
        <v>0</v>
      </c>
      <c r="DU20" s="2969">
        <f>'CALCULS Eaux usées'!$F$255</f>
        <v>0</v>
      </c>
      <c r="DV20" s="2969">
        <f>'CALCULS Eaux usées'!$F$257</f>
        <v>0</v>
      </c>
      <c r="DW20" s="2969">
        <f>'CALCULS Eaux usées'!$G$253</f>
        <v>0</v>
      </c>
      <c r="DX20" s="2969">
        <f>'CALCULS Eaux usées'!$G$255</f>
        <v>0</v>
      </c>
      <c r="DY20" s="2969">
        <f>'CALCULS Eaux usées'!$G$257</f>
        <v>0</v>
      </c>
      <c r="DZ20" s="2969">
        <f>'CALCULS Eaux usées'!$I$253</f>
        <v>0</v>
      </c>
      <c r="EA20" s="2969">
        <f>'CALCULS Eaux usées'!$I$255</f>
        <v>0</v>
      </c>
      <c r="EB20" s="2969">
        <f>'CALCULS Eaux usées'!$I$257</f>
        <v>0</v>
      </c>
      <c r="EC20" s="2969">
        <f>'CALCULS Eaux usées'!$J$253</f>
        <v>0</v>
      </c>
      <c r="ED20" s="2969">
        <f>'CALCULS Eaux usées'!$J$255</f>
        <v>0</v>
      </c>
      <c r="EE20" s="2969">
        <f>'CALCULS Eaux usées'!$J$257</f>
        <v>0</v>
      </c>
      <c r="EF20" s="2969">
        <f>'CALCULS Eaux usées'!$E$268</f>
        <v>0</v>
      </c>
      <c r="EG20" s="2969">
        <f>'CALCULS Eaux usées'!$E$269</f>
        <v>0</v>
      </c>
      <c r="EH20" s="2969">
        <f>'CALCULS Eaux usées'!$E$270</f>
        <v>0</v>
      </c>
      <c r="EI20" s="2969">
        <f>'CALCULS Eaux usées'!$E$271</f>
        <v>0</v>
      </c>
      <c r="EJ20" s="2969">
        <f>'CALCULS Eaux usées'!$E$272</f>
        <v>0</v>
      </c>
      <c r="EK20" s="2969">
        <f>'CALCULS Eaux usées'!$F$268</f>
        <v>0</v>
      </c>
      <c r="EL20" s="2969">
        <f>'CALCULS Eaux usées'!$F$269</f>
        <v>0</v>
      </c>
      <c r="EM20" s="2969">
        <f>'CALCULS Eaux usées'!$F$270</f>
        <v>0</v>
      </c>
      <c r="EN20" s="2969">
        <f>'CALCULS Eaux usées'!$F$271</f>
        <v>0</v>
      </c>
      <c r="EO20" s="2969">
        <f>'CALCULS Eaux usées'!$F$272</f>
        <v>0</v>
      </c>
      <c r="EP20">
        <f>'CALCULS Eaux usées'!$M$276</f>
        <v>0</v>
      </c>
      <c r="EQ20">
        <f>'CALCULS Eaux usées'!$M$277</f>
        <v>0</v>
      </c>
      <c r="ER20">
        <f>'CALCULS Eaux usées'!$M$278</f>
        <v>0</v>
      </c>
      <c r="ES20">
        <f>'CALCULS Eaux usées'!$M$279</f>
        <v>0</v>
      </c>
      <c r="ET20" s="2969">
        <f>'CALCULS Eaux usées'!$E$286</f>
        <v>0</v>
      </c>
      <c r="EU20" s="2969">
        <f>'CALCULS Eaux usées'!$E$287</f>
        <v>0</v>
      </c>
      <c r="EV20" s="2969">
        <f>'CALCULS Eaux usées'!$E$288</f>
        <v>0</v>
      </c>
      <c r="EW20" s="2969">
        <f>'CALCULS Eaux usées'!$E$289</f>
        <v>0</v>
      </c>
      <c r="EX20" s="2969">
        <f>'CALCULS Eaux usées'!$E$290</f>
        <v>0</v>
      </c>
      <c r="EY20" s="2969">
        <f>'CALCULS Eaux usées'!$E$291</f>
        <v>0</v>
      </c>
      <c r="EZ20" s="2969">
        <f>'CALCULS Eaux usées'!$F$286</f>
        <v>0</v>
      </c>
      <c r="FA20" s="2969">
        <f>'CALCULS Eaux usées'!$F$287</f>
        <v>0</v>
      </c>
      <c r="FB20" s="2969">
        <f>'CALCULS Eaux usées'!$F$288</f>
        <v>0</v>
      </c>
      <c r="FC20" s="2969">
        <f>'CALCULS Eaux usées'!$F$289</f>
        <v>0</v>
      </c>
      <c r="FD20" s="2969">
        <f>'CALCULS Eaux usées'!$F$290</f>
        <v>0</v>
      </c>
      <c r="FE20" s="2969">
        <f>'CALCULS Eaux usées'!$F$291</f>
        <v>0</v>
      </c>
      <c r="FF20">
        <f>'CALCULS Eaux usées'!$M$295</f>
        <v>0</v>
      </c>
      <c r="FG20">
        <f>'CALCULS Eaux usées'!$M$296</f>
        <v>0</v>
      </c>
      <c r="FH20">
        <f>'CALCULS Eaux usées'!$M$297</f>
        <v>0</v>
      </c>
      <c r="FI20">
        <f>'CALCULS Eaux usées'!$M$298</f>
        <v>0</v>
      </c>
      <c r="FJ20" s="2969">
        <f>'CALCULS Eaux usées'!$E$306</f>
        <v>0</v>
      </c>
      <c r="FK20" s="2969">
        <f>'CALCULS Eaux usées'!$E$307</f>
        <v>0</v>
      </c>
      <c r="FL20" s="2969">
        <f>'CALCULS Eaux usées'!$E$308</f>
        <v>0</v>
      </c>
      <c r="FM20" s="2969">
        <f>'CALCULS Eaux usées'!$E$309</f>
        <v>0</v>
      </c>
      <c r="FN20" s="2969">
        <f>'CALCULS Eaux usées'!$E$310</f>
        <v>0</v>
      </c>
      <c r="FO20" s="2969">
        <f>'CALCULS Eaux usées'!$F$306</f>
        <v>0</v>
      </c>
      <c r="FP20" s="2969">
        <f>'CALCULS Eaux usées'!$F$307</f>
        <v>0</v>
      </c>
      <c r="FQ20" s="2969">
        <f>'CALCULS Eaux usées'!$F$308</f>
        <v>0</v>
      </c>
      <c r="FR20" s="2969">
        <f>'CALCULS Eaux usées'!$F$309</f>
        <v>0</v>
      </c>
      <c r="FS20" s="2969">
        <f>'CALCULS Eaux usées'!$F$310</f>
        <v>0</v>
      </c>
      <c r="FT20">
        <f>'CALCULS Eaux usées'!$M$314</f>
        <v>0</v>
      </c>
      <c r="FU20">
        <f>'CALCULS Eaux usées'!$M$315</f>
        <v>0</v>
      </c>
      <c r="FV20">
        <f>'CALCULS Eaux usées'!$M$316</f>
        <v>0</v>
      </c>
      <c r="FW20">
        <f>'CALCULS Eaux usées'!$M$317</f>
        <v>0</v>
      </c>
      <c r="FX20">
        <f>'CALCULS Eaux usées'!$E$326</f>
        <v>0</v>
      </c>
      <c r="FY20">
        <f>'CALCULS Eaux usées'!$F$326</f>
        <v>0</v>
      </c>
      <c r="FZ20">
        <f>'CALCULS Eaux usées'!$G$326</f>
        <v>0</v>
      </c>
      <c r="GA20">
        <f>'CALCULS Eaux usées'!$H$326</f>
        <v>0</v>
      </c>
      <c r="GB20">
        <f>'CALCULS Eaux usées'!$I$326</f>
        <v>0</v>
      </c>
      <c r="GC20">
        <f>'CALCULS Eaux usées'!$J$326</f>
        <v>0</v>
      </c>
      <c r="GD20">
        <f>'CALCULS Eaux usées'!$K$326</f>
        <v>0</v>
      </c>
      <c r="GE20" t="str">
        <f>'CALCULS Eaux usées'!$L$326</f>
        <v>N/A</v>
      </c>
      <c r="GF20">
        <f>'CALCULS Eaux usées'!$E$327</f>
        <v>0</v>
      </c>
      <c r="GG20">
        <f>'CALCULS Eaux usées'!$F$327</f>
        <v>0</v>
      </c>
      <c r="GH20">
        <f>'CALCULS Eaux usées'!$G$327</f>
        <v>0</v>
      </c>
      <c r="GI20">
        <f>'CALCULS Eaux usées'!$H$327</f>
        <v>0</v>
      </c>
      <c r="GJ20">
        <f>'CALCULS Eaux usées'!$I$327</f>
        <v>0</v>
      </c>
      <c r="GK20">
        <f>'CALCULS Eaux usées'!$J$327</f>
        <v>0</v>
      </c>
      <c r="GL20">
        <f>'CALCULS Eaux usées'!$K$327</f>
        <v>0</v>
      </c>
      <c r="GM20">
        <f>'CALCULS Eaux usées'!$L$327</f>
        <v>0</v>
      </c>
      <c r="GN20">
        <f>'CALCULS Eaux usées'!$E$328</f>
        <v>0</v>
      </c>
      <c r="GO20">
        <f>'CALCULS Eaux usées'!$F$328</f>
        <v>0</v>
      </c>
      <c r="GP20">
        <f>'CALCULS Eaux usées'!$G$328</f>
        <v>0</v>
      </c>
      <c r="GQ20">
        <f>'CALCULS Eaux usées'!$H$328</f>
        <v>0</v>
      </c>
      <c r="GR20">
        <f>'CALCULS Eaux usées'!$I$328</f>
        <v>0</v>
      </c>
      <c r="GS20">
        <f>'CALCULS Eaux usées'!$J$328</f>
        <v>0</v>
      </c>
      <c r="GT20">
        <f>'CALCULS Eaux usées'!$K$328</f>
        <v>0</v>
      </c>
      <c r="GU20" t="str">
        <f>'CALCULS Eaux usées'!$L$328</f>
        <v>N/A</v>
      </c>
      <c r="GV20">
        <f>'CALCULS Eaux usées'!$E$329</f>
        <v>0</v>
      </c>
      <c r="GW20">
        <f>'CALCULS Eaux usées'!$F$329</f>
        <v>0</v>
      </c>
      <c r="GX20">
        <f>'CALCULS Eaux usées'!$G$329</f>
        <v>0</v>
      </c>
      <c r="GY20">
        <f>'CALCULS Eaux usées'!$H$329</f>
        <v>0</v>
      </c>
      <c r="GZ20">
        <f>'CALCULS Eaux usées'!$I$329</f>
        <v>0</v>
      </c>
      <c r="HA20">
        <f>'CALCULS Eaux usées'!$J$329</f>
        <v>0</v>
      </c>
      <c r="HB20">
        <f>'CALCULS Eaux usées'!$K$329</f>
        <v>0</v>
      </c>
      <c r="HC20">
        <f>'CALCULS Eaux usées'!$L$329</f>
        <v>0</v>
      </c>
      <c r="HD20" s="2972" t="str">
        <f>'CALCULS Eaux usées'!$E$331</f>
        <v/>
      </c>
      <c r="HE20" s="2972" t="str">
        <f>'CALCULS Eaux usées'!$E$332</f>
        <v/>
      </c>
      <c r="HF20">
        <f>'CALCULS Eaux usées'!$E$338</f>
        <v>0</v>
      </c>
      <c r="HG20">
        <f>'CALCULS Eaux usées'!$F$338</f>
        <v>0</v>
      </c>
      <c r="HH20">
        <f>'CALCULS Eaux usées'!$G$338</f>
        <v>0</v>
      </c>
      <c r="HI20">
        <f>'CALCULS Eaux usées'!$H$338</f>
        <v>0</v>
      </c>
      <c r="HJ20">
        <f>'CALCULS Eaux usées'!$I$338</f>
        <v>0</v>
      </c>
      <c r="HK20">
        <f>'CALCULS Eaux usées'!$J$338</f>
        <v>0</v>
      </c>
      <c r="HL20">
        <f>'CALCULS Eaux usées'!$K$338</f>
        <v>0</v>
      </c>
      <c r="HM20" t="str">
        <f>'CALCULS Eaux usées'!$L$338</f>
        <v>N/A</v>
      </c>
      <c r="HN20">
        <f>'CALCULS Eaux usées'!$E$339</f>
        <v>0</v>
      </c>
      <c r="HO20">
        <f>'CALCULS Eaux usées'!$F$339</f>
        <v>0</v>
      </c>
      <c r="HP20">
        <f>'CALCULS Eaux usées'!$G$339</f>
        <v>0</v>
      </c>
      <c r="HQ20">
        <f>'CALCULS Eaux usées'!$H$339</f>
        <v>0</v>
      </c>
      <c r="HR20">
        <f>'CALCULS Eaux usées'!$I$339</f>
        <v>0</v>
      </c>
      <c r="HS20">
        <f>'CALCULS Eaux usées'!$J$339</f>
        <v>0</v>
      </c>
      <c r="HT20">
        <f>'CALCULS Eaux usées'!$K$339</f>
        <v>0</v>
      </c>
      <c r="HU20">
        <f>'CALCULS Eaux usées'!$L$339</f>
        <v>0</v>
      </c>
      <c r="HV20">
        <f>'CALCULS Eaux usées'!$E$340</f>
        <v>0</v>
      </c>
      <c r="HW20">
        <f>'CALCULS Eaux usées'!$F$340</f>
        <v>0</v>
      </c>
      <c r="HX20">
        <f>'CALCULS Eaux usées'!$G$340</f>
        <v>0</v>
      </c>
      <c r="HY20">
        <f>'CALCULS Eaux usées'!$H$340</f>
        <v>0</v>
      </c>
      <c r="HZ20">
        <f>'CALCULS Eaux usées'!$I$340</f>
        <v>0</v>
      </c>
      <c r="IA20">
        <f>'CALCULS Eaux usées'!$J$340</f>
        <v>0</v>
      </c>
      <c r="IB20">
        <f>'CALCULS Eaux usées'!$K$340</f>
        <v>0</v>
      </c>
      <c r="IC20" t="str">
        <f>'CALCULS Eaux usées'!$L$340</f>
        <v>N/A</v>
      </c>
      <c r="ID20">
        <f>'CALCULS Eaux usées'!$E$341</f>
        <v>0</v>
      </c>
      <c r="IE20">
        <f>'CALCULS Eaux usées'!$F$341</f>
        <v>0</v>
      </c>
      <c r="IF20">
        <f>'CALCULS Eaux usées'!$G$341</f>
        <v>0</v>
      </c>
      <c r="IG20">
        <f>'CALCULS Eaux usées'!$H$341</f>
        <v>0</v>
      </c>
      <c r="IH20">
        <f>'CALCULS Eaux usées'!$I$341</f>
        <v>0</v>
      </c>
      <c r="II20">
        <f>'CALCULS Eaux usées'!$J$341</f>
        <v>0</v>
      </c>
      <c r="IJ20">
        <f>'CALCULS Eaux usées'!$K$341</f>
        <v>0</v>
      </c>
      <c r="IK20">
        <f>'CALCULS Eaux usées'!$L$341</f>
        <v>0</v>
      </c>
      <c r="IL20" s="2972" t="str">
        <f>'CALCULS Eaux usées'!$E$343</f>
        <v/>
      </c>
      <c r="IM20" s="2972" t="str">
        <f>'CALCULS Eaux usées'!$E$344</f>
        <v/>
      </c>
    </row>
    <row r="21" spans="1:247">
      <c r="A21" s="2990" t="str">
        <f>IF(OR(T_mun[[#This Row],[p0_pd_serv_fournis]]="ERREUR",T_mun[[#This Row],[p0_pd_choix_pga]]="ERREUR"),"ERREUR",IF(OR(T_mun[[#This Row],[p0_pd_serv_fournis]]="Non",T_mun[[#This Row],[p0_pd_choix_pga]]=""),"",IF(OR('CALCULS Eaux pluviales'!$G$9="",'CALCULS Eaux pluviales'!$G$9="##"),"ERREUR",'CALCULS Eaux pluviales'!$G$9)))</f>
        <v>ERREUR</v>
      </c>
      <c r="B21" t="s">
        <v>98</v>
      </c>
      <c r="C21" t="str">
        <f>IF(OR(IDENTIFICATION!L126="Oui",IDENTIFICATION!L126="Non"),IDENTIFICATION!L126,"ERREUR")</f>
        <v>ERREUR</v>
      </c>
      <c r="D21" t="str">
        <f>IF(IDENTIFICATION!$G$142="","ERREUR",IF(LEFT(IDENTIFICATION!$G$142,7)="CHOIX 1",IDENTIFICATION!$G$142,""))</f>
        <v>ERREUR</v>
      </c>
      <c r="E21" t="str">
        <f>'CALCULS Eaux pluviales'!$G$11</f>
        <v>##</v>
      </c>
      <c r="F21" t="str">
        <f>'CALCULS Eaux pluviales'!$H$12</f>
        <v/>
      </c>
      <c r="G21" s="2968" t="str">
        <f>'CALCULS Eaux pluviales'!$G$13</f>
        <v>##</v>
      </c>
      <c r="H21" s="2969">
        <f>'CALCULS Eaux pluviales'!$E$21</f>
        <v>0</v>
      </c>
      <c r="I21" s="2969">
        <f>'CALCULS Eaux pluviales'!$E$22</f>
        <v>0</v>
      </c>
      <c r="J21" s="2969">
        <f>'CALCULS Eaux pluviales'!$E$23</f>
        <v>0</v>
      </c>
      <c r="K21" s="2969">
        <f>'CALCULS Eaux pluviales'!$E$24</f>
        <v>0</v>
      </c>
      <c r="L21" s="2969">
        <f>'CALCULS Eaux pluviales'!$E$25</f>
        <v>0</v>
      </c>
      <c r="M21" s="2969">
        <f>'CALCULS Eaux pluviales'!$E$26</f>
        <v>0</v>
      </c>
      <c r="N21" s="2970">
        <f>'CALCULS Eaux pluviales'!$G$21</f>
        <v>0</v>
      </c>
      <c r="O21">
        <f>'CALCULS Eaux pluviales'!$G$22</f>
        <v>0</v>
      </c>
      <c r="P21" s="2970">
        <f>'CALCULS Eaux pluviales'!$G$23</f>
        <v>0</v>
      </c>
      <c r="Q21">
        <f>'CALCULS Eaux pluviales'!$H$23</f>
        <v>0</v>
      </c>
      <c r="R21" s="2970">
        <f>'CALCULS Eaux pluviales'!$G$24</f>
        <v>0</v>
      </c>
      <c r="S21">
        <f>'CALCULS Eaux pluviales'!$G$25</f>
        <v>0</v>
      </c>
      <c r="T21" s="2970">
        <f>'CALCULS Eaux pluviales'!$G$26</f>
        <v>0</v>
      </c>
      <c r="U21">
        <f>'CALCULS Eaux pluviales'!$H$26</f>
        <v>0</v>
      </c>
      <c r="V21">
        <f>'CALCULS Eaux pluviales'!$J$21</f>
        <v>0</v>
      </c>
      <c r="W21">
        <f>'CALCULS Eaux pluviales'!$J$22</f>
        <v>0</v>
      </c>
      <c r="X21">
        <f>'CALCULS Eaux pluviales'!$J$24</f>
        <v>0</v>
      </c>
      <c r="Y21">
        <f>'CALCULS Eaux pluviales'!$J$25</f>
        <v>0</v>
      </c>
      <c r="Z21">
        <f>'CALCULS Eaux pluviales'!$I$33</f>
        <v>0</v>
      </c>
      <c r="AA21">
        <f>'CALCULS Eaux pluviales'!$I$41</f>
        <v>0</v>
      </c>
      <c r="AB21" t="str">
        <f>'SOMMAIRE PGA Eaux pluviales'!$F$29</f>
        <v/>
      </c>
      <c r="AC21" t="str">
        <f>'SOMMAIRE PGA Eaux pluviales'!$F$30</f>
        <v/>
      </c>
      <c r="AD21" t="str">
        <f>'SOMMAIRE PGA Eaux pluviales'!$F$31</f>
        <v/>
      </c>
      <c r="AE21" t="str">
        <f>'SOMMAIRE PGA Eaux pluviales'!$R$29</f>
        <v/>
      </c>
      <c r="AF21" t="str">
        <f>'SOMMAIRE PGA Eaux pluviales'!$R$30</f>
        <v/>
      </c>
      <c r="AG21" t="str">
        <f>'SOMMAIRE PGA Eaux pluviales'!$R$31</f>
        <v/>
      </c>
      <c r="AH21" s="2971">
        <f>'CALCULS Eaux pluviales'!$E$53</f>
        <v>0</v>
      </c>
      <c r="AI21" s="2971">
        <f>'CALCULS Eaux pluviales'!$F$53</f>
        <v>0</v>
      </c>
      <c r="AJ21" s="2971">
        <f>'CALCULS Eaux pluviales'!$G$53</f>
        <v>0</v>
      </c>
      <c r="AK21" s="2971">
        <f>'CALCULS Eaux pluviales'!$H$53</f>
        <v>0</v>
      </c>
      <c r="AL21" s="2971">
        <f>'CALCULS Eaux pluviales'!$I$53</f>
        <v>0</v>
      </c>
      <c r="AM21" s="2971">
        <f>'CALCULS Eaux pluviales'!$J$53</f>
        <v>0</v>
      </c>
      <c r="AN21">
        <f>'CALCULS Eaux pluviales'!$L$53</f>
        <v>0</v>
      </c>
      <c r="AO21" s="2971">
        <f>'CALCULS Eaux pluviales'!$E$54</f>
        <v>0</v>
      </c>
      <c r="AP21" s="2971">
        <f>'CALCULS Eaux pluviales'!$F$54</f>
        <v>0</v>
      </c>
      <c r="AQ21" s="2971">
        <f>'CALCULS Eaux pluviales'!$G$54</f>
        <v>0</v>
      </c>
      <c r="AR21" s="2971">
        <f>'CALCULS Eaux pluviales'!$H$54</f>
        <v>0</v>
      </c>
      <c r="AS21" s="2971">
        <f>'CALCULS Eaux pluviales'!$I$54</f>
        <v>0</v>
      </c>
      <c r="AT21" s="2971">
        <f>'CALCULS Eaux pluviales'!$J$54</f>
        <v>0</v>
      </c>
      <c r="AU21">
        <f>'CALCULS Eaux pluviales'!$L$54</f>
        <v>0</v>
      </c>
      <c r="AV21" s="2971">
        <f>'CALCULS Eaux pluviales'!$E$55</f>
        <v>0</v>
      </c>
      <c r="AW21" s="2971">
        <f>'CALCULS Eaux pluviales'!$F$55</f>
        <v>0</v>
      </c>
      <c r="AX21" s="2971">
        <f>'CALCULS Eaux pluviales'!$G$55</f>
        <v>0</v>
      </c>
      <c r="AY21" s="2971">
        <f>'CALCULS Eaux pluviales'!$H$55</f>
        <v>0</v>
      </c>
      <c r="AZ21" s="2971">
        <f>'CALCULS Eaux pluviales'!$I$55</f>
        <v>0</v>
      </c>
      <c r="BA21" s="2971">
        <f>'CALCULS Eaux pluviales'!$J$55</f>
        <v>0</v>
      </c>
      <c r="BB21">
        <f>'CALCULS Eaux pluviales'!$L$55</f>
        <v>0</v>
      </c>
      <c r="BC21" s="2971">
        <f>'CALCULS Eaux pluviales'!$E$56</f>
        <v>0</v>
      </c>
      <c r="BD21" s="2971">
        <f>'CALCULS Eaux pluviales'!$F$56</f>
        <v>0</v>
      </c>
      <c r="BE21" s="2971">
        <f>'CALCULS Eaux pluviales'!$G$56</f>
        <v>0</v>
      </c>
      <c r="BF21" s="2971">
        <f>'CALCULS Eaux pluviales'!$H$56</f>
        <v>0</v>
      </c>
      <c r="BG21" s="2971">
        <f>'CALCULS Eaux pluviales'!$I$56</f>
        <v>0</v>
      </c>
      <c r="BH21" s="2971">
        <f>'CALCULS Eaux pluviales'!$J$56</f>
        <v>0</v>
      </c>
      <c r="BI21">
        <f>'CALCULS Eaux pluviales'!$L$56</f>
        <v>0</v>
      </c>
      <c r="BJ21" t="str">
        <f>IF('CALCULS Eaux pluviales'!$D$64=0,"",'CALCULS Eaux pluviales'!$D$64)</f>
        <v/>
      </c>
      <c r="BK21" t="str">
        <f>IF('CALCULS Eaux pluviales'!$D$65=0,"",'CALCULS Eaux pluviales'!$D$65)</f>
        <v/>
      </c>
      <c r="BL21" t="str">
        <f>IF('CALCULS Eaux pluviales'!$D$66=0,"",'CALCULS Eaux pluviales'!$D$66)</f>
        <v/>
      </c>
      <c r="BM21" t="str">
        <f>IF('CALCULS Eaux pluviales'!$H$64=0,"",'CALCULS Eaux pluviales'!$H$64)</f>
        <v/>
      </c>
      <c r="BN21" t="str">
        <f>IF('CALCULS Eaux pluviales'!$H$65=0,"",'CALCULS Eaux pluviales'!$H$65)</f>
        <v/>
      </c>
      <c r="BO21" t="str">
        <f>IF('CALCULS Eaux pluviales'!$H$66=0,"",'CALCULS Eaux pluviales'!$H$66)</f>
        <v/>
      </c>
      <c r="BP21">
        <f>'CALCULS Eaux pluviales'!$O$63</f>
        <v>0</v>
      </c>
      <c r="BQ21">
        <f>'CALCULS Eaux pluviales'!$D$72</f>
        <v>0</v>
      </c>
      <c r="BR21">
        <f>'CALCULS Eaux pluviales'!$E$72</f>
        <v>0</v>
      </c>
      <c r="BS21">
        <f>'CALCULS Eaux pluviales'!$F$72</f>
        <v>0</v>
      </c>
      <c r="BT21">
        <f>'CALCULS Eaux pluviales'!$D$73</f>
        <v>0</v>
      </c>
      <c r="BU21">
        <f>'CALCULS Eaux pluviales'!$E$73</f>
        <v>0</v>
      </c>
      <c r="BV21">
        <f>'CALCULS Eaux pluviales'!$F$73</f>
        <v>0</v>
      </c>
      <c r="BW21">
        <f>'CALCULS Eaux pluviales'!$D$74</f>
        <v>0</v>
      </c>
      <c r="BX21">
        <f>'CALCULS Eaux pluviales'!$E$74</f>
        <v>0</v>
      </c>
      <c r="BY21">
        <f>'CALCULS Eaux pluviales'!$F$74</f>
        <v>0</v>
      </c>
      <c r="BZ21">
        <f>'CALCULS Eaux pluviales'!$O$71</f>
        <v>0</v>
      </c>
      <c r="CA21">
        <f>'CALCULS Eaux pluviales'!$D$87</f>
        <v>0</v>
      </c>
      <c r="CB21">
        <f>'CALCULS Eaux pluviales'!$E$87</f>
        <v>0</v>
      </c>
      <c r="CC21">
        <f>'CALCULS Eaux pluviales'!$F$87</f>
        <v>0</v>
      </c>
      <c r="CD21">
        <f>'CALCULS Eaux pluviales'!$D$88</f>
        <v>0</v>
      </c>
      <c r="CE21">
        <f>'CALCULS Eaux pluviales'!$E$88</f>
        <v>0</v>
      </c>
      <c r="CF21">
        <f>'CALCULS Eaux pluviales'!$F$88</f>
        <v>0</v>
      </c>
      <c r="CG21">
        <f>'CALCULS Eaux pluviales'!$D$89</f>
        <v>0</v>
      </c>
      <c r="CH21">
        <f>'CALCULS Eaux pluviales'!$E$89</f>
        <v>0</v>
      </c>
      <c r="CI21">
        <f>'CALCULS Eaux pluviales'!$F$89</f>
        <v>0</v>
      </c>
      <c r="CJ21">
        <f>'CALCULS Eaux pluviales'!$O$86</f>
        <v>0</v>
      </c>
      <c r="CK21">
        <f>'CALCULS Eaux pluviales'!$E$105</f>
        <v>0</v>
      </c>
      <c r="CL21">
        <f>'CALCULS Eaux pluviales'!$E$106</f>
        <v>0</v>
      </c>
      <c r="CM21">
        <f>'CALCULS Eaux pluviales'!$E$107</f>
        <v>0</v>
      </c>
      <c r="CN21">
        <f>'CALCULS Eaux pluviales'!$E$108</f>
        <v>0</v>
      </c>
      <c r="CO21">
        <f>'CALCULS Eaux pluviales'!$E$109</f>
        <v>0</v>
      </c>
      <c r="CP21" t="str">
        <f>IF('CALCULS Eaux pluviales'!$E$110=0,"",'CALCULS Eaux pluviales'!$E$110)</f>
        <v/>
      </c>
      <c r="CQ21">
        <f>'CALCULS Eaux pluviales'!$L$112</f>
        <v>0</v>
      </c>
      <c r="CR21" t="str">
        <f>IF('CALCULS Eaux pluviales'!$E$118=0,"",'CALCULS Eaux pluviales'!$E$118)</f>
        <v/>
      </c>
      <c r="CS21">
        <f>'CALCULS Eaux pluviales'!$E$119</f>
        <v>0</v>
      </c>
      <c r="CT21">
        <f>'CALCULS Eaux pluviales'!$E$120</f>
        <v>0</v>
      </c>
      <c r="CU21">
        <f>'CALCULS Eaux pluviales'!$E$121</f>
        <v>0</v>
      </c>
      <c r="CV21">
        <f>'CALCULS Eaux pluviales'!$E$122</f>
        <v>0</v>
      </c>
      <c r="CW21">
        <f>'CALCULS Eaux pluviales'!$E$123</f>
        <v>0</v>
      </c>
      <c r="CX21">
        <f>'CALCULS Eaux pluviales'!$L$125</f>
        <v>0</v>
      </c>
      <c r="CY21">
        <f>'CALCULS Eaux pluviales'!$F$148</f>
        <v>0</v>
      </c>
      <c r="CZ21">
        <f>'CALCULS Eaux pluviales'!$F$149</f>
        <v>0</v>
      </c>
      <c r="DA21">
        <f>'CALCULS Eaux pluviales'!$F$150</f>
        <v>0</v>
      </c>
      <c r="DB21">
        <f>'CALCULS Eaux pluviales'!$F$151</f>
        <v>0</v>
      </c>
      <c r="DC21">
        <f>'CALCULS Eaux pluviales'!$F$152</f>
        <v>0</v>
      </c>
      <c r="DD21">
        <f>'CALCULS Eaux pluviales'!$F$154</f>
        <v>0</v>
      </c>
      <c r="DE21">
        <f>'CALCULS Eaux pluviales'!$F$155</f>
        <v>0</v>
      </c>
      <c r="DF21">
        <f>'CALCULS Eaux pluviales'!$F$156</f>
        <v>0</v>
      </c>
      <c r="DG21">
        <f>'CALCULS Eaux pluviales'!$M$148</f>
        <v>0</v>
      </c>
      <c r="DH21">
        <f>'CALCULS Eaux pluviales'!$M$149</f>
        <v>0</v>
      </c>
      <c r="DI21">
        <f>'CALCULS Eaux pluviales'!$M$150</f>
        <v>0</v>
      </c>
      <c r="DJ21">
        <f>'CALCULS Eaux pluviales'!$M$151</f>
        <v>0</v>
      </c>
      <c r="DK21">
        <f>'CALCULS Eaux pluviales'!$M$152</f>
        <v>0</v>
      </c>
      <c r="DL21">
        <f>'CALCULS Eaux pluviales'!$M$154</f>
        <v>0</v>
      </c>
      <c r="DM21">
        <f>'CALCULS Eaux pluviales'!$M$155</f>
        <v>0</v>
      </c>
      <c r="DN21">
        <f>'CALCULS Eaux pluviales'!$M$156</f>
        <v>0</v>
      </c>
      <c r="DO21" s="2969">
        <f>'CALCULS Eaux pluviales'!$M$236</f>
        <v>0</v>
      </c>
      <c r="DP21" s="2969">
        <f>'CALCULS Eaux pluviales'!$M$237</f>
        <v>0</v>
      </c>
      <c r="DQ21" s="2969">
        <f>'CALCULS Eaux pluviales'!$M$240</f>
        <v>0</v>
      </c>
      <c r="DR21" s="2969">
        <f>'CALCULS Eaux pluviales'!$M$243</f>
        <v>0</v>
      </c>
      <c r="DS21" s="2969">
        <f>'CALCULS Eaux pluviales'!$M$244</f>
        <v>0</v>
      </c>
      <c r="DT21" s="2969">
        <f>'CALCULS Eaux pluviales'!$F$253</f>
        <v>0</v>
      </c>
      <c r="DU21" s="2969">
        <f>'CALCULS Eaux pluviales'!$F$255</f>
        <v>0</v>
      </c>
      <c r="DV21" s="2969">
        <f>'CALCULS Eaux pluviales'!$F$257</f>
        <v>0</v>
      </c>
      <c r="DW21" s="2969">
        <f>'CALCULS Eaux pluviales'!$G$253</f>
        <v>0</v>
      </c>
      <c r="DX21" s="2969">
        <f>'CALCULS Eaux pluviales'!$G$255</f>
        <v>0</v>
      </c>
      <c r="DY21" s="2969">
        <f>'CALCULS Eaux pluviales'!$G$257</f>
        <v>0</v>
      </c>
      <c r="DZ21" s="2969">
        <f>'CALCULS Eaux pluviales'!$I$253</f>
        <v>0</v>
      </c>
      <c r="EA21" s="2969">
        <f>'CALCULS Eaux pluviales'!$I$255</f>
        <v>0</v>
      </c>
      <c r="EB21" s="2969">
        <f>'CALCULS Eaux pluviales'!$I$257</f>
        <v>0</v>
      </c>
      <c r="EC21" s="2969">
        <f>'CALCULS Eaux pluviales'!$J$253</f>
        <v>0</v>
      </c>
      <c r="ED21" s="2969">
        <f>'CALCULS Eaux pluviales'!$J$255</f>
        <v>0</v>
      </c>
      <c r="EE21" s="2969">
        <f>'CALCULS Eaux pluviales'!$J$257</f>
        <v>0</v>
      </c>
      <c r="EF21" s="2969">
        <f>'CALCULS Eaux pluviales'!$E$268</f>
        <v>0</v>
      </c>
      <c r="EG21" s="2969">
        <f>'CALCULS Eaux pluviales'!$E$269</f>
        <v>0</v>
      </c>
      <c r="EH21" s="2969">
        <f>'CALCULS Eaux pluviales'!$E$270</f>
        <v>0</v>
      </c>
      <c r="EI21" s="2969">
        <f>'CALCULS Eaux pluviales'!$E$271</f>
        <v>0</v>
      </c>
      <c r="EJ21" s="2969">
        <f>'CALCULS Eaux pluviales'!$E$272</f>
        <v>0</v>
      </c>
      <c r="EK21" s="2969">
        <f>'CALCULS Eaux pluviales'!$F$268</f>
        <v>0</v>
      </c>
      <c r="EL21" s="2969">
        <f>'CALCULS Eaux pluviales'!$F$269</f>
        <v>0</v>
      </c>
      <c r="EM21" s="2969">
        <f>'CALCULS Eaux pluviales'!$F$270</f>
        <v>0</v>
      </c>
      <c r="EN21" s="2969">
        <f>'CALCULS Eaux pluviales'!$F$271</f>
        <v>0</v>
      </c>
      <c r="EO21" s="2969">
        <f>'CALCULS Eaux pluviales'!$F$272</f>
        <v>0</v>
      </c>
      <c r="EP21">
        <f>'CALCULS Eaux pluviales'!$M$276</f>
        <v>0</v>
      </c>
      <c r="EQ21">
        <f>'CALCULS Eaux pluviales'!$M$277</f>
        <v>0</v>
      </c>
      <c r="ER21">
        <f>'CALCULS Eaux pluviales'!$M$278</f>
        <v>0</v>
      </c>
      <c r="ES21">
        <f>'CALCULS Eaux pluviales'!$M$279</f>
        <v>0</v>
      </c>
      <c r="ET21" s="2969">
        <f>'CALCULS Eaux pluviales'!$E$286</f>
        <v>0</v>
      </c>
      <c r="EU21" s="2969">
        <f>'CALCULS Eaux pluviales'!$E$287</f>
        <v>0</v>
      </c>
      <c r="EV21" s="2969">
        <f>'CALCULS Eaux pluviales'!$E$288</f>
        <v>0</v>
      </c>
      <c r="EW21" s="2969">
        <f>'CALCULS Eaux pluviales'!$E$289</f>
        <v>0</v>
      </c>
      <c r="EX21" s="2969">
        <f>'CALCULS Eaux pluviales'!$E$290</f>
        <v>0</v>
      </c>
      <c r="EY21" s="2969">
        <f>'CALCULS Eaux pluviales'!$E$291</f>
        <v>0</v>
      </c>
      <c r="EZ21" s="2969">
        <f>'CALCULS Eaux pluviales'!$F$286</f>
        <v>0</v>
      </c>
      <c r="FA21" s="2969">
        <f>'CALCULS Eaux pluviales'!$F$287</f>
        <v>0</v>
      </c>
      <c r="FB21" s="2969">
        <f>'CALCULS Eaux pluviales'!$F$288</f>
        <v>0</v>
      </c>
      <c r="FC21" s="2969">
        <f>'CALCULS Eaux pluviales'!$F$289</f>
        <v>0</v>
      </c>
      <c r="FD21" s="2969">
        <f>'CALCULS Eaux pluviales'!$F$290</f>
        <v>0</v>
      </c>
      <c r="FE21" s="2969">
        <f>'CALCULS Eaux pluviales'!$F$291</f>
        <v>0</v>
      </c>
      <c r="FF21">
        <f>'CALCULS Eaux pluviales'!$M$295</f>
        <v>0</v>
      </c>
      <c r="FG21">
        <f>'CALCULS Eaux pluviales'!$M$296</f>
        <v>0</v>
      </c>
      <c r="FH21">
        <f>'CALCULS Eaux pluviales'!$M$297</f>
        <v>0</v>
      </c>
      <c r="FI21">
        <f>'CALCULS Eaux pluviales'!$M$298</f>
        <v>0</v>
      </c>
      <c r="FJ21" s="2969">
        <f>'CALCULS Eaux pluviales'!$E$306</f>
        <v>0</v>
      </c>
      <c r="FK21" s="2969">
        <f>'CALCULS Eaux pluviales'!$E$307</f>
        <v>0</v>
      </c>
      <c r="FL21" s="2969">
        <f>'CALCULS Eaux pluviales'!$E$308</f>
        <v>0</v>
      </c>
      <c r="FM21" s="2969">
        <f>'CALCULS Eaux pluviales'!$E$309</f>
        <v>0</v>
      </c>
      <c r="FN21" s="2969">
        <f>'CALCULS Eaux pluviales'!$E$310</f>
        <v>0</v>
      </c>
      <c r="FO21" s="2969">
        <f>'CALCULS Eaux pluviales'!$F$306</f>
        <v>0</v>
      </c>
      <c r="FP21" s="2969">
        <f>'CALCULS Eaux pluviales'!$F$307</f>
        <v>0</v>
      </c>
      <c r="FQ21" s="2969">
        <f>'CALCULS Eaux pluviales'!$F$308</f>
        <v>0</v>
      </c>
      <c r="FR21" s="2969">
        <f>'CALCULS Eaux pluviales'!$F$309</f>
        <v>0</v>
      </c>
      <c r="FS21" s="2969">
        <f>'CALCULS Eaux pluviales'!$F$310</f>
        <v>0</v>
      </c>
      <c r="FT21">
        <f>'CALCULS Eaux pluviales'!$M$314</f>
        <v>0</v>
      </c>
      <c r="FU21">
        <f>'CALCULS Eaux pluviales'!$M$315</f>
        <v>0</v>
      </c>
      <c r="FV21">
        <f>'CALCULS Eaux pluviales'!$M$316</f>
        <v>0</v>
      </c>
      <c r="FW21">
        <f>'CALCULS Eaux pluviales'!$M$317</f>
        <v>0</v>
      </c>
      <c r="FX21">
        <f>'CALCULS Eaux pluviales'!$E$326</f>
        <v>0</v>
      </c>
      <c r="FY21">
        <f>'CALCULS Eaux pluviales'!$F$326</f>
        <v>0</v>
      </c>
      <c r="FZ21">
        <f>'CALCULS Eaux pluviales'!$G$326</f>
        <v>0</v>
      </c>
      <c r="GA21">
        <f>'CALCULS Eaux pluviales'!$H$326</f>
        <v>0</v>
      </c>
      <c r="GB21">
        <f>'CALCULS Eaux pluviales'!$I$326</f>
        <v>0</v>
      </c>
      <c r="GC21">
        <f>'CALCULS Eaux pluviales'!$J$326</f>
        <v>0</v>
      </c>
      <c r="GD21">
        <f>'CALCULS Eaux pluviales'!$K$326</f>
        <v>0</v>
      </c>
      <c r="GE21" t="str">
        <f>'CALCULS Eaux pluviales'!$L$326</f>
        <v>N/A</v>
      </c>
      <c r="GF21">
        <f>'CALCULS Eaux pluviales'!$E$327</f>
        <v>0</v>
      </c>
      <c r="GG21">
        <f>'CALCULS Eaux pluviales'!$F$327</f>
        <v>0</v>
      </c>
      <c r="GH21">
        <f>'CALCULS Eaux pluviales'!$G$327</f>
        <v>0</v>
      </c>
      <c r="GI21">
        <f>'CALCULS Eaux pluviales'!$H$327</f>
        <v>0</v>
      </c>
      <c r="GJ21">
        <f>'CALCULS Eaux pluviales'!$I$327</f>
        <v>0</v>
      </c>
      <c r="GK21">
        <f>'CALCULS Eaux pluviales'!$J$327</f>
        <v>0</v>
      </c>
      <c r="GL21">
        <f>'CALCULS Eaux pluviales'!$K$327</f>
        <v>0</v>
      </c>
      <c r="GM21">
        <f>'CALCULS Eaux pluviales'!$L$327</f>
        <v>0</v>
      </c>
      <c r="GN21">
        <f>'CALCULS Eaux pluviales'!$E$328</f>
        <v>0</v>
      </c>
      <c r="GO21">
        <f>'CALCULS Eaux pluviales'!$F$328</f>
        <v>0</v>
      </c>
      <c r="GP21">
        <f>'CALCULS Eaux pluviales'!$G$328</f>
        <v>0</v>
      </c>
      <c r="GQ21">
        <f>'CALCULS Eaux pluviales'!$H$328</f>
        <v>0</v>
      </c>
      <c r="GR21">
        <f>'CALCULS Eaux pluviales'!$I$328</f>
        <v>0</v>
      </c>
      <c r="GS21">
        <f>'CALCULS Eaux pluviales'!$J$328</f>
        <v>0</v>
      </c>
      <c r="GT21">
        <f>'CALCULS Eaux pluviales'!$K$328</f>
        <v>0</v>
      </c>
      <c r="GU21" t="str">
        <f>'CALCULS Eaux pluviales'!$L$328</f>
        <v>N/A</v>
      </c>
      <c r="GV21">
        <f>'CALCULS Eaux pluviales'!$E$329</f>
        <v>0</v>
      </c>
      <c r="GW21">
        <f>'CALCULS Eaux pluviales'!$F$329</f>
        <v>0</v>
      </c>
      <c r="GX21">
        <f>'CALCULS Eaux pluviales'!$G$329</f>
        <v>0</v>
      </c>
      <c r="GY21">
        <f>'CALCULS Eaux pluviales'!$H$329</f>
        <v>0</v>
      </c>
      <c r="GZ21">
        <f>'CALCULS Eaux pluviales'!$I$329</f>
        <v>0</v>
      </c>
      <c r="HA21">
        <f>'CALCULS Eaux pluviales'!$J$329</f>
        <v>0</v>
      </c>
      <c r="HB21">
        <f>'CALCULS Eaux pluviales'!$K$329</f>
        <v>0</v>
      </c>
      <c r="HC21">
        <f>'CALCULS Eaux pluviales'!$L$329</f>
        <v>0</v>
      </c>
      <c r="HD21" s="2972" t="str">
        <f>'CALCULS Eaux pluviales'!$E$331</f>
        <v/>
      </c>
      <c r="HE21" s="2972" t="str">
        <f>'CALCULS Eaux pluviales'!$E$332</f>
        <v/>
      </c>
      <c r="HF21">
        <f>'CALCULS Eaux pluviales'!$E$338</f>
        <v>0</v>
      </c>
      <c r="HG21">
        <f>'CALCULS Eaux pluviales'!$F$338</f>
        <v>0</v>
      </c>
      <c r="HH21">
        <f>'CALCULS Eaux pluviales'!$G$338</f>
        <v>0</v>
      </c>
      <c r="HI21">
        <f>'CALCULS Eaux pluviales'!$H$338</f>
        <v>0</v>
      </c>
      <c r="HJ21">
        <f>'CALCULS Eaux pluviales'!$I$338</f>
        <v>0</v>
      </c>
      <c r="HK21">
        <f>'CALCULS Eaux pluviales'!$J$338</f>
        <v>0</v>
      </c>
      <c r="HL21">
        <f>'CALCULS Eaux pluviales'!$K$338</f>
        <v>0</v>
      </c>
      <c r="HM21" t="str">
        <f>'CALCULS Eaux pluviales'!$L$338</f>
        <v>N/A</v>
      </c>
      <c r="HN21">
        <f>'CALCULS Eaux pluviales'!$E$339</f>
        <v>0</v>
      </c>
      <c r="HO21">
        <f>'CALCULS Eaux pluviales'!$F$339</f>
        <v>0</v>
      </c>
      <c r="HP21">
        <f>'CALCULS Eaux pluviales'!$G$339</f>
        <v>0</v>
      </c>
      <c r="HQ21">
        <f>'CALCULS Eaux pluviales'!$H$339</f>
        <v>0</v>
      </c>
      <c r="HR21">
        <f>'CALCULS Eaux pluviales'!$I$339</f>
        <v>0</v>
      </c>
      <c r="HS21">
        <f>'CALCULS Eaux pluviales'!$J$339</f>
        <v>0</v>
      </c>
      <c r="HT21">
        <f>'CALCULS Eaux pluviales'!$K$339</f>
        <v>0</v>
      </c>
      <c r="HU21">
        <f>'CALCULS Eaux pluviales'!$L$339</f>
        <v>0</v>
      </c>
      <c r="HV21">
        <f>'CALCULS Eaux pluviales'!$E$340</f>
        <v>0</v>
      </c>
      <c r="HW21">
        <f>'CALCULS Eaux pluviales'!$F$340</f>
        <v>0</v>
      </c>
      <c r="HX21">
        <f>'CALCULS Eaux pluviales'!$G$340</f>
        <v>0</v>
      </c>
      <c r="HY21">
        <f>'CALCULS Eaux pluviales'!$H$340</f>
        <v>0</v>
      </c>
      <c r="HZ21">
        <f>'CALCULS Eaux pluviales'!$I$340</f>
        <v>0</v>
      </c>
      <c r="IA21">
        <f>'CALCULS Eaux pluviales'!$J$340</f>
        <v>0</v>
      </c>
      <c r="IB21">
        <f>'CALCULS Eaux pluviales'!$K$340</f>
        <v>0</v>
      </c>
      <c r="IC21" t="str">
        <f>'CALCULS Eaux pluviales'!$L$340</f>
        <v>N/A</v>
      </c>
      <c r="ID21">
        <f>'CALCULS Eaux pluviales'!$E$341</f>
        <v>0</v>
      </c>
      <c r="IE21">
        <f>'CALCULS Eaux pluviales'!$F$341</f>
        <v>0</v>
      </c>
      <c r="IF21">
        <f>'CALCULS Eaux pluviales'!$G$341</f>
        <v>0</v>
      </c>
      <c r="IG21">
        <f>'CALCULS Eaux pluviales'!$H$341</f>
        <v>0</v>
      </c>
      <c r="IH21">
        <f>'CALCULS Eaux pluviales'!$I$341</f>
        <v>0</v>
      </c>
      <c r="II21">
        <f>'CALCULS Eaux pluviales'!$J$341</f>
        <v>0</v>
      </c>
      <c r="IJ21">
        <f>'CALCULS Eaux pluviales'!$K$341</f>
        <v>0</v>
      </c>
      <c r="IK21">
        <f>'CALCULS Eaux pluviales'!$L$341</f>
        <v>0</v>
      </c>
      <c r="IL21" s="2972" t="str">
        <f>'CALCULS Eaux pluviales'!$E$343</f>
        <v/>
      </c>
      <c r="IM21" s="2972" t="str">
        <f>'CALCULS Eaux pluviales'!$E$344</f>
        <v/>
      </c>
    </row>
    <row r="22" spans="1:247">
      <c r="A22" s="2972"/>
      <c r="B22" s="2972"/>
      <c r="C22" s="2972"/>
      <c r="D22" s="2972"/>
    </row>
    <row r="23" spans="1:247">
      <c r="A23" s="2972"/>
      <c r="B23" s="2972"/>
      <c r="C23" s="2972"/>
      <c r="D23" s="2972"/>
    </row>
    <row r="24" spans="1:247" ht="15" thickBot="1">
      <c r="A24" s="2973" t="s">
        <v>3929</v>
      </c>
      <c r="B24" s="2972"/>
      <c r="C24" s="2972"/>
      <c r="D24" s="2972"/>
    </row>
    <row r="25" spans="1:247" ht="15.6" thickTop="1" thickBot="1">
      <c r="A25" s="2974">
        <f>COUNTIF(B38:B43,"À compléter")+COUNTIF(B47:J57,"À compléter")</f>
        <v>6</v>
      </c>
      <c r="B25" s="2972"/>
      <c r="C25" s="2972"/>
      <c r="D25" s="2972"/>
    </row>
    <row r="26" spans="1:247" ht="15" thickTop="1"/>
    <row r="27" spans="1:247">
      <c r="A27" s="2975" t="s">
        <v>3930</v>
      </c>
      <c r="B27" s="2976"/>
    </row>
    <row r="28" spans="1:247">
      <c r="A28" s="2977" t="s">
        <v>96</v>
      </c>
      <c r="B28">
        <f>IDENTIFICATION!F126</f>
        <v>0</v>
      </c>
    </row>
    <row r="29" spans="1:247">
      <c r="A29" s="2977" t="s">
        <v>97</v>
      </c>
      <c r="B29">
        <f>IDENTIFICATION!I126</f>
        <v>0</v>
      </c>
    </row>
    <row r="30" spans="1:247">
      <c r="A30" s="2977" t="s">
        <v>98</v>
      </c>
      <c r="B30">
        <f>IDENTIFICATION!L126</f>
        <v>0</v>
      </c>
    </row>
    <row r="32" spans="1:247">
      <c r="A32" s="2975" t="s">
        <v>3931</v>
      </c>
      <c r="B32" s="2976"/>
      <c r="C32" s="2976"/>
      <c r="D32" s="2976"/>
      <c r="E32" s="2976"/>
      <c r="F32" s="2976"/>
    </row>
    <row r="33" spans="1:10">
      <c r="B33">
        <f>IDENTIFICATION!G142</f>
        <v>0</v>
      </c>
    </row>
    <row r="35" spans="1:10">
      <c r="A35" s="2975" t="s">
        <v>3932</v>
      </c>
      <c r="B35" s="2976"/>
    </row>
    <row r="36" spans="1:10">
      <c r="A36" s="2978"/>
      <c r="B36" s="2979" t="s">
        <v>500</v>
      </c>
    </row>
    <row r="37" spans="1:10">
      <c r="A37" s="2980" t="s">
        <v>3933</v>
      </c>
      <c r="B37" s="2981"/>
    </row>
    <row r="38" spans="1:10">
      <c r="A38" s="2977" t="str">
        <f>IDENTIFICATION!C8</f>
        <v>Partie A</v>
      </c>
      <c r="B38" s="1453" t="str">
        <f>IDENTIFICATION!I8</f>
        <v>À compléter</v>
      </c>
    </row>
    <row r="39" spans="1:10">
      <c r="A39" s="2977" t="str">
        <f>IDENTIFICATION!C9</f>
        <v>Partie B</v>
      </c>
      <c r="B39" s="1453" t="str">
        <f>IDENTIFICATION!I9</f>
        <v>À compléter</v>
      </c>
    </row>
    <row r="40" spans="1:10">
      <c r="A40" s="2977" t="str">
        <f>IDENTIFICATION!C10</f>
        <v>Partie C</v>
      </c>
      <c r="B40" s="1453" t="str">
        <f>IDENTIFICATION!I10</f>
        <v>À compléter</v>
      </c>
    </row>
    <row r="41" spans="1:10">
      <c r="A41" s="2977" t="str">
        <f>IDENTIFICATION!C11</f>
        <v>Partie D</v>
      </c>
      <c r="B41" s="1453" t="str">
        <f>IDENTIFICATION!I11</f>
        <v>À compléter</v>
      </c>
    </row>
    <row r="42" spans="1:10">
      <c r="A42" s="2977" t="str">
        <f>IDENTIFICATION!C12</f>
        <v>Partie E</v>
      </c>
      <c r="B42" s="1453" t="str">
        <f>IDENTIFICATION!I12</f>
        <v>À compléter</v>
      </c>
    </row>
    <row r="43" spans="1:10">
      <c r="A43" s="2977" t="str">
        <f>IDENTIFICATION!C13</f>
        <v>Partie F</v>
      </c>
      <c r="B43" s="1453" t="str">
        <f>IDENTIFICATION!I13</f>
        <v>À compléter</v>
      </c>
    </row>
    <row r="44" spans="1:10">
      <c r="A44" s="2977"/>
    </row>
    <row r="45" spans="1:10">
      <c r="A45" s="2978"/>
      <c r="B45" s="2982" t="s">
        <v>336</v>
      </c>
      <c r="C45" s="2982"/>
      <c r="D45" s="2982"/>
      <c r="E45" s="2982" t="s">
        <v>337</v>
      </c>
      <c r="F45" s="2982"/>
      <c r="G45" s="2982"/>
      <c r="H45" s="2982" t="s">
        <v>3934</v>
      </c>
      <c r="I45" s="2982"/>
      <c r="J45" s="2982"/>
    </row>
    <row r="46" spans="1:10" ht="28.8">
      <c r="A46" s="2980" t="s">
        <v>3933</v>
      </c>
      <c r="B46" s="2983" t="s">
        <v>496</v>
      </c>
      <c r="C46" s="2983" t="s">
        <v>497</v>
      </c>
      <c r="D46" s="2983" t="s">
        <v>498</v>
      </c>
      <c r="E46" s="2983" t="s">
        <v>496</v>
      </c>
      <c r="F46" s="2983" t="s">
        <v>497</v>
      </c>
      <c r="G46" s="2983" t="s">
        <v>498</v>
      </c>
      <c r="H46" s="2983" t="s">
        <v>496</v>
      </c>
      <c r="I46" s="2983" t="s">
        <v>497</v>
      </c>
      <c r="J46" s="2983" t="s">
        <v>498</v>
      </c>
    </row>
    <row r="47" spans="1:10">
      <c r="A47" s="2977" t="str">
        <f>'FORMULAIRE PGA Eau potable'!C8</f>
        <v>Partie 1</v>
      </c>
      <c r="B47" s="1453" t="str">
        <f>IF($B$28="Oui",'FORMULAIRE PGA Eau potable'!I8,"N\A")</f>
        <v>N\A</v>
      </c>
      <c r="C47" s="1453" t="str">
        <f>IF($B$28="Oui",'FORMULAIRE PGA Eau potable'!K8,"N\A")</f>
        <v>N\A</v>
      </c>
      <c r="D47" s="1453" t="str">
        <f>IF($B$28="Oui",'FORMULAIRE PGA Eau potable'!N8,"N\A")</f>
        <v>N\A</v>
      </c>
      <c r="E47" s="1453" t="str">
        <f>IF($B$29="Oui",'FORMULAIRE PGA Eaux usées'!I8,"N\A")</f>
        <v>N\A</v>
      </c>
      <c r="F47" s="1453" t="str">
        <f>IF($B$29="Oui",'FORMULAIRE PGA Eaux usées'!K8,"N\A")</f>
        <v>N\A</v>
      </c>
      <c r="G47" s="1453" t="str">
        <f>IF($B$29="Oui",'FORMULAIRE PGA Eaux usées'!N8,"N\A")</f>
        <v>N\A</v>
      </c>
      <c r="H47" s="1453" t="str">
        <f>IF(AND($B$30="Oui",LEFT($B$33,7)="CHOIX 1"),'FORMULAIRE PGA Eaux pluviales'!I8,"N\A")</f>
        <v>N\A</v>
      </c>
      <c r="I47" s="1453" t="str">
        <f>IF(AND($B$30="Oui",LEFT($B$33,7)="CHOIX 1"),'FORMULAIRE PGA Eaux pluviales'!K8,"N\A")</f>
        <v>N\A</v>
      </c>
      <c r="J47" s="1453" t="str">
        <f>IF(AND($B$30="Oui",LEFT($B$33,7)="CHOIX 1"),'FORMULAIRE PGA Eaux pluviales'!N8,"N\A")</f>
        <v>N\A</v>
      </c>
    </row>
    <row r="48" spans="1:10">
      <c r="A48" s="2977" t="str">
        <f>'FORMULAIRE PGA Eau potable'!C9</f>
        <v>Partie 2</v>
      </c>
      <c r="B48" s="1453" t="str">
        <f>IF($B$28="Oui",'FORMULAIRE PGA Eau potable'!I9,"N\A")</f>
        <v>N\A</v>
      </c>
      <c r="C48" s="1453" t="str">
        <f>IF($B$28="Oui",'FORMULAIRE PGA Eau potable'!K9,"N\A")</f>
        <v>N\A</v>
      </c>
      <c r="D48" s="1453" t="str">
        <f>IF($B$28="Oui",'FORMULAIRE PGA Eau potable'!N9,"N\A")</f>
        <v>N\A</v>
      </c>
      <c r="E48" s="1453" t="str">
        <f>IF($B$29="Oui",'FORMULAIRE PGA Eaux usées'!I9,"N\A")</f>
        <v>N\A</v>
      </c>
      <c r="F48" s="1453" t="str">
        <f>IF($B$29="Oui",'FORMULAIRE PGA Eaux usées'!K9,"N\A")</f>
        <v>N\A</v>
      </c>
      <c r="G48" s="1453" t="str">
        <f>IF($B$29="Oui",'FORMULAIRE PGA Eaux usées'!N9,"N\A")</f>
        <v>N\A</v>
      </c>
      <c r="H48" s="1453" t="str">
        <f>IF(AND($B$30="Oui",LEFT($B$33,7)="CHOIX 1"),'FORMULAIRE PGA Eaux pluviales'!I9,"N\A")</f>
        <v>N\A</v>
      </c>
      <c r="I48" s="1453" t="str">
        <f>IF(AND($B$30="Oui",LEFT($B$33,7)="CHOIX 1"),'FORMULAIRE PGA Eaux pluviales'!K9,"N\A")</f>
        <v>N\A</v>
      </c>
      <c r="J48" s="1453" t="str">
        <f>IF(AND($B$30="Oui",LEFT($B$33,7)="CHOIX 1"),'FORMULAIRE PGA Eaux pluviales'!N9,"N\A")</f>
        <v>N\A</v>
      </c>
    </row>
    <row r="49" spans="1:10">
      <c r="A49" s="2977" t="str">
        <f>'FORMULAIRE PGA Eau potable'!C10</f>
        <v>Partie 3</v>
      </c>
      <c r="B49" s="1453" t="str">
        <f>IF($B$28="Oui",'FORMULAIRE PGA Eau potable'!I10,"N\A")</f>
        <v>N\A</v>
      </c>
      <c r="C49" s="1453" t="str">
        <f>IF($B$28="Oui",'FORMULAIRE PGA Eau potable'!K10,"N\A")</f>
        <v>N\A</v>
      </c>
      <c r="D49" s="1453" t="str">
        <f>IF($B$28="Oui",'FORMULAIRE PGA Eau potable'!N10,"N\A")</f>
        <v>N\A</v>
      </c>
      <c r="E49" s="1453" t="str">
        <f>IF($B$29="Oui",'FORMULAIRE PGA Eaux usées'!I10,"N\A")</f>
        <v>N\A</v>
      </c>
      <c r="F49" s="1453" t="str">
        <f>IF($B$29="Oui",'FORMULAIRE PGA Eaux usées'!K10,"N\A")</f>
        <v>N\A</v>
      </c>
      <c r="G49" s="1453" t="str">
        <f>IF($B$29="Oui",'FORMULAIRE PGA Eaux usées'!N10,"N\A")</f>
        <v>N\A</v>
      </c>
      <c r="H49" s="1453" t="str">
        <f>IF(AND($B$30="Oui",LEFT($B$33,7)="CHOIX 1"),'FORMULAIRE PGA Eaux pluviales'!I10,"N\A")</f>
        <v>N\A</v>
      </c>
      <c r="I49" s="1453" t="str">
        <f>IF(AND($B$30="Oui",LEFT($B$33,7)="CHOIX 1"),'FORMULAIRE PGA Eaux pluviales'!K10,"N\A")</f>
        <v>N\A</v>
      </c>
      <c r="J49" s="1453" t="str">
        <f>IF(AND($B$30="Oui",LEFT($B$33,7)="CHOIX 1"),'FORMULAIRE PGA Eaux pluviales'!N10,"N\A")</f>
        <v>N\A</v>
      </c>
    </row>
    <row r="50" spans="1:10">
      <c r="A50" s="2977" t="str">
        <f>'FORMULAIRE PGA Eau potable'!C11</f>
        <v>Partie 4A</v>
      </c>
      <c r="B50" s="1453" t="str">
        <f>IF($B$28="Oui",'FORMULAIRE PGA Eau potable'!I11,"N\A")</f>
        <v>N\A</v>
      </c>
      <c r="C50" s="1453" t="str">
        <f>IF($B$28="Oui",'FORMULAIRE PGA Eau potable'!K11,"N\A")</f>
        <v>N\A</v>
      </c>
      <c r="D50" s="1453" t="str">
        <f>IF($B$28="Oui",'FORMULAIRE PGA Eau potable'!N11,"N\A")</f>
        <v>N\A</v>
      </c>
      <c r="E50" s="1453" t="str">
        <f>IF($B$29="Oui",'FORMULAIRE PGA Eaux usées'!I11,"N\A")</f>
        <v>N\A</v>
      </c>
      <c r="F50" s="1453" t="str">
        <f>IF($B$29="Oui",'FORMULAIRE PGA Eaux usées'!K11,"N\A")</f>
        <v>N\A</v>
      </c>
      <c r="G50" s="1453" t="str">
        <f>IF($B$29="Oui",'FORMULAIRE PGA Eaux usées'!N11,"N\A")</f>
        <v>N\A</v>
      </c>
      <c r="H50" s="1453" t="str">
        <f>IF(AND($B$30="Oui",LEFT($B$33,7)="CHOIX 1"),'FORMULAIRE PGA Eaux pluviales'!I11,"N\A")</f>
        <v>N\A</v>
      </c>
      <c r="I50" s="1453" t="str">
        <f>IF(AND($B$30="Oui",LEFT($B$33,7)="CHOIX 1"),'FORMULAIRE PGA Eaux pluviales'!K11,"N\A")</f>
        <v>N\A</v>
      </c>
      <c r="J50" s="1453" t="str">
        <f>IF(AND($B$30="Oui",LEFT($B$33,7)="CHOIX 1"),'FORMULAIRE PGA Eaux pluviales'!N11,"N\A")</f>
        <v>N\A</v>
      </c>
    </row>
    <row r="51" spans="1:10">
      <c r="A51" s="2977" t="str">
        <f>'FORMULAIRE PGA Eau potable'!C12</f>
        <v>Partie 4B</v>
      </c>
      <c r="B51" s="1453" t="str">
        <f>IF($B$28="Oui",'FORMULAIRE PGA Eau potable'!I12,"N\A")</f>
        <v>N\A</v>
      </c>
      <c r="C51" s="1453" t="str">
        <f>IF($B$28="Oui",'FORMULAIRE PGA Eau potable'!K12,"N\A")</f>
        <v>N\A</v>
      </c>
      <c r="D51" s="1453" t="str">
        <f>IF($B$28="Oui",'FORMULAIRE PGA Eau potable'!N12,"N\A")</f>
        <v>N\A</v>
      </c>
      <c r="E51" s="1453" t="str">
        <f>IF($B$29="Oui",'FORMULAIRE PGA Eaux usées'!I12,"N\A")</f>
        <v>N\A</v>
      </c>
      <c r="F51" s="1453" t="str">
        <f>IF($B$29="Oui",'FORMULAIRE PGA Eaux usées'!K12,"N\A")</f>
        <v>N\A</v>
      </c>
      <c r="G51" s="1453" t="str">
        <f>IF($B$29="Oui",'FORMULAIRE PGA Eaux usées'!N12,"N\A")</f>
        <v>N\A</v>
      </c>
      <c r="H51" s="1453" t="str">
        <f>IF(AND($B$30="Oui",LEFT($B$33,7)="CHOIX 1"),'FORMULAIRE PGA Eaux pluviales'!I12,"N\A")</f>
        <v>N\A</v>
      </c>
      <c r="I51" s="1453" t="str">
        <f>IF(AND($B$30="Oui",LEFT($B$33,7)="CHOIX 1"),'FORMULAIRE PGA Eaux pluviales'!K12,"N\A")</f>
        <v>N\A</v>
      </c>
      <c r="J51" s="1453" t="str">
        <f>IF(AND($B$30="Oui",LEFT($B$33,7)="CHOIX 1"),'FORMULAIRE PGA Eaux pluviales'!N12,"N\A")</f>
        <v>N\A</v>
      </c>
    </row>
    <row r="52" spans="1:10">
      <c r="A52" s="2977" t="str">
        <f>'FORMULAIRE PGA Eau potable'!C13</f>
        <v>Partie 5A</v>
      </c>
      <c r="B52" s="1453" t="str">
        <f>IF($B$28="Oui",'FORMULAIRE PGA Eau potable'!I13,"N\A")</f>
        <v>N\A</v>
      </c>
      <c r="C52" s="1453" t="str">
        <f>IF($B$28="Oui",'FORMULAIRE PGA Eau potable'!K13,"N\A")</f>
        <v>N\A</v>
      </c>
      <c r="D52" s="1453" t="str">
        <f>IF($B$28="Oui",'FORMULAIRE PGA Eau potable'!N13,"N\A")</f>
        <v>N\A</v>
      </c>
      <c r="E52" s="1453" t="str">
        <f>IF($B$29="Oui",'FORMULAIRE PGA Eaux usées'!I13,"N\A")</f>
        <v>N\A</v>
      </c>
      <c r="F52" s="1453" t="str">
        <f>IF($B$29="Oui",'FORMULAIRE PGA Eaux usées'!K13,"N\A")</f>
        <v>N\A</v>
      </c>
      <c r="G52" s="1453" t="str">
        <f>IF($B$29="Oui",'FORMULAIRE PGA Eaux usées'!N13,"N\A")</f>
        <v>N\A</v>
      </c>
      <c r="H52" s="1453" t="str">
        <f>IF(AND($B$30="Oui",LEFT($B$33,7)="CHOIX 1"),'FORMULAIRE PGA Eaux pluviales'!I13,"N\A")</f>
        <v>N\A</v>
      </c>
      <c r="I52" s="1453" t="str">
        <f>IF(AND($B$30="Oui",LEFT($B$33,7)="CHOIX 1"),'FORMULAIRE PGA Eaux pluviales'!K13,"N\A")</f>
        <v>N\A</v>
      </c>
      <c r="J52" s="1453" t="str">
        <f>IF(AND($B$30="Oui",LEFT($B$33,7)="CHOIX 1"),'FORMULAIRE PGA Eaux pluviales'!N13,"N\A")</f>
        <v>N\A</v>
      </c>
    </row>
    <row r="53" spans="1:10">
      <c r="A53" s="2977" t="str">
        <f>'FORMULAIRE PGA Eau potable'!C14</f>
        <v>Partie 5B</v>
      </c>
      <c r="B53" s="1453" t="str">
        <f>IF($B$28="Oui",'FORMULAIRE PGA Eau potable'!I14,"N\A")</f>
        <v>N\A</v>
      </c>
      <c r="C53" s="1453" t="str">
        <f>IF($B$28="Oui",'FORMULAIRE PGA Eau potable'!K14,"N\A")</f>
        <v>N\A</v>
      </c>
      <c r="D53" s="1453" t="str">
        <f>IF($B$28="Oui",'FORMULAIRE PGA Eau potable'!N14,"N\A")</f>
        <v>N\A</v>
      </c>
      <c r="E53" s="1453" t="str">
        <f>IF($B$29="Oui",'FORMULAIRE PGA Eaux usées'!I14,"N\A")</f>
        <v>N\A</v>
      </c>
      <c r="F53" s="1453" t="str">
        <f>IF($B$29="Oui",'FORMULAIRE PGA Eaux usées'!K14,"N\A")</f>
        <v>N\A</v>
      </c>
      <c r="G53" s="1453" t="str">
        <f>IF($B$29="Oui",'FORMULAIRE PGA Eaux usées'!N14,"N\A")</f>
        <v>N\A</v>
      </c>
      <c r="H53" s="1453" t="str">
        <f>IF(AND($B$30="Oui",LEFT($B$33,7)="CHOIX 1"),'FORMULAIRE PGA Eaux pluviales'!I14,"N\A")</f>
        <v>N\A</v>
      </c>
      <c r="I53" s="1453" t="str">
        <f>IF(AND($B$30="Oui",LEFT($B$33,7)="CHOIX 1"),'FORMULAIRE PGA Eaux pluviales'!K14,"N\A")</f>
        <v>N\A</v>
      </c>
      <c r="J53" s="1453" t="str">
        <f>IF(AND($B$30="Oui",LEFT($B$33,7)="CHOIX 1"),'FORMULAIRE PGA Eaux pluviales'!N14,"N\A")</f>
        <v>N\A</v>
      </c>
    </row>
    <row r="54" spans="1:10">
      <c r="A54" s="2977" t="str">
        <f>'FORMULAIRE PGA Eau potable'!C15</f>
        <v>Partie 6</v>
      </c>
      <c r="B54" s="1453" t="str">
        <f>IF($B$28="Oui",'FORMULAIRE PGA Eau potable'!I15,"N\A")</f>
        <v>N\A</v>
      </c>
      <c r="C54" s="1453" t="str">
        <f>IF($B$28="Oui",'FORMULAIRE PGA Eau potable'!K15,"N\A")</f>
        <v>N\A</v>
      </c>
      <c r="D54" s="1453" t="str">
        <f>IF($B$28="Oui",'FORMULAIRE PGA Eau potable'!N15,"N\A")</f>
        <v>N\A</v>
      </c>
      <c r="E54" s="1453" t="str">
        <f>IF($B$29="Oui",'FORMULAIRE PGA Eaux usées'!I15,"N\A")</f>
        <v>N\A</v>
      </c>
      <c r="F54" s="1453" t="str">
        <f>IF($B$29="Oui",'FORMULAIRE PGA Eaux usées'!K15,"N\A")</f>
        <v>N\A</v>
      </c>
      <c r="G54" s="1453" t="str">
        <f>IF($B$29="Oui",'FORMULAIRE PGA Eaux usées'!N15,"N\A")</f>
        <v>N\A</v>
      </c>
      <c r="H54" s="1453" t="str">
        <f>IF(AND($B$30="Oui",LEFT($B$33,7)="CHOIX 1"),'FORMULAIRE PGA Eaux pluviales'!I15,"N\A")</f>
        <v>N\A</v>
      </c>
      <c r="I54" s="1453" t="str">
        <f>IF(AND($B$30="Oui",LEFT($B$33,7)="CHOIX 1"),'FORMULAIRE PGA Eaux pluviales'!K15,"N\A")</f>
        <v>N\A</v>
      </c>
      <c r="J54" s="1453" t="str">
        <f>IF(AND($B$30="Oui",LEFT($B$33,7)="CHOIX 1"),'FORMULAIRE PGA Eaux pluviales'!N15,"N\A")</f>
        <v>N\A</v>
      </c>
    </row>
    <row r="55" spans="1:10">
      <c r="A55" s="2977" t="str">
        <f>'FORMULAIRE PGA Eau potable'!C16</f>
        <v>Partie 7A</v>
      </c>
      <c r="B55" s="1453" t="str">
        <f>IF($B$28="Oui",'FORMULAIRE PGA Eau potable'!I16,"N\A")</f>
        <v>N\A</v>
      </c>
      <c r="C55" s="1453" t="str">
        <f>IF($B$28="Oui",'FORMULAIRE PGA Eau potable'!K16,"N\A")</f>
        <v>N\A</v>
      </c>
      <c r="D55" s="1453" t="str">
        <f>IF($B$28="Oui",'FORMULAIRE PGA Eau potable'!N16,"N\A")</f>
        <v>N\A</v>
      </c>
      <c r="E55" s="1453" t="str">
        <f>IF($B$29="Oui",'FORMULAIRE PGA Eaux usées'!I16,"N\A")</f>
        <v>N\A</v>
      </c>
      <c r="F55" s="1453" t="str">
        <f>IF($B$29="Oui",'FORMULAIRE PGA Eaux usées'!K16,"N\A")</f>
        <v>N\A</v>
      </c>
      <c r="G55" s="1453" t="str">
        <f>IF($B$29="Oui",'FORMULAIRE PGA Eaux usées'!N16,"N\A")</f>
        <v>N\A</v>
      </c>
      <c r="H55" s="1453" t="str">
        <f>IF(AND($B$30="Oui",LEFT($B$33,7)="CHOIX 1"),'FORMULAIRE PGA Eaux pluviales'!I16,"N\A")</f>
        <v>N\A</v>
      </c>
      <c r="I55" s="1453" t="str">
        <f>IF(AND($B$30="Oui",LEFT($B$33,7)="CHOIX 1"),'FORMULAIRE PGA Eaux pluviales'!K16,"N\A")</f>
        <v>N\A</v>
      </c>
      <c r="J55" s="1453" t="str">
        <f>IF(AND($B$30="Oui",LEFT($B$33,7)="CHOIX 1"),'FORMULAIRE PGA Eaux pluviales'!N16,"N\A")</f>
        <v>N\A</v>
      </c>
    </row>
    <row r="56" spans="1:10">
      <c r="A56" s="2977" t="str">
        <f>'FORMULAIRE PGA Eau potable'!C17</f>
        <v>Partie 7B</v>
      </c>
      <c r="B56" s="1453" t="str">
        <f>IF($B$28="Oui",'FORMULAIRE PGA Eau potable'!I17,"N\A")</f>
        <v>N\A</v>
      </c>
      <c r="C56" s="1453" t="str">
        <f>IF($B$28="Oui",'FORMULAIRE PGA Eau potable'!K17,"N\A")</f>
        <v>N\A</v>
      </c>
      <c r="D56" s="1453" t="str">
        <f>IF($B$28="Oui",'FORMULAIRE PGA Eau potable'!N17,"N\A")</f>
        <v>N\A</v>
      </c>
      <c r="E56" s="1453" t="str">
        <f>IF($B$29="Oui",'FORMULAIRE PGA Eaux usées'!I17,"N\A")</f>
        <v>N\A</v>
      </c>
      <c r="F56" s="1453" t="str">
        <f>IF($B$29="Oui",'FORMULAIRE PGA Eaux usées'!K17,"N\A")</f>
        <v>N\A</v>
      </c>
      <c r="G56" s="1453" t="str">
        <f>IF($B$29="Oui",'FORMULAIRE PGA Eaux usées'!N17,"N\A")</f>
        <v>N\A</v>
      </c>
      <c r="H56" s="1453" t="str">
        <f>IF(AND($B$30="Oui",LEFT($B$33,7)="CHOIX 1"),'FORMULAIRE PGA Eaux pluviales'!I17,"N\A")</f>
        <v>N\A</v>
      </c>
      <c r="I56" s="1453" t="str">
        <f>IF(AND($B$30="Oui",LEFT($B$33,7)="CHOIX 1"),'FORMULAIRE PGA Eaux pluviales'!K17,"N\A")</f>
        <v>N\A</v>
      </c>
      <c r="J56" s="1453" t="str">
        <f>IF(AND($B$30="Oui",LEFT($B$33,7)="CHOIX 1"),'FORMULAIRE PGA Eaux pluviales'!N17,"N\A")</f>
        <v>N\A</v>
      </c>
    </row>
    <row r="57" spans="1:10">
      <c r="A57" s="2977" t="str">
        <f>'FORMULAIRE PGA Eau potable'!C18</f>
        <v>Partie 8</v>
      </c>
      <c r="B57" s="1453" t="str">
        <f>IF($B$28="Oui",'FORMULAIRE PGA Eau potable'!I18,"N\A")</f>
        <v>N\A</v>
      </c>
      <c r="C57" s="1453" t="str">
        <f>IF($B$28="Oui",'FORMULAIRE PGA Eau potable'!K18,"N\A")</f>
        <v>N\A</v>
      </c>
      <c r="D57" s="1453" t="str">
        <f>IF($B$28="Oui",'FORMULAIRE PGA Eau potable'!N18,"N\A")</f>
        <v>N\A</v>
      </c>
      <c r="E57" s="1453" t="str">
        <f>IF($B$29="Oui",'FORMULAIRE PGA Eaux usées'!I18,"N\A")</f>
        <v>N\A</v>
      </c>
      <c r="F57" s="1453" t="str">
        <f>IF($B$29="Oui",'FORMULAIRE PGA Eaux usées'!K18,"N\A")</f>
        <v>N\A</v>
      </c>
      <c r="G57" s="1453" t="str">
        <f>IF($B$29="Oui",'FORMULAIRE PGA Eaux usées'!N18,"N\A")</f>
        <v>N\A</v>
      </c>
      <c r="H57" s="1453" t="str">
        <f>IF(AND($B$30="Oui",LEFT($B$33,7)="CHOIX 1"),'FORMULAIRE PGA Eaux pluviales'!I18,"N\A")</f>
        <v>N\A</v>
      </c>
      <c r="I57" s="1453" t="str">
        <f>IF(AND($B$30="Oui",LEFT($B$33,7)="CHOIX 1"),'FORMULAIRE PGA Eaux pluviales'!K18,"N\A")</f>
        <v>N\A</v>
      </c>
      <c r="J57" s="1453" t="str">
        <f>IF(AND($B$30="Oui",LEFT($B$33,7)="CHOIX 1"),'FORMULAIRE PGA Eaux pluviales'!N18,"N\A")</f>
        <v>N\A</v>
      </c>
    </row>
  </sheetData>
  <sheetProtection algorithmName="SHA-512" hashValue="aLaL+SrAbJGFqngfwJzTlBNkPPyUsaT1dWayApz+fu//B9YVXysyRlUUBuya/AdtW3/NfKbRILaygaxS09Wbxg==" saltValue="jr7ttYUAeajUVJMlcE2bZQ==" spinCount="100000" sheet="1" objects="1" scenarios="1"/>
  <conditionalFormatting sqref="A17">
    <cfRule type="cellIs" dxfId="688" priority="8" operator="equal">
      <formula>"ERREUR"</formula>
    </cfRule>
  </conditionalFormatting>
  <conditionalFormatting sqref="A19:A21">
    <cfRule type="cellIs" dxfId="687" priority="10" operator="equal">
      <formula>"ERREUR"</formula>
    </cfRule>
  </conditionalFormatting>
  <conditionalFormatting sqref="A25">
    <cfRule type="cellIs" dxfId="686" priority="1" operator="greaterThan">
      <formula>0</formula>
    </cfRule>
    <cfRule type="cellIs" dxfId="685" priority="2" operator="equal">
      <formula>0</formula>
    </cfRule>
  </conditionalFormatting>
  <conditionalFormatting sqref="B28:B30">
    <cfRule type="cellIs" dxfId="684" priority="4" operator="equal">
      <formula>0</formula>
    </cfRule>
  </conditionalFormatting>
  <conditionalFormatting sqref="B33">
    <cfRule type="cellIs" dxfId="683" priority="3" operator="equal">
      <formula>0</formula>
    </cfRule>
  </conditionalFormatting>
  <conditionalFormatting sqref="B38:B43">
    <cfRule type="cellIs" dxfId="682" priority="6" operator="equal">
      <formula>"À compléter"</formula>
    </cfRule>
  </conditionalFormatting>
  <conditionalFormatting sqref="B47:J57">
    <cfRule type="cellIs" dxfId="681" priority="5" operator="equal">
      <formula>"À compléter"</formula>
    </cfRule>
  </conditionalFormatting>
  <conditionalFormatting sqref="B14:IM14">
    <cfRule type="cellIs" dxfId="680" priority="12" operator="greaterThan">
      <formula>1</formula>
    </cfRule>
  </conditionalFormatting>
  <conditionalFormatting sqref="B15:IM15">
    <cfRule type="cellIs" dxfId="679" priority="11" operator="equal">
      <formula>FALSE</formula>
    </cfRule>
  </conditionalFormatting>
  <conditionalFormatting sqref="C19:C21">
    <cfRule type="cellIs" dxfId="678" priority="9" operator="equal">
      <formula>"ERREUR"</formula>
    </cfRule>
  </conditionalFormatting>
  <conditionalFormatting sqref="D19:D21">
    <cfRule type="cellIs" dxfId="677" priority="7" operator="equal">
      <formula>"ERREUR"</formula>
    </cfRule>
  </conditionalFormatting>
  <pageMargins left="0.7" right="0.7" top="0.75" bottom="0.75" header="0.3" footer="0.3"/>
  <pageSetup orientation="portrait" r:id="rId1"/>
  <legacy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499984740745262"/>
    <pageSetUpPr fitToPage="1"/>
  </sheetPr>
  <dimension ref="A1:AJ729"/>
  <sheetViews>
    <sheetView showGridLines="0" zoomScaleNormal="100" workbookViewId="0">
      <selection activeCell="A604" sqref="A604"/>
    </sheetView>
  </sheetViews>
  <sheetFormatPr baseColWidth="10" defaultColWidth="11.44140625" defaultRowHeight="14.4"/>
  <cols>
    <col min="1" max="1" width="2" style="28" customWidth="1"/>
    <col min="2" max="2" width="3.44140625" style="28" customWidth="1"/>
    <col min="3" max="3" width="23.5546875" style="28" customWidth="1"/>
    <col min="4" max="4" width="15.44140625" style="28" customWidth="1"/>
    <col min="5" max="6" width="15" style="28" customWidth="1"/>
    <col min="7" max="7" width="16" style="28" customWidth="1"/>
    <col min="8" max="11" width="15" style="28" customWidth="1"/>
    <col min="12" max="12" width="16.33203125" style="28" customWidth="1"/>
    <col min="13" max="15" width="15" style="28" customWidth="1"/>
    <col min="16" max="16" width="2.88671875" style="28" customWidth="1"/>
    <col min="17" max="17" width="3" style="28" customWidth="1"/>
    <col min="18" max="18" width="9.109375" style="28" customWidth="1"/>
    <col min="19" max="19" width="45.33203125" style="28" customWidth="1"/>
    <col min="20" max="20" width="26.44140625" style="28" customWidth="1"/>
    <col min="21" max="21" width="17.109375" style="28" customWidth="1"/>
    <col min="22" max="30" width="11.44140625" style="28"/>
    <col min="31" max="31" width="15.44140625" style="28" customWidth="1"/>
    <col min="32" max="33" width="16.88671875" style="28" customWidth="1"/>
    <col min="34" max="34" width="16.44140625" style="28" customWidth="1"/>
    <col min="35" max="16384" width="11.44140625" style="28"/>
  </cols>
  <sheetData>
    <row r="1" spans="2:19" ht="9" customHeight="1" thickBot="1">
      <c r="S1" s="614"/>
    </row>
    <row r="2" spans="2:19" ht="31.5" customHeight="1">
      <c r="B2" s="1720" t="s">
        <v>337</v>
      </c>
      <c r="C2" s="1721"/>
      <c r="D2" s="1721"/>
      <c r="E2" s="1721"/>
      <c r="F2" s="1721"/>
      <c r="G2" s="1721"/>
      <c r="H2" s="2392"/>
      <c r="I2" s="1721"/>
      <c r="J2" s="1721"/>
      <c r="K2" s="1721"/>
      <c r="L2" s="1714"/>
      <c r="M2" s="1714"/>
      <c r="N2" s="1714"/>
      <c r="O2" s="1722"/>
      <c r="P2" s="1722"/>
      <c r="Q2" s="1722"/>
      <c r="S2" s="3484" t="s">
        <v>3481</v>
      </c>
    </row>
    <row r="3" spans="2:19" ht="29.25" customHeight="1" thickBot="1">
      <c r="B3" s="2224" t="str">
        <f>IF((IDENTIFICATION!G142='MENU DÉROULANT'!C10),"Note: L'organisation a fait le choix d'intégrer sa gestion des infrastructures d'eaux pluviales avec celles des eaux usées. Le présent formulaire doit donc inclure aussi les eaux pluviales.","")</f>
        <v/>
      </c>
      <c r="C3" s="587"/>
      <c r="N3" s="3070" t="s">
        <v>4041</v>
      </c>
      <c r="O3" s="3070"/>
      <c r="P3" s="3070"/>
      <c r="Q3" s="3070"/>
      <c r="S3" s="3485"/>
    </row>
    <row r="4" spans="2:19" ht="9.75" customHeight="1" thickBot="1">
      <c r="B4" s="475"/>
      <c r="C4" s="476"/>
      <c r="D4" s="476"/>
      <c r="E4" s="476"/>
      <c r="F4" s="476"/>
      <c r="G4" s="476"/>
      <c r="H4" s="476"/>
      <c r="I4" s="476"/>
      <c r="J4" s="476"/>
      <c r="K4" s="476"/>
      <c r="L4" s="35"/>
      <c r="M4" s="35"/>
      <c r="N4" s="35"/>
      <c r="O4" s="58"/>
      <c r="P4" s="58"/>
      <c r="Q4" s="58"/>
      <c r="S4" s="614"/>
    </row>
    <row r="5" spans="2:19" ht="9" customHeight="1">
      <c r="B5" s="1746"/>
      <c r="C5" s="1747"/>
      <c r="D5" s="1747"/>
      <c r="E5" s="1747"/>
      <c r="F5" s="1747"/>
      <c r="G5" s="1747"/>
      <c r="H5" s="1747"/>
      <c r="I5" s="1747"/>
      <c r="J5" s="1747"/>
      <c r="K5" s="1747"/>
      <c r="L5" s="1747"/>
      <c r="M5" s="1747"/>
      <c r="N5" s="1747"/>
      <c r="O5" s="1747"/>
      <c r="P5" s="1748"/>
      <c r="Q5" s="1749"/>
      <c r="S5" s="3486"/>
    </row>
    <row r="6" spans="2:19" ht="18.75" customHeight="1">
      <c r="B6" s="1750" t="s">
        <v>251</v>
      </c>
      <c r="C6" s="1751"/>
      <c r="D6" s="1752"/>
      <c r="E6" s="1752"/>
      <c r="F6" s="1752"/>
      <c r="G6" s="1751"/>
      <c r="H6" s="3702"/>
      <c r="I6" s="3702"/>
      <c r="J6" s="3702"/>
      <c r="K6" s="3702"/>
      <c r="L6" s="3702"/>
      <c r="M6" s="3702"/>
      <c r="N6" s="3702"/>
      <c r="O6" s="3702"/>
      <c r="P6" s="1753"/>
      <c r="Q6" s="1754"/>
      <c r="S6" s="3487"/>
    </row>
    <row r="7" spans="2:19" ht="18" customHeight="1">
      <c r="B7" s="1755"/>
      <c r="C7" s="1756"/>
      <c r="D7" s="1752"/>
      <c r="E7" s="1752"/>
      <c r="F7" s="1752"/>
      <c r="G7" s="1751"/>
      <c r="H7" s="1757"/>
      <c r="I7" s="1758" t="s">
        <v>496</v>
      </c>
      <c r="J7" s="1751"/>
      <c r="K7" s="1759" t="s">
        <v>497</v>
      </c>
      <c r="L7" s="1751"/>
      <c r="M7" s="1760"/>
      <c r="N7" s="1759" t="s">
        <v>498</v>
      </c>
      <c r="O7" s="1761"/>
      <c r="P7" s="1753"/>
      <c r="Q7" s="1754"/>
      <c r="S7" s="3487"/>
    </row>
    <row r="8" spans="2:19" s="72" customFormat="1" ht="18" customHeight="1">
      <c r="B8" s="1762"/>
      <c r="C8" s="1763" t="s">
        <v>499</v>
      </c>
      <c r="D8" s="1764" t="s">
        <v>500</v>
      </c>
      <c r="E8" s="1765"/>
      <c r="F8" s="1765"/>
      <c r="G8" s="1765"/>
      <c r="H8" s="1766"/>
      <c r="I8" s="1767" t="str">
        <f>IF(OR(O24="À compléter",O45="À compléter"),"À compléter","Complété")</f>
        <v>À compléter</v>
      </c>
      <c r="J8" s="1767"/>
      <c r="K8" s="1767" t="str">
        <f>"----"</f>
        <v>----</v>
      </c>
      <c r="L8" s="1767"/>
      <c r="M8" s="1767"/>
      <c r="N8" s="1767" t="str">
        <f>"----"</f>
        <v>----</v>
      </c>
      <c r="O8" s="1768"/>
      <c r="P8" s="1753"/>
      <c r="Q8" s="1754"/>
      <c r="S8" s="3487"/>
    </row>
    <row r="9" spans="2:19" s="72" customFormat="1" ht="18" customHeight="1">
      <c r="B9" s="1762"/>
      <c r="C9" s="1769" t="s">
        <v>501</v>
      </c>
      <c r="D9" s="1770" t="s">
        <v>502</v>
      </c>
      <c r="E9" s="1771"/>
      <c r="F9" s="1771"/>
      <c r="G9" s="1772"/>
      <c r="H9" s="1773"/>
      <c r="I9" s="1774" t="str">
        <f>O67</f>
        <v>À compléter</v>
      </c>
      <c r="J9" s="1775"/>
      <c r="K9" s="1775" t="str">
        <f>I169</f>
        <v>À compléter</v>
      </c>
      <c r="L9" s="1775"/>
      <c r="M9" s="1775"/>
      <c r="N9" s="1775" t="str">
        <f>I171</f>
        <v>À compléter</v>
      </c>
      <c r="O9" s="1772"/>
      <c r="P9" s="1753"/>
      <c r="Q9" s="1754"/>
      <c r="S9" s="3487"/>
    </row>
    <row r="10" spans="2:19" s="72" customFormat="1" ht="18" customHeight="1">
      <c r="B10" s="1762"/>
      <c r="C10" s="1769" t="s">
        <v>503</v>
      </c>
      <c r="D10" s="1770" t="s">
        <v>504</v>
      </c>
      <c r="E10" s="1771"/>
      <c r="F10" s="1771"/>
      <c r="G10" s="1776"/>
      <c r="H10" s="1773"/>
      <c r="I10" s="1774" t="str">
        <f>O179</f>
        <v>À compléter</v>
      </c>
      <c r="J10" s="1775"/>
      <c r="K10" s="1775" t="str">
        <f>I241</f>
        <v>À compléter</v>
      </c>
      <c r="L10" s="1775"/>
      <c r="M10" s="1775"/>
      <c r="N10" s="1775" t="str">
        <f>I243</f>
        <v>À compléter</v>
      </c>
      <c r="O10" s="1772"/>
      <c r="P10" s="1753"/>
      <c r="Q10" s="1754"/>
      <c r="S10" s="3487"/>
    </row>
    <row r="11" spans="2:19" s="72" customFormat="1" ht="18" customHeight="1">
      <c r="B11" s="1762"/>
      <c r="C11" s="1769" t="s">
        <v>505</v>
      </c>
      <c r="D11" s="1770" t="s">
        <v>89</v>
      </c>
      <c r="E11" s="1771"/>
      <c r="F11" s="1771"/>
      <c r="G11" s="1776"/>
      <c r="H11" s="1773"/>
      <c r="I11" s="1774" t="str">
        <f>O251</f>
        <v>À compléter</v>
      </c>
      <c r="J11" s="1775"/>
      <c r="K11" s="1775" t="str">
        <f>I285</f>
        <v>À compléter</v>
      </c>
      <c r="L11" s="1775"/>
      <c r="M11" s="1775"/>
      <c r="N11" s="1775" t="str">
        <f>I287</f>
        <v>À compléter</v>
      </c>
      <c r="O11" s="1772"/>
      <c r="P11" s="1753"/>
      <c r="Q11" s="1754"/>
      <c r="S11" s="3487"/>
    </row>
    <row r="12" spans="2:19" s="72" customFormat="1" ht="18" customHeight="1">
      <c r="B12" s="1762"/>
      <c r="C12" s="1769" t="s">
        <v>506</v>
      </c>
      <c r="D12" s="1770" t="s">
        <v>507</v>
      </c>
      <c r="E12" s="1771"/>
      <c r="F12" s="1771"/>
      <c r="G12" s="1776"/>
      <c r="H12" s="1777"/>
      <c r="I12" s="1774" t="str">
        <f>O295</f>
        <v>À compléter</v>
      </c>
      <c r="J12" s="1775"/>
      <c r="K12" s="1775" t="str">
        <f>I328</f>
        <v>À compléter</v>
      </c>
      <c r="L12" s="1775"/>
      <c r="M12" s="1775"/>
      <c r="N12" s="1775" t="str">
        <f>I330</f>
        <v>À compléter</v>
      </c>
      <c r="O12" s="1772"/>
      <c r="P12" s="1753"/>
      <c r="Q12" s="1754"/>
      <c r="S12" s="3487"/>
    </row>
    <row r="13" spans="2:19" s="72" customFormat="1" ht="18" customHeight="1">
      <c r="B13" s="1762"/>
      <c r="C13" s="1769" t="s">
        <v>508</v>
      </c>
      <c r="D13" s="1770" t="s">
        <v>509</v>
      </c>
      <c r="E13" s="1771"/>
      <c r="F13" s="1771"/>
      <c r="G13" s="1771"/>
      <c r="H13" s="1772"/>
      <c r="I13" s="1778" t="str">
        <f>O338</f>
        <v>À compléter</v>
      </c>
      <c r="J13" s="1775"/>
      <c r="K13" s="1775" t="str">
        <f>I369</f>
        <v>À compléter</v>
      </c>
      <c r="L13" s="1775"/>
      <c r="M13" s="1775"/>
      <c r="N13" s="1775" t="str">
        <f>I371</f>
        <v>À compléter</v>
      </c>
      <c r="O13" s="1772"/>
      <c r="P13" s="1753"/>
      <c r="Q13" s="1754"/>
      <c r="S13" s="3487"/>
    </row>
    <row r="14" spans="2:19" s="72" customFormat="1" ht="18" customHeight="1">
      <c r="B14" s="1762"/>
      <c r="C14" s="1769" t="s">
        <v>510</v>
      </c>
      <c r="D14" s="1770" t="s">
        <v>511</v>
      </c>
      <c r="E14" s="1771"/>
      <c r="F14" s="1771"/>
      <c r="G14" s="1771"/>
      <c r="H14" s="1772"/>
      <c r="I14" s="1778" t="str">
        <f>O375</f>
        <v>À compléter</v>
      </c>
      <c r="J14" s="1775"/>
      <c r="K14" s="1775" t="str">
        <f>I497</f>
        <v>À compléter</v>
      </c>
      <c r="L14" s="1775"/>
      <c r="M14" s="1775"/>
      <c r="N14" s="1775" t="str">
        <f>I499</f>
        <v>À compléter</v>
      </c>
      <c r="O14" s="1772"/>
      <c r="P14" s="1753"/>
      <c r="Q14" s="1754"/>
      <c r="S14" s="3487"/>
    </row>
    <row r="15" spans="2:19" s="72" customFormat="1" ht="18" customHeight="1">
      <c r="B15" s="1762"/>
      <c r="C15" s="1769" t="s">
        <v>512</v>
      </c>
      <c r="D15" s="1770" t="s">
        <v>513</v>
      </c>
      <c r="E15" s="1771"/>
      <c r="F15" s="1771"/>
      <c r="G15" s="1771"/>
      <c r="H15" s="1772"/>
      <c r="I15" s="1778" t="str">
        <f>O507</f>
        <v>À compléter</v>
      </c>
      <c r="J15" s="1775"/>
      <c r="K15" s="1775" t="str">
        <f>I570</f>
        <v>À compléter</v>
      </c>
      <c r="L15" s="1775"/>
      <c r="M15" s="1775"/>
      <c r="N15" s="1775" t="str">
        <f>I572</f>
        <v>À compléter</v>
      </c>
      <c r="O15" s="1772"/>
      <c r="P15" s="1753"/>
      <c r="Q15" s="1754"/>
      <c r="S15" s="3487"/>
    </row>
    <row r="16" spans="2:19" s="72" customFormat="1" ht="18" customHeight="1">
      <c r="B16" s="1762"/>
      <c r="C16" s="1769" t="s">
        <v>514</v>
      </c>
      <c r="D16" s="1770" t="s">
        <v>515</v>
      </c>
      <c r="E16" s="1771"/>
      <c r="F16" s="1771"/>
      <c r="G16" s="1771"/>
      <c r="H16" s="1772"/>
      <c r="I16" s="1778" t="str">
        <f>O580</f>
        <v>À compléter</v>
      </c>
      <c r="J16" s="1775"/>
      <c r="K16" s="1775" t="str">
        <f>"----"</f>
        <v>----</v>
      </c>
      <c r="L16" s="1775"/>
      <c r="M16" s="1775"/>
      <c r="N16" s="1775" t="str">
        <f>"----"</f>
        <v>----</v>
      </c>
      <c r="O16" s="1772"/>
      <c r="P16" s="1753"/>
      <c r="Q16" s="1754"/>
      <c r="S16" s="3487"/>
    </row>
    <row r="17" spans="1:36" s="72" customFormat="1" ht="18" customHeight="1">
      <c r="B17" s="1762"/>
      <c r="C17" s="1769" t="s">
        <v>516</v>
      </c>
      <c r="D17" s="1770" t="s">
        <v>517</v>
      </c>
      <c r="E17" s="1771"/>
      <c r="F17" s="1771"/>
      <c r="G17" s="1771"/>
      <c r="H17" s="1772"/>
      <c r="I17" s="1778" t="str">
        <f>O646</f>
        <v>À compléter</v>
      </c>
      <c r="J17" s="1775"/>
      <c r="K17" s="1775" t="str">
        <f>"----"</f>
        <v>----</v>
      </c>
      <c r="L17" s="1775"/>
      <c r="M17" s="1775"/>
      <c r="N17" s="1775" t="str">
        <f>"----"</f>
        <v>----</v>
      </c>
      <c r="O17" s="1772"/>
      <c r="P17" s="1753"/>
      <c r="Q17" s="1754"/>
      <c r="S17" s="3487"/>
    </row>
    <row r="18" spans="1:36" s="72" customFormat="1" ht="18" customHeight="1">
      <c r="B18" s="1762"/>
      <c r="C18" s="1779" t="s">
        <v>518</v>
      </c>
      <c r="D18" s="1780" t="s">
        <v>519</v>
      </c>
      <c r="E18" s="1781"/>
      <c r="F18" s="1781"/>
      <c r="G18" s="1781"/>
      <c r="H18" s="1782"/>
      <c r="I18" s="1783" t="str">
        <f>"----"</f>
        <v>----</v>
      </c>
      <c r="J18" s="1783"/>
      <c r="K18" s="1783" t="str">
        <f>"----"</f>
        <v>----</v>
      </c>
      <c r="L18" s="1783"/>
      <c r="M18" s="1783"/>
      <c r="N18" s="1783" t="str">
        <f>"----"</f>
        <v>----</v>
      </c>
      <c r="O18" s="1783"/>
      <c r="P18" s="1753"/>
      <c r="Q18" s="1754"/>
      <c r="S18" s="3487"/>
    </row>
    <row r="19" spans="1:36" ht="14.25" customHeight="1" thickBot="1">
      <c r="B19" s="1784"/>
      <c r="C19" s="1785"/>
      <c r="D19" s="1785"/>
      <c r="E19" s="1785"/>
      <c r="F19" s="1786"/>
      <c r="G19" s="1786"/>
      <c r="H19" s="1786"/>
      <c r="I19" s="1786"/>
      <c r="J19" s="1787"/>
      <c r="K19" s="1787"/>
      <c r="L19" s="1787"/>
      <c r="M19" s="1788"/>
      <c r="N19" s="1788"/>
      <c r="O19" s="1788"/>
      <c r="P19" s="1789"/>
      <c r="Q19" s="1790"/>
      <c r="S19" s="3488"/>
    </row>
    <row r="20" spans="1:36" ht="14.25" customHeight="1" thickBot="1">
      <c r="B20" s="475"/>
      <c r="C20" s="476"/>
      <c r="D20" s="476"/>
      <c r="E20" s="476"/>
      <c r="F20" s="476"/>
      <c r="G20" s="476"/>
      <c r="H20" s="476"/>
      <c r="I20" s="476"/>
      <c r="J20" s="476"/>
      <c r="K20" s="476"/>
      <c r="L20" s="35"/>
      <c r="M20" s="35"/>
      <c r="N20" s="35"/>
      <c r="O20" s="58"/>
      <c r="P20" s="58"/>
      <c r="Q20" s="58"/>
      <c r="S20" s="614"/>
    </row>
    <row r="21" spans="1:36" ht="22.5" customHeight="1" thickBot="1">
      <c r="A21" s="1187"/>
      <c r="B21" s="1718" t="s">
        <v>520</v>
      </c>
      <c r="C21" s="1718"/>
      <c r="D21" s="1718"/>
      <c r="E21" s="1718"/>
      <c r="F21" s="1718"/>
      <c r="G21" s="1718"/>
      <c r="H21" s="1718"/>
      <c r="I21" s="1718"/>
      <c r="J21" s="1718"/>
      <c r="K21" s="1718"/>
      <c r="L21" s="1723"/>
      <c r="M21" s="1723"/>
      <c r="N21" s="1723"/>
      <c r="O21" s="3700" t="s">
        <v>155</v>
      </c>
      <c r="P21" s="3700"/>
      <c r="Q21" s="3700"/>
      <c r="S21" s="615" t="s">
        <v>521</v>
      </c>
      <c r="AD21" s="239"/>
      <c r="AE21" s="240"/>
      <c r="AF21" s="240"/>
      <c r="AG21" s="240"/>
      <c r="AH21" s="55"/>
      <c r="AI21" s="55"/>
      <c r="AJ21" s="55"/>
    </row>
    <row r="22" spans="1:36" ht="9.75" customHeight="1" thickBot="1">
      <c r="S22" s="616"/>
    </row>
    <row r="23" spans="1:36" ht="12" customHeight="1">
      <c r="B23" s="1791"/>
      <c r="C23" s="1792"/>
      <c r="D23" s="1792"/>
      <c r="E23" s="1793"/>
      <c r="F23" s="1794"/>
      <c r="G23" s="1794"/>
      <c r="H23" s="1794"/>
      <c r="I23" s="1794"/>
      <c r="J23" s="1794"/>
      <c r="K23" s="1794"/>
      <c r="L23" s="1794"/>
      <c r="M23" s="1794"/>
      <c r="N23" s="1794"/>
      <c r="O23" s="1794"/>
      <c r="P23" s="1794"/>
      <c r="Q23" s="1795"/>
      <c r="S23" s="3486"/>
    </row>
    <row r="24" spans="1:36" ht="18" customHeight="1">
      <c r="B24" s="1844"/>
      <c r="C24" s="1797" t="s">
        <v>3449</v>
      </c>
      <c r="D24" s="1797"/>
      <c r="E24" s="1845"/>
      <c r="F24" s="1751"/>
      <c r="G24" s="1751"/>
      <c r="H24" s="1751"/>
      <c r="I24" s="1751"/>
      <c r="J24" s="1751"/>
      <c r="K24" s="1751"/>
      <c r="L24" s="1751"/>
      <c r="M24" s="1751"/>
      <c r="N24" s="1846" t="s">
        <v>219</v>
      </c>
      <c r="O24" s="353" t="str">
        <f>IF(AND(IDENTIFICATION!O56="Complété",IDENTIFICATION!O151="Complété"),"Complété","À compléter")</f>
        <v>À compléter</v>
      </c>
      <c r="P24" s="1751"/>
      <c r="Q24" s="1851"/>
      <c r="S24" s="3487"/>
    </row>
    <row r="25" spans="1:36" ht="6.75" customHeight="1">
      <c r="B25" s="1847"/>
      <c r="C25" s="1848"/>
      <c r="D25" s="1848"/>
      <c r="E25" s="1848"/>
      <c r="F25" s="1751"/>
      <c r="G25" s="1751"/>
      <c r="H25" s="1751"/>
      <c r="I25" s="1751"/>
      <c r="J25" s="1751"/>
      <c r="K25" s="1751"/>
      <c r="L25" s="1751"/>
      <c r="M25" s="1751"/>
      <c r="N25" s="1751"/>
      <c r="O25" s="1751"/>
      <c r="P25" s="1751"/>
      <c r="Q25" s="1851"/>
      <c r="S25" s="3487"/>
    </row>
    <row r="26" spans="1:36">
      <c r="B26" s="1762"/>
      <c r="C26" s="1849" t="s">
        <v>522</v>
      </c>
      <c r="D26" s="1802"/>
      <c r="E26" s="1753"/>
      <c r="F26" s="1753"/>
      <c r="G26" s="1753"/>
      <c r="H26" s="1753"/>
      <c r="I26" s="1753"/>
      <c r="J26" s="1753"/>
      <c r="K26" s="1753"/>
      <c r="L26" s="1753"/>
      <c r="M26" s="1753"/>
      <c r="N26" s="1753"/>
      <c r="O26" s="1753"/>
      <c r="P26" s="1753"/>
      <c r="Q26" s="1754"/>
      <c r="S26" s="3487"/>
    </row>
    <row r="27" spans="1:36" ht="19.5" customHeight="1">
      <c r="B27" s="1762"/>
      <c r="C27" s="1850" t="s">
        <v>523</v>
      </c>
      <c r="D27" s="1803"/>
      <c r="E27" s="1753"/>
      <c r="F27" s="1753"/>
      <c r="G27" s="1753"/>
      <c r="H27" s="1753"/>
      <c r="I27" s="1753"/>
      <c r="J27" s="1753"/>
      <c r="K27" s="1753"/>
      <c r="L27" s="1753"/>
      <c r="M27" s="1753"/>
      <c r="N27" s="1753"/>
      <c r="O27" s="1753"/>
      <c r="P27" s="1753"/>
      <c r="Q27" s="1754"/>
      <c r="S27" s="3487"/>
    </row>
    <row r="28" spans="1:36" ht="12.75" customHeight="1">
      <c r="B28" s="1762"/>
      <c r="C28" s="1802"/>
      <c r="D28" s="1802"/>
      <c r="E28" s="1753"/>
      <c r="F28" s="1753"/>
      <c r="G28" s="1753"/>
      <c r="H28" s="1753"/>
      <c r="I28" s="1753"/>
      <c r="J28" s="1753"/>
      <c r="K28" s="1753"/>
      <c r="L28" s="1753"/>
      <c r="M28" s="1753"/>
      <c r="N28" s="1753"/>
      <c r="O28" s="1753"/>
      <c r="P28" s="1753"/>
      <c r="Q28" s="1754"/>
      <c r="S28" s="3487"/>
    </row>
    <row r="29" spans="1:36" ht="18" customHeight="1">
      <c r="B29" s="1762"/>
      <c r="C29" s="258"/>
      <c r="D29" s="474" t="str">
        <f>IF(ISNA(#REF!)=TRUE,"Attention vérifier code géographique","")</f>
        <v/>
      </c>
      <c r="E29" s="260"/>
      <c r="F29" s="260"/>
      <c r="G29" s="260"/>
      <c r="H29" s="260"/>
      <c r="I29" s="260"/>
      <c r="J29" s="260"/>
      <c r="K29" s="260"/>
      <c r="L29" s="260"/>
      <c r="M29" s="260"/>
      <c r="N29" s="260"/>
      <c r="O29" s="260"/>
      <c r="P29" s="261"/>
      <c r="Q29" s="1754"/>
      <c r="S29" s="3487"/>
    </row>
    <row r="30" spans="1:36" ht="25.5" customHeight="1">
      <c r="B30" s="1852"/>
      <c r="C30" s="957" t="str">
        <f>'CALCULS Eaux usées'!D8</f>
        <v xml:space="preserve">ORGANISATION :  </v>
      </c>
      <c r="D30" s="3113" t="str">
        <f>'CALCULS Eaux usées'!G8</f>
        <v>##</v>
      </c>
      <c r="E30" s="3114"/>
      <c r="F30" s="3115"/>
      <c r="G30" s="2951" t="str">
        <f>'CALCULS Eaux usées'!D9</f>
        <v xml:space="preserve">CODE DE L'ORGANISATION :  </v>
      </c>
      <c r="H30" s="3113" t="str">
        <f>'CALCULS Eaux usées'!G9</f>
        <v>##</v>
      </c>
      <c r="I30" s="3114"/>
      <c r="J30" s="3114"/>
      <c r="K30" s="3115"/>
      <c r="L30" s="2883" t="str">
        <f>'CALCULS Eaux usées'!D10</f>
        <v xml:space="preserve">RÉGION ADMINISTRATIVE :  </v>
      </c>
      <c r="M30" s="3113" t="str">
        <f>'CALCULS Eaux usées'!G10</f>
        <v>##</v>
      </c>
      <c r="N30" s="3114"/>
      <c r="O30" s="3115"/>
      <c r="P30" s="604"/>
      <c r="Q30" s="1754"/>
      <c r="S30" s="3487"/>
    </row>
    <row r="31" spans="1:36" ht="8.25" customHeight="1">
      <c r="B31" s="1762"/>
      <c r="C31" s="964"/>
      <c r="D31" s="264"/>
      <c r="F31" s="264"/>
      <c r="H31" s="264"/>
      <c r="I31" s="264"/>
      <c r="J31" s="264"/>
      <c r="K31" s="264"/>
      <c r="L31" s="265"/>
      <c r="P31" s="266"/>
      <c r="Q31" s="1754"/>
      <c r="S31" s="3487"/>
    </row>
    <row r="32" spans="1:36" ht="8.25" customHeight="1">
      <c r="B32" s="1762"/>
      <c r="C32" s="964"/>
      <c r="D32" s="264"/>
      <c r="F32" s="264"/>
      <c r="H32" s="264"/>
      <c r="I32" s="264"/>
      <c r="J32" s="264"/>
      <c r="K32" s="264"/>
      <c r="L32" s="265"/>
      <c r="P32" s="266"/>
      <c r="Q32" s="1754"/>
      <c r="S32" s="3487"/>
    </row>
    <row r="33" spans="2:19" ht="14.25" customHeight="1">
      <c r="B33" s="1852"/>
      <c r="C33" s="104"/>
      <c r="D33" s="906" t="s">
        <v>320</v>
      </c>
      <c r="E33" s="905"/>
      <c r="F33" s="906" t="s">
        <v>321</v>
      </c>
      <c r="G33" s="905"/>
      <c r="H33" s="906" t="s">
        <v>322</v>
      </c>
      <c r="I33" s="906"/>
      <c r="J33" s="906" t="s">
        <v>323</v>
      </c>
      <c r="K33" s="906"/>
      <c r="L33" s="907" t="s">
        <v>324</v>
      </c>
      <c r="M33" s="907" t="s">
        <v>325</v>
      </c>
      <c r="N33" s="903" t="s">
        <v>326</v>
      </c>
      <c r="P33" s="604"/>
      <c r="Q33" s="1754"/>
      <c r="S33" s="3487"/>
    </row>
    <row r="34" spans="2:19" ht="4.5" customHeight="1">
      <c r="B34" s="1762"/>
      <c r="C34" s="3494" t="s">
        <v>327</v>
      </c>
      <c r="D34" s="264"/>
      <c r="F34" s="264"/>
      <c r="H34" s="264"/>
      <c r="I34" s="264"/>
      <c r="J34" s="264"/>
      <c r="K34" s="264"/>
      <c r="L34" s="265"/>
      <c r="P34" s="266"/>
      <c r="Q34" s="1754"/>
      <c r="S34" s="3487"/>
    </row>
    <row r="35" spans="2:19" ht="19.5" customHeight="1">
      <c r="B35" s="1852"/>
      <c r="C35" s="3494"/>
      <c r="D35" s="3187" t="str">
        <f>IF(ISBLANK(IDENTIFICATION!D158),"",IDENTIFICATION!D158)</f>
        <v/>
      </c>
      <c r="E35" s="3188"/>
      <c r="F35" s="3189" t="str">
        <f>IF(ISBLANK(IDENTIFICATION!F158),"",IDENTIFICATION!F158)</f>
        <v/>
      </c>
      <c r="G35" s="3190"/>
      <c r="H35" s="3189" t="str">
        <f>IF(ISBLANK(IDENTIFICATION!H158),"",IDENTIFICATION!H158)</f>
        <v/>
      </c>
      <c r="I35" s="3190"/>
      <c r="J35" s="3189" t="str">
        <f>IF(ISBLANK(IDENTIFICATION!J158),"",IDENTIFICATION!J158)</f>
        <v/>
      </c>
      <c r="K35" s="3190"/>
      <c r="L35" s="966" t="str">
        <f>IF(ISBLANK(IDENTIFICATION!L158),"",IDENTIFICATION!L158)</f>
        <v/>
      </c>
      <c r="M35" s="966" t="str">
        <f>IF(ISBLANK(IDENTIFICATION!M158),"",IDENTIFICATION!M158)</f>
        <v/>
      </c>
      <c r="N35" s="3189" t="str">
        <f>IF(ISBLANK(IDENTIFICATION!N158),"",IDENTIFICATION!N158)</f>
        <v/>
      </c>
      <c r="O35" s="3190"/>
      <c r="P35" s="931">
        <v>6</v>
      </c>
      <c r="Q35" s="1754"/>
      <c r="S35" s="3487"/>
    </row>
    <row r="36" spans="2:19" ht="14.25" customHeight="1">
      <c r="B36" s="1762"/>
      <c r="C36" s="3494"/>
      <c r="D36" s="3544"/>
      <c r="E36" s="3544"/>
      <c r="F36" s="3545"/>
      <c r="G36" s="3545"/>
      <c r="H36" s="3545"/>
      <c r="I36" s="3545"/>
      <c r="J36" s="3545"/>
      <c r="K36" s="3545"/>
      <c r="L36" s="965"/>
      <c r="M36" s="965"/>
      <c r="N36" s="3545"/>
      <c r="O36" s="3545"/>
      <c r="P36" s="930"/>
      <c r="Q36" s="1754"/>
      <c r="S36" s="3487"/>
    </row>
    <row r="37" spans="2:19" ht="19.5" customHeight="1">
      <c r="B37" s="1762"/>
      <c r="C37" s="902" t="s">
        <v>524</v>
      </c>
      <c r="D37" s="3187" t="str">
        <f>IF(OR(IDENTIFICATION!N160='MENU DÉROULANT'!$E$12,IDENTIFICATION!N160='MENU DÉROULANT'!$E$14,IDENTIFICATION!N160='MENU DÉROULANT'!$E$16),IF(ISBLANK(IDENTIFICATION!D160),"",IDENTIFICATION!D160),"")</f>
        <v/>
      </c>
      <c r="E37" s="3188"/>
      <c r="F37" s="3189" t="str">
        <f>IF(($D37=""),"",IDENTIFICATION!F160)</f>
        <v/>
      </c>
      <c r="G37" s="3190"/>
      <c r="H37" s="3189" t="str">
        <f>IF(($D37=""),"",IDENTIFICATION!H160)</f>
        <v/>
      </c>
      <c r="I37" s="3190"/>
      <c r="J37" s="3189" t="str">
        <f>IF(($D37=""),"",IDENTIFICATION!J160)</f>
        <v/>
      </c>
      <c r="K37" s="3190"/>
      <c r="L37" s="966" t="str">
        <f>IF(($D37=""),"",IDENTIFICATION!L160)</f>
        <v/>
      </c>
      <c r="M37" s="966" t="str">
        <f>IF(($D37=""),"",IDENTIFICATION!M160)</f>
        <v/>
      </c>
      <c r="N37" s="3189" t="str">
        <f>IF(($D37=""),"",IDENTIFICATION!N160)</f>
        <v/>
      </c>
      <c r="O37" s="3190"/>
      <c r="P37" s="931">
        <v>6</v>
      </c>
      <c r="Q37" s="1754"/>
      <c r="S37" s="3487"/>
    </row>
    <row r="38" spans="2:19" ht="19.5" customHeight="1">
      <c r="B38" s="1762"/>
      <c r="C38" s="908"/>
      <c r="D38" s="3187" t="str">
        <f>IF(OR(IDENTIFICATION!N162='MENU DÉROULANT'!$E$12,IDENTIFICATION!N162='MENU DÉROULANT'!$E$14,IDENTIFICATION!N162='MENU DÉROULANT'!$E$16),IF(ISBLANK(IDENTIFICATION!D162),"",IDENTIFICATION!D162),"")</f>
        <v/>
      </c>
      <c r="E38" s="3188"/>
      <c r="F38" s="3189" t="str">
        <f>IF(($D38=""),"",IDENTIFICATION!F162)</f>
        <v/>
      </c>
      <c r="G38" s="3190"/>
      <c r="H38" s="3189" t="str">
        <f>IF(($D38=""),"",IDENTIFICATION!H162)</f>
        <v/>
      </c>
      <c r="I38" s="3190"/>
      <c r="J38" s="3189" t="str">
        <f>IF(($D38=""),"",IDENTIFICATION!J162)</f>
        <v/>
      </c>
      <c r="K38" s="3190"/>
      <c r="L38" s="966" t="str">
        <f>IF(($D38=""),"",IDENTIFICATION!L162)</f>
        <v/>
      </c>
      <c r="M38" s="966" t="str">
        <f>IF(($D38=""),"",IDENTIFICATION!M162)</f>
        <v/>
      </c>
      <c r="N38" s="3189" t="str">
        <f>IF(($D38=""),"",IDENTIFICATION!N162)</f>
        <v/>
      </c>
      <c r="O38" s="3190"/>
      <c r="P38" s="930"/>
      <c r="Q38" s="1754"/>
      <c r="S38" s="3487"/>
    </row>
    <row r="39" spans="2:19" ht="19.5" customHeight="1">
      <c r="B39" s="1762"/>
      <c r="C39" s="902"/>
      <c r="D39" s="3187" t="str">
        <f>IF(OR(IDENTIFICATION!N164='MENU DÉROULANT'!$E$12,IDENTIFICATION!N164='MENU DÉROULANT'!$E$14,IDENTIFICATION!N164='MENU DÉROULANT'!$E$16),IF(ISBLANK(IDENTIFICATION!D164),"",IDENTIFICATION!D164),"")</f>
        <v/>
      </c>
      <c r="E39" s="3188"/>
      <c r="F39" s="3189" t="str">
        <f>IF(($D39=""),"",IDENTIFICATION!F164)</f>
        <v/>
      </c>
      <c r="G39" s="3190"/>
      <c r="H39" s="3189" t="str">
        <f>IF(($D39=""),"",IDENTIFICATION!H164)</f>
        <v/>
      </c>
      <c r="I39" s="3190"/>
      <c r="J39" s="3189" t="str">
        <f>IF(($D39=""),"",IDENTIFICATION!J164)</f>
        <v/>
      </c>
      <c r="K39" s="3190"/>
      <c r="L39" s="966" t="str">
        <f>IF(($D39=""),"",IDENTIFICATION!L164)</f>
        <v/>
      </c>
      <c r="M39" s="966" t="str">
        <f>IF(($D39=""),"",IDENTIFICATION!M164)</f>
        <v/>
      </c>
      <c r="N39" s="3189" t="str">
        <f>IF(($D39=""),"",IDENTIFICATION!N164)</f>
        <v/>
      </c>
      <c r="O39" s="3190"/>
      <c r="P39" s="931">
        <v>6</v>
      </c>
      <c r="Q39" s="1754"/>
      <c r="S39" s="3487"/>
    </row>
    <row r="40" spans="2:19" ht="19.5" customHeight="1">
      <c r="B40" s="1762"/>
      <c r="C40" s="908"/>
      <c r="D40" s="3187" t="str">
        <f>IF(OR(IDENTIFICATION!N166='MENU DÉROULANT'!$E$12,IDENTIFICATION!N166='MENU DÉROULANT'!$E$14,IDENTIFICATION!N166='MENU DÉROULANT'!$E$16),IF(ISBLANK(IDENTIFICATION!D166),"",IDENTIFICATION!D166),"")</f>
        <v/>
      </c>
      <c r="E40" s="3188"/>
      <c r="F40" s="3189" t="str">
        <f>IF(($D40=""),"",IDENTIFICATION!F166)</f>
        <v/>
      </c>
      <c r="G40" s="3190"/>
      <c r="H40" s="3189" t="str">
        <f>IF(($D40=""),"",IDENTIFICATION!H166)</f>
        <v/>
      </c>
      <c r="I40" s="3190"/>
      <c r="J40" s="3189" t="str">
        <f>IF(($D40=""),"",IDENTIFICATION!J166)</f>
        <v/>
      </c>
      <c r="K40" s="3190"/>
      <c r="L40" s="966" t="str">
        <f>IF(($D40=""),"",IDENTIFICATION!L166)</f>
        <v/>
      </c>
      <c r="M40" s="966" t="str">
        <f>IF(($D40=""),"",IDENTIFICATION!M166)</f>
        <v/>
      </c>
      <c r="N40" s="3189" t="str">
        <f>IF(($D40=""),"",IDENTIFICATION!N166)</f>
        <v/>
      </c>
      <c r="O40" s="3190"/>
      <c r="P40" s="930"/>
      <c r="Q40" s="1754"/>
      <c r="S40" s="3487"/>
    </row>
    <row r="41" spans="2:19" ht="16.5" customHeight="1">
      <c r="B41" s="1762"/>
      <c r="C41" s="268"/>
      <c r="D41" s="269"/>
      <c r="E41" s="270"/>
      <c r="F41" s="270"/>
      <c r="G41" s="270"/>
      <c r="H41" s="270"/>
      <c r="I41" s="271"/>
      <c r="J41" s="272"/>
      <c r="K41" s="272"/>
      <c r="L41" s="272"/>
      <c r="M41" s="272"/>
      <c r="N41" s="272"/>
      <c r="O41" s="272"/>
      <c r="P41" s="273"/>
      <c r="Q41" s="1754"/>
      <c r="S41" s="3487"/>
    </row>
    <row r="42" spans="2:19" ht="13.5" customHeight="1" thickBot="1">
      <c r="B42" s="1853"/>
      <c r="C42" s="1787"/>
      <c r="D42" s="1787"/>
      <c r="E42" s="1787"/>
      <c r="F42" s="1787"/>
      <c r="G42" s="1787"/>
      <c r="H42" s="1787"/>
      <c r="I42" s="1787"/>
      <c r="J42" s="1787"/>
      <c r="K42" s="1787"/>
      <c r="L42" s="1787"/>
      <c r="M42" s="1787"/>
      <c r="N42" s="1787"/>
      <c r="O42" s="1787"/>
      <c r="P42" s="1787"/>
      <c r="Q42" s="1854"/>
      <c r="S42" s="3487"/>
    </row>
    <row r="43" spans="2:19" ht="10.5" customHeight="1" thickBot="1">
      <c r="S43" s="3487"/>
    </row>
    <row r="44" spans="2:19" ht="12" customHeight="1">
      <c r="B44" s="1791"/>
      <c r="C44" s="1792"/>
      <c r="D44" s="1792"/>
      <c r="E44" s="1793"/>
      <c r="F44" s="1794"/>
      <c r="G44" s="1794"/>
      <c r="H44" s="1794"/>
      <c r="I44" s="1794"/>
      <c r="J44" s="1794"/>
      <c r="K44" s="1794"/>
      <c r="L44" s="1794"/>
      <c r="M44" s="1794"/>
      <c r="N44" s="1794"/>
      <c r="O44" s="1794"/>
      <c r="P44" s="1794"/>
      <c r="Q44" s="1795"/>
      <c r="S44" s="3487"/>
    </row>
    <row r="45" spans="2:19" ht="18" customHeight="1">
      <c r="B45" s="1844"/>
      <c r="C45" s="1797" t="s">
        <v>301</v>
      </c>
      <c r="D45" s="1797"/>
      <c r="E45" s="1845"/>
      <c r="F45" s="1751"/>
      <c r="G45" s="1751"/>
      <c r="H45" s="1751"/>
      <c r="I45" s="1751"/>
      <c r="J45" s="1751"/>
      <c r="K45" s="1751"/>
      <c r="L45" s="1751"/>
      <c r="M45" s="1751"/>
      <c r="N45" s="1846" t="s">
        <v>219</v>
      </c>
      <c r="O45" s="353" t="str">
        <f>IF(AND(IDENTIFICATION!O111="Complété",IDENTIFICATION!O173="Complété"),"Complété","À compléter")</f>
        <v>À compléter</v>
      </c>
      <c r="P45" s="1751"/>
      <c r="Q45" s="1851"/>
      <c r="S45" s="3487"/>
    </row>
    <row r="46" spans="2:19" ht="7.5" customHeight="1">
      <c r="B46" s="1847"/>
      <c r="C46" s="1848"/>
      <c r="D46" s="1848"/>
      <c r="E46" s="1848"/>
      <c r="F46" s="1751"/>
      <c r="G46" s="1751"/>
      <c r="H46" s="1751"/>
      <c r="I46" s="1751"/>
      <c r="J46" s="1751"/>
      <c r="K46" s="1751"/>
      <c r="L46" s="1751"/>
      <c r="M46" s="1751"/>
      <c r="N46" s="1751"/>
      <c r="O46" s="1751"/>
      <c r="P46" s="1751"/>
      <c r="Q46" s="1851"/>
      <c r="S46" s="3487"/>
    </row>
    <row r="47" spans="2:19">
      <c r="B47" s="1762"/>
      <c r="C47" s="1849" t="s">
        <v>522</v>
      </c>
      <c r="D47" s="1802"/>
      <c r="E47" s="1753"/>
      <c r="F47" s="1753"/>
      <c r="G47" s="1753"/>
      <c r="H47" s="1753"/>
      <c r="I47" s="1753"/>
      <c r="J47" s="1753"/>
      <c r="K47" s="1753"/>
      <c r="L47" s="1753"/>
      <c r="M47" s="1753"/>
      <c r="N47" s="1753"/>
      <c r="O47" s="1753"/>
      <c r="P47" s="1753"/>
      <c r="Q47" s="1754"/>
      <c r="S47" s="3487"/>
    </row>
    <row r="48" spans="2:19" ht="19.5" customHeight="1">
      <c r="B48" s="1762"/>
      <c r="C48" s="1850" t="s">
        <v>523</v>
      </c>
      <c r="D48" s="1803"/>
      <c r="E48" s="1753"/>
      <c r="F48" s="1753"/>
      <c r="G48" s="1753"/>
      <c r="H48" s="1753"/>
      <c r="I48" s="1753"/>
      <c r="J48" s="1753"/>
      <c r="K48" s="1753"/>
      <c r="L48" s="1753"/>
      <c r="M48" s="1753"/>
      <c r="N48" s="1753"/>
      <c r="O48" s="1753"/>
      <c r="P48" s="1753"/>
      <c r="Q48" s="1754"/>
      <c r="S48" s="3487"/>
    </row>
    <row r="49" spans="1:19" ht="12" customHeight="1">
      <c r="B49" s="1762"/>
      <c r="C49" s="1802"/>
      <c r="D49" s="1802"/>
      <c r="E49" s="1855"/>
      <c r="F49" s="1855"/>
      <c r="G49" s="1855"/>
      <c r="H49" s="1855"/>
      <c r="I49" s="1855"/>
      <c r="J49" s="1855"/>
      <c r="K49" s="1855"/>
      <c r="L49" s="1855"/>
      <c r="M49" s="1855"/>
      <c r="N49" s="1855"/>
      <c r="O49" s="1855"/>
      <c r="P49" s="1753"/>
      <c r="Q49" s="1754"/>
      <c r="S49" s="3487"/>
    </row>
    <row r="50" spans="1:19" ht="15" customHeight="1">
      <c r="B50" s="1762"/>
      <c r="C50" s="258"/>
      <c r="D50" s="259"/>
      <c r="E50" s="275"/>
      <c r="F50" s="275"/>
      <c r="G50" s="275"/>
      <c r="H50" s="275"/>
      <c r="I50" s="275"/>
      <c r="J50" s="275"/>
      <c r="K50" s="275"/>
      <c r="L50" s="275"/>
      <c r="M50" s="275"/>
      <c r="N50" s="275"/>
      <c r="O50" s="275"/>
      <c r="P50" s="261"/>
      <c r="Q50" s="1754"/>
      <c r="S50" s="3487"/>
    </row>
    <row r="51" spans="1:19" ht="18" customHeight="1">
      <c r="B51" s="1852"/>
      <c r="C51" s="104"/>
      <c r="D51" s="925" t="s">
        <v>303</v>
      </c>
      <c r="E51" s="967" t="str">
        <f>IF(ISBLANK(IDENTIFICATION!E116),"",IDENTIFICATION!E116)</f>
        <v/>
      </c>
      <c r="F51" s="928" t="s">
        <v>525</v>
      </c>
      <c r="G51" s="929"/>
      <c r="H51" s="929"/>
      <c r="I51" s="929"/>
      <c r="J51" s="929"/>
      <c r="K51" s="929"/>
      <c r="L51" s="265"/>
      <c r="M51" s="265"/>
      <c r="N51" s="265"/>
      <c r="O51" s="265"/>
      <c r="P51" s="266"/>
      <c r="Q51" s="1754"/>
      <c r="S51" s="3487"/>
    </row>
    <row r="52" spans="1:19" ht="10.5" customHeight="1">
      <c r="B52" s="1762"/>
      <c r="C52" s="104"/>
      <c r="D52" s="303"/>
      <c r="E52" s="303"/>
      <c r="F52" s="265"/>
      <c r="G52" s="265"/>
      <c r="H52" s="265"/>
      <c r="I52" s="265"/>
      <c r="J52" s="265"/>
      <c r="K52" s="265"/>
      <c r="L52" s="265"/>
      <c r="M52" s="265"/>
      <c r="N52" s="265"/>
      <c r="O52" s="265"/>
      <c r="P52" s="266"/>
      <c r="Q52" s="1754"/>
      <c r="S52" s="3487"/>
    </row>
    <row r="53" spans="1:19" ht="18" customHeight="1">
      <c r="B53" s="1852"/>
      <c r="C53" s="104"/>
      <c r="D53" s="927" t="s">
        <v>305</v>
      </c>
      <c r="E53" s="967" t="str">
        <f>IF(ISBLANK(IDENTIFICATION!E118),"",IDENTIFICATION!E118)</f>
        <v/>
      </c>
      <c r="F53" s="926" t="s">
        <v>3482</v>
      </c>
      <c r="H53" s="265"/>
      <c r="I53" s="265"/>
      <c r="J53" s="265"/>
      <c r="K53" s="265"/>
      <c r="L53" s="265"/>
      <c r="M53" s="265"/>
      <c r="N53" s="265"/>
      <c r="O53" s="265"/>
      <c r="P53" s="266"/>
      <c r="Q53" s="1754"/>
      <c r="S53" s="3487"/>
    </row>
    <row r="54" spans="1:19" ht="15.75" customHeight="1">
      <c r="B54" s="1762"/>
      <c r="C54" s="302"/>
      <c r="D54" s="303"/>
      <c r="E54" s="265"/>
      <c r="F54" s="265"/>
      <c r="G54" s="265"/>
      <c r="H54" s="265"/>
      <c r="I54" s="265"/>
      <c r="J54" s="265"/>
      <c r="K54" s="265"/>
      <c r="L54" s="265"/>
      <c r="M54" s="265"/>
      <c r="N54" s="265"/>
      <c r="O54" s="265"/>
      <c r="P54" s="266"/>
      <c r="Q54" s="1754"/>
      <c r="S54" s="3487"/>
    </row>
    <row r="55" spans="1:19" ht="19.5" customHeight="1">
      <c r="B55" s="1852"/>
      <c r="C55" s="3119" t="s">
        <v>526</v>
      </c>
      <c r="D55" s="3120"/>
      <c r="E55" s="3325" t="str">
        <f>IF(ISBLANK(IDENTIFICATION!H180),"",IDENTIFICATION!H180)</f>
        <v/>
      </c>
      <c r="F55" s="3326"/>
      <c r="G55" s="3318" t="s">
        <v>806</v>
      </c>
      <c r="H55" s="3318"/>
      <c r="I55" s="3319"/>
      <c r="J55" s="3320"/>
      <c r="K55" s="3320"/>
      <c r="L55" s="3320"/>
      <c r="M55" s="3320"/>
      <c r="N55" s="3320"/>
      <c r="O55" s="3321"/>
      <c r="P55" s="604"/>
      <c r="Q55" s="1754"/>
      <c r="S55" s="3487"/>
    </row>
    <row r="56" spans="1:19" ht="14.25" customHeight="1">
      <c r="B56" s="1762"/>
      <c r="C56" s="919"/>
      <c r="D56" s="920"/>
      <c r="E56" s="267"/>
      <c r="F56" s="267"/>
      <c r="G56" s="3318"/>
      <c r="H56" s="3318"/>
      <c r="I56" s="3322"/>
      <c r="J56" s="3323"/>
      <c r="K56" s="3323"/>
      <c r="L56" s="3323"/>
      <c r="M56" s="3323"/>
      <c r="N56" s="3323"/>
      <c r="O56" s="3324"/>
      <c r="P56" s="266"/>
      <c r="Q56" s="1754"/>
      <c r="S56" s="3487"/>
    </row>
    <row r="57" spans="1:19" ht="19.5" customHeight="1">
      <c r="B57" s="1762"/>
      <c r="C57" s="3119" t="s">
        <v>528</v>
      </c>
      <c r="D57" s="3120"/>
      <c r="E57" s="3325" t="str">
        <f>IF(ISBLANK(IDENTIFICATION!H182),"",IDENTIFICATION!H182)</f>
        <v/>
      </c>
      <c r="F57" s="3326"/>
      <c r="G57" s="3318"/>
      <c r="H57" s="3318"/>
      <c r="I57" s="3322"/>
      <c r="J57" s="3323"/>
      <c r="K57" s="3323"/>
      <c r="L57" s="3323"/>
      <c r="M57" s="3323"/>
      <c r="N57" s="3323"/>
      <c r="O57" s="3324"/>
      <c r="P57" s="266"/>
      <c r="Q57" s="1754"/>
      <c r="S57" s="3487"/>
    </row>
    <row r="58" spans="1:19" ht="19.5" customHeight="1">
      <c r="B58" s="1762"/>
      <c r="C58" s="922"/>
      <c r="D58" s="920"/>
      <c r="E58" s="3325" t="str">
        <f>IF(ISBLANK(IDENTIFICATION!H183),"",IDENTIFICATION!H183)</f>
        <v/>
      </c>
      <c r="F58" s="3326"/>
      <c r="G58" s="282"/>
      <c r="H58" s="968"/>
      <c r="I58" s="3322"/>
      <c r="J58" s="3323"/>
      <c r="K58" s="3323"/>
      <c r="L58" s="3323"/>
      <c r="M58" s="3323"/>
      <c r="N58" s="3323"/>
      <c r="O58" s="3324"/>
      <c r="P58" s="266"/>
      <c r="Q58" s="1754"/>
      <c r="S58" s="3487"/>
    </row>
    <row r="59" spans="1:19" ht="19.5" customHeight="1">
      <c r="B59" s="1762"/>
      <c r="C59" s="902"/>
      <c r="D59" s="958"/>
      <c r="E59" s="3325" t="str">
        <f>IF(ISBLANK(IDENTIFICATION!H184),"",IDENTIFICATION!H184)</f>
        <v/>
      </c>
      <c r="F59" s="3326"/>
      <c r="G59" s="282"/>
      <c r="H59" s="968"/>
      <c r="I59" s="3322"/>
      <c r="J59" s="3323"/>
      <c r="K59" s="3323"/>
      <c r="L59" s="3323"/>
      <c r="M59" s="3323"/>
      <c r="N59" s="3323"/>
      <c r="O59" s="3324"/>
      <c r="P59" s="604"/>
      <c r="Q59" s="1754"/>
      <c r="S59" s="3487"/>
    </row>
    <row r="60" spans="1:19" ht="17.25" customHeight="1">
      <c r="B60" s="1762"/>
      <c r="C60" s="902"/>
      <c r="D60" s="923"/>
      <c r="E60" s="3325" t="str">
        <f>IF(ISBLANK(IDENTIFICATION!H185),"",IDENTIFICATION!H185)</f>
        <v/>
      </c>
      <c r="F60" s="3326"/>
      <c r="G60" s="282"/>
      <c r="H60" s="968"/>
      <c r="I60" s="3251"/>
      <c r="J60" s="3252"/>
      <c r="K60" s="3252"/>
      <c r="L60" s="3252"/>
      <c r="M60" s="3252"/>
      <c r="N60" s="3252"/>
      <c r="O60" s="3253"/>
      <c r="P60" s="604"/>
      <c r="Q60" s="1754"/>
      <c r="S60" s="3487"/>
    </row>
    <row r="61" spans="1:19" ht="17.25" customHeight="1">
      <c r="B61" s="1762"/>
      <c r="C61" s="276"/>
      <c r="D61" s="277"/>
      <c r="E61" s="272"/>
      <c r="F61" s="283"/>
      <c r="G61" s="272"/>
      <c r="H61" s="283"/>
      <c r="I61" s="271"/>
      <c r="J61" s="272"/>
      <c r="K61" s="283"/>
      <c r="L61" s="272"/>
      <c r="M61" s="283"/>
      <c r="N61" s="272"/>
      <c r="O61" s="283"/>
      <c r="P61" s="273"/>
      <c r="Q61" s="1754"/>
      <c r="S61" s="3487"/>
    </row>
    <row r="62" spans="1:19" ht="13.5" customHeight="1" thickBot="1">
      <c r="B62" s="1853"/>
      <c r="C62" s="1787"/>
      <c r="D62" s="1787"/>
      <c r="E62" s="1787"/>
      <c r="F62" s="1787"/>
      <c r="G62" s="1787"/>
      <c r="H62" s="1787"/>
      <c r="I62" s="1787"/>
      <c r="J62" s="1787"/>
      <c r="K62" s="1787"/>
      <c r="L62" s="1787"/>
      <c r="M62" s="1787"/>
      <c r="N62" s="1787"/>
      <c r="O62" s="1787"/>
      <c r="P62" s="1787"/>
      <c r="Q62" s="1854"/>
      <c r="S62" s="3488"/>
    </row>
    <row r="63" spans="1:19" ht="10.5" customHeight="1" thickBot="1">
      <c r="B63" s="683"/>
      <c r="S63" s="614"/>
    </row>
    <row r="64" spans="1:19" ht="22.5" customHeight="1" thickBot="1">
      <c r="A64" s="1187"/>
      <c r="B64" s="1718" t="s">
        <v>529</v>
      </c>
      <c r="C64" s="1718"/>
      <c r="D64" s="1718"/>
      <c r="E64" s="1718"/>
      <c r="F64" s="1718"/>
      <c r="G64" s="1718"/>
      <c r="H64" s="1718"/>
      <c r="I64" s="1718"/>
      <c r="J64" s="1718"/>
      <c r="K64" s="1718"/>
      <c r="L64" s="1723"/>
      <c r="M64" s="1723"/>
      <c r="N64" s="1723"/>
      <c r="O64" s="3700" t="s">
        <v>155</v>
      </c>
      <c r="P64" s="3700"/>
      <c r="Q64" s="3700"/>
      <c r="S64" s="615" t="s">
        <v>521</v>
      </c>
    </row>
    <row r="65" spans="2:19" ht="9.75" customHeight="1" thickBot="1">
      <c r="S65" s="616"/>
    </row>
    <row r="66" spans="2:19" ht="8.25" customHeight="1">
      <c r="B66" s="1791"/>
      <c r="C66" s="1792"/>
      <c r="D66" s="1792"/>
      <c r="E66" s="1793"/>
      <c r="F66" s="1794"/>
      <c r="G66" s="1794"/>
      <c r="H66" s="1794"/>
      <c r="I66" s="1794"/>
      <c r="J66" s="1794"/>
      <c r="K66" s="1794"/>
      <c r="L66" s="1794"/>
      <c r="M66" s="1794"/>
      <c r="N66" s="1794"/>
      <c r="O66" s="1794"/>
      <c r="P66" s="1794"/>
      <c r="Q66" s="1795"/>
      <c r="S66" s="3486"/>
    </row>
    <row r="67" spans="2:19" ht="18" customHeight="1">
      <c r="B67" s="1796"/>
      <c r="C67" s="1797" t="s">
        <v>530</v>
      </c>
      <c r="D67" s="1797"/>
      <c r="E67" s="1856"/>
      <c r="F67" s="1798"/>
      <c r="G67" s="1799"/>
      <c r="H67" s="1799"/>
      <c r="I67" s="1799"/>
      <c r="J67" s="1799"/>
      <c r="K67" s="1799"/>
      <c r="L67" s="1799"/>
      <c r="M67" s="1799"/>
      <c r="N67" s="1846" t="s">
        <v>219</v>
      </c>
      <c r="O67" s="353" t="str">
        <f>IF((COUNTBLANK(B78:B166)=ROWS(B78:B166)),"Complété","À compléter")</f>
        <v>À compléter</v>
      </c>
      <c r="P67" s="1799"/>
      <c r="Q67" s="1800"/>
      <c r="S67" s="3487"/>
    </row>
    <row r="68" spans="2:19" ht="6.75" customHeight="1">
      <c r="B68" s="1796"/>
      <c r="C68" s="1798"/>
      <c r="D68" s="1798"/>
      <c r="E68" s="1798"/>
      <c r="F68" s="1799"/>
      <c r="G68" s="1799"/>
      <c r="H68" s="1799"/>
      <c r="I68" s="1799"/>
      <c r="J68" s="1799"/>
      <c r="K68" s="1799"/>
      <c r="L68" s="1799"/>
      <c r="M68" s="1799"/>
      <c r="N68" s="1799"/>
      <c r="O68" s="1799"/>
      <c r="P68" s="1799"/>
      <c r="Q68" s="1800"/>
      <c r="S68" s="3487"/>
    </row>
    <row r="69" spans="2:19" ht="17.25" customHeight="1">
      <c r="B69" s="1847"/>
      <c r="C69" s="3701" t="s">
        <v>531</v>
      </c>
      <c r="D69" s="3701"/>
      <c r="E69" s="3701"/>
      <c r="F69" s="3701"/>
      <c r="G69" s="3701"/>
      <c r="H69" s="3701"/>
      <c r="I69" s="3701"/>
      <c r="J69" s="3701"/>
      <c r="K69" s="3701"/>
      <c r="L69" s="3701"/>
      <c r="M69" s="3701"/>
      <c r="N69" s="1751"/>
      <c r="O69" s="1751"/>
      <c r="P69" s="1751"/>
      <c r="Q69" s="1851"/>
      <c r="S69" s="3487"/>
    </row>
    <row r="70" spans="2:19" ht="9.75" customHeight="1">
      <c r="B70" s="1847"/>
      <c r="C70" s="1848"/>
      <c r="D70" s="1848"/>
      <c r="E70" s="1848"/>
      <c r="F70" s="1751"/>
      <c r="G70" s="1751"/>
      <c r="H70" s="1751"/>
      <c r="I70" s="1751"/>
      <c r="J70" s="1751"/>
      <c r="K70" s="1751"/>
      <c r="L70" s="1751"/>
      <c r="M70" s="1751"/>
      <c r="N70" s="1751"/>
      <c r="O70" s="1751"/>
      <c r="P70" s="1751"/>
      <c r="Q70" s="1851"/>
      <c r="S70" s="3487"/>
    </row>
    <row r="71" spans="2:19" ht="18.75" customHeight="1">
      <c r="B71" s="1762"/>
      <c r="C71" s="1857" t="s">
        <v>3473</v>
      </c>
      <c r="D71" s="1802"/>
      <c r="E71" s="1753"/>
      <c r="F71" s="1753"/>
      <c r="G71" s="1753"/>
      <c r="H71" s="1753"/>
      <c r="I71" s="1753"/>
      <c r="J71" s="1753"/>
      <c r="K71" s="1753"/>
      <c r="L71" s="1753"/>
      <c r="M71" s="1753"/>
      <c r="N71" s="1753"/>
      <c r="O71" s="1753"/>
      <c r="P71" s="1753"/>
      <c r="Q71" s="1754"/>
      <c r="S71" s="3487"/>
    </row>
    <row r="72" spans="2:19" ht="42" customHeight="1">
      <c r="B72" s="1762"/>
      <c r="C72" s="3703" t="s">
        <v>532</v>
      </c>
      <c r="D72" s="3703"/>
      <c r="E72" s="3703"/>
      <c r="F72" s="3703"/>
      <c r="G72" s="3703"/>
      <c r="H72" s="3703"/>
      <c r="I72" s="3703"/>
      <c r="J72" s="3703"/>
      <c r="K72" s="3703"/>
      <c r="L72" s="3703"/>
      <c r="M72" s="3703"/>
      <c r="N72" s="3703"/>
      <c r="O72" s="3703"/>
      <c r="P72" s="3703"/>
      <c r="Q72" s="1754"/>
      <c r="S72" s="3487"/>
    </row>
    <row r="73" spans="2:19" ht="21.75" customHeight="1">
      <c r="B73" s="1762"/>
      <c r="C73" s="3704" t="s">
        <v>533</v>
      </c>
      <c r="D73" s="3704"/>
      <c r="E73" s="3704"/>
      <c r="F73" s="3704"/>
      <c r="G73" s="3704"/>
      <c r="H73" s="3704"/>
      <c r="I73" s="3704"/>
      <c r="J73" s="3704"/>
      <c r="K73" s="3704"/>
      <c r="L73" s="3704"/>
      <c r="M73" s="3704"/>
      <c r="N73" s="3704"/>
      <c r="O73" s="3704"/>
      <c r="P73" s="2236"/>
      <c r="Q73" s="1754"/>
      <c r="S73" s="3487"/>
    </row>
    <row r="74" spans="2:19" ht="12" customHeight="1">
      <c r="B74" s="1762"/>
      <c r="C74" s="3705" t="s">
        <v>534</v>
      </c>
      <c r="D74" s="3705"/>
      <c r="E74" s="2237" t="s">
        <v>535</v>
      </c>
      <c r="F74" s="2238"/>
      <c r="G74" s="2238"/>
      <c r="H74" s="2238"/>
      <c r="I74" s="2238"/>
      <c r="J74" s="2238"/>
      <c r="K74" s="2238"/>
      <c r="L74" s="2238"/>
      <c r="M74" s="2238"/>
      <c r="N74" s="2238"/>
      <c r="O74" s="2238"/>
      <c r="P74" s="2238"/>
      <c r="Q74" s="1754"/>
      <c r="S74" s="3487"/>
    </row>
    <row r="75" spans="2:19" ht="12" customHeight="1">
      <c r="B75" s="1762"/>
      <c r="C75" s="2239"/>
      <c r="D75" s="2240"/>
      <c r="E75" s="2237" t="s">
        <v>536</v>
      </c>
      <c r="F75" s="2238"/>
      <c r="G75" s="2238"/>
      <c r="H75" s="2238"/>
      <c r="I75" s="2238"/>
      <c r="J75" s="2238"/>
      <c r="K75" s="2238"/>
      <c r="L75" s="2238"/>
      <c r="M75" s="2238"/>
      <c r="N75" s="2238"/>
      <c r="O75" s="2238"/>
      <c r="P75" s="2238"/>
      <c r="Q75" s="1754"/>
      <c r="S75" s="3487"/>
    </row>
    <row r="76" spans="2:19" ht="12" customHeight="1">
      <c r="B76" s="1762"/>
      <c r="C76" s="2239"/>
      <c r="D76" s="2240"/>
      <c r="E76" s="2237" t="s">
        <v>537</v>
      </c>
      <c r="F76" s="2238"/>
      <c r="G76" s="2238"/>
      <c r="H76" s="2238"/>
      <c r="I76" s="2238"/>
      <c r="J76" s="2238"/>
      <c r="K76" s="2238"/>
      <c r="L76" s="2238"/>
      <c r="M76" s="2238"/>
      <c r="N76" s="2238"/>
      <c r="O76" s="2238"/>
      <c r="P76" s="2238"/>
      <c r="Q76" s="1754"/>
      <c r="S76" s="3487"/>
    </row>
    <row r="77" spans="2:19" ht="12.75" customHeight="1">
      <c r="B77" s="1762"/>
      <c r="C77" s="1858"/>
      <c r="D77" s="1802"/>
      <c r="E77" s="1753"/>
      <c r="F77" s="1753"/>
      <c r="G77" s="1753"/>
      <c r="H77" s="1753"/>
      <c r="I77" s="1753"/>
      <c r="J77" s="1753"/>
      <c r="K77" s="1753"/>
      <c r="L77" s="1753"/>
      <c r="M77" s="1753"/>
      <c r="N77" s="1753"/>
      <c r="O77" s="1753"/>
      <c r="P77" s="1753"/>
      <c r="Q77" s="1754"/>
      <c r="S77" s="3487"/>
    </row>
    <row r="78" spans="2:19" ht="12.75" customHeight="1">
      <c r="B78" s="1762"/>
      <c r="C78" s="258"/>
      <c r="D78" s="259"/>
      <c r="E78" s="260"/>
      <c r="F78" s="260"/>
      <c r="G78" s="260"/>
      <c r="H78" s="260"/>
      <c r="I78" s="260"/>
      <c r="J78" s="260"/>
      <c r="K78" s="260"/>
      <c r="L78" s="260"/>
      <c r="M78" s="260"/>
      <c r="N78" s="260"/>
      <c r="O78" s="260"/>
      <c r="P78" s="261"/>
      <c r="Q78" s="1754"/>
      <c r="S78" s="3487"/>
    </row>
    <row r="79" spans="2:19" ht="3.75" customHeight="1">
      <c r="B79" s="1762"/>
      <c r="C79" s="3511" t="s">
        <v>807</v>
      </c>
      <c r="P79" s="266"/>
      <c r="Q79" s="1754"/>
      <c r="S79" s="3487"/>
    </row>
    <row r="80" spans="2:19" ht="9" customHeight="1">
      <c r="B80" s="1762"/>
      <c r="C80" s="3511"/>
      <c r="D80" s="3489" t="s">
        <v>3474</v>
      </c>
      <c r="E80" s="3489"/>
      <c r="F80" s="3489"/>
      <c r="G80" s="3489"/>
      <c r="P80" s="266"/>
      <c r="Q80" s="1754"/>
      <c r="S80" s="3487"/>
    </row>
    <row r="81" spans="2:20" ht="18" customHeight="1">
      <c r="B81" s="1852" t="str">
        <f>IF(ISBLANK(H81)=FALSE,"","u")</f>
        <v>u</v>
      </c>
      <c r="C81" s="3511"/>
      <c r="D81" s="3489"/>
      <c r="E81" s="3489"/>
      <c r="F81" s="3489"/>
      <c r="G81" s="3489"/>
      <c r="H81" s="3490"/>
      <c r="I81" s="3491"/>
      <c r="J81" s="3491"/>
      <c r="K81" s="3491"/>
      <c r="L81" s="3491"/>
      <c r="M81" s="3492"/>
      <c r="O81" s="1029" t="str">
        <f>IF(ISNA(VLOOKUP(H81,'MENU DÉROULANT'!C44:H48,6,FALSE)),"",VLOOKUP(H81,'MENU DÉROULANT'!C44:H48,6,FALSE))</f>
        <v/>
      </c>
      <c r="P81" s="266"/>
      <c r="Q81" s="1754"/>
      <c r="S81" s="3487"/>
    </row>
    <row r="82" spans="2:20" ht="30.75" customHeight="1">
      <c r="B82" s="1762"/>
      <c r="C82" s="3511"/>
      <c r="D82" s="646"/>
      <c r="E82" s="646"/>
      <c r="F82" s="646"/>
      <c r="G82" s="646"/>
      <c r="H82" s="3493" t="str">
        <f>IF(H81='MENU DÉROULANT'!C44,"Notez que toutes les sections concernant ce sous-service ne seront donc pas remplies et qu'il n'y aura donc pas de visuel dans le sommaire pour ce sous-service. Une note apparaitra toutefois à ce sujet sur le sommaire.","")</f>
        <v/>
      </c>
      <c r="I82" s="3493"/>
      <c r="J82" s="3493"/>
      <c r="K82" s="3493"/>
      <c r="L82" s="3493"/>
      <c r="M82" s="3493"/>
      <c r="P82" s="266"/>
      <c r="Q82" s="1754"/>
      <c r="S82" s="3487"/>
    </row>
    <row r="83" spans="2:20" ht="9.75" customHeight="1">
      <c r="B83" s="1762"/>
      <c r="C83" s="3511"/>
      <c r="P83" s="266"/>
      <c r="Q83" s="1754"/>
      <c r="S83" s="3487"/>
    </row>
    <row r="84" spans="2:20" ht="27" customHeight="1">
      <c r="B84" s="1762"/>
      <c r="C84" s="3511"/>
      <c r="F84" s="3179" t="s">
        <v>539</v>
      </c>
      <c r="G84" s="3179"/>
      <c r="H84" s="3090"/>
      <c r="I84" s="3091"/>
      <c r="J84" s="3091"/>
      <c r="K84" s="3091"/>
      <c r="L84" s="3091"/>
      <c r="M84" s="3092"/>
      <c r="P84" s="266"/>
      <c r="Q84" s="1754"/>
      <c r="S84" s="3487"/>
    </row>
    <row r="85" spans="2:20" ht="15" customHeight="1">
      <c r="B85" s="1762"/>
      <c r="C85" s="3511"/>
      <c r="D85" s="509"/>
      <c r="E85" s="509"/>
      <c r="F85" s="509"/>
      <c r="G85" s="509"/>
      <c r="H85" s="509"/>
      <c r="I85" s="509"/>
      <c r="J85" s="509"/>
      <c r="K85" s="509"/>
      <c r="L85" s="509"/>
      <c r="M85" s="509"/>
      <c r="N85" s="509"/>
      <c r="O85" s="509"/>
      <c r="P85" s="266"/>
      <c r="Q85" s="1754"/>
      <c r="S85" s="3487"/>
    </row>
    <row r="86" spans="2:20" ht="12.75" customHeight="1">
      <c r="B86" s="1762"/>
      <c r="C86" s="379"/>
      <c r="P86" s="266"/>
      <c r="Q86" s="1754"/>
      <c r="S86" s="3487"/>
    </row>
    <row r="87" spans="2:20" ht="27" customHeight="1">
      <c r="B87" s="1762"/>
      <c r="C87" s="379"/>
      <c r="D87" s="662" t="s">
        <v>34</v>
      </c>
      <c r="E87" s="449" t="s">
        <v>808</v>
      </c>
      <c r="F87" s="85"/>
      <c r="G87" s="85"/>
      <c r="H87" s="85"/>
      <c r="I87" s="85"/>
      <c r="J87" s="3179" t="s">
        <v>541</v>
      </c>
      <c r="K87" s="3179"/>
      <c r="L87" s="3280"/>
      <c r="M87" s="3090"/>
      <c r="N87" s="3091"/>
      <c r="O87" s="3092"/>
      <c r="P87" s="266"/>
      <c r="Q87" s="1754"/>
      <c r="S87" s="3487"/>
    </row>
    <row r="88" spans="2:20" ht="17.25" customHeight="1">
      <c r="B88" s="1762"/>
      <c r="C88" s="379"/>
      <c r="D88" s="376"/>
      <c r="E88" s="448"/>
      <c r="F88" s="85"/>
      <c r="G88" s="85"/>
      <c r="H88" s="85"/>
      <c r="I88" s="85"/>
      <c r="J88" s="85"/>
      <c r="K88" s="85"/>
      <c r="L88" s="85"/>
      <c r="M88" s="85"/>
      <c r="N88" s="85"/>
      <c r="O88" s="443" t="str">
        <f>IF(SUM(J89:N89)&gt;1,"Attention: La somme de ces % d'état est de plus de 100%.","")</f>
        <v/>
      </c>
      <c r="P88" s="266"/>
      <c r="Q88" s="1754"/>
      <c r="S88" s="3487"/>
    </row>
    <row r="89" spans="2:20" ht="18" customHeight="1">
      <c r="B89" s="1852" t="str">
        <f>IF(OR(O81=1,O81=3),"",IF(OR(ISBLANK(G89),ISBLANK(J89),ISBLANK(K89),ISBLANK(L89),ISBLANK(M89),ISBLANK(N89))=FALSE,"","u"))</f>
        <v>u</v>
      </c>
      <c r="C89" s="379"/>
      <c r="D89" s="291"/>
      <c r="F89" s="292" t="s">
        <v>542</v>
      </c>
      <c r="G89" s="565"/>
      <c r="H89" s="3179" t="s">
        <v>543</v>
      </c>
      <c r="I89" s="3179"/>
      <c r="J89" s="569"/>
      <c r="K89" s="569"/>
      <c r="L89" s="569"/>
      <c r="M89" s="569"/>
      <c r="N89" s="569"/>
      <c r="O89" s="714" t="str">
        <f>IF(AND(ISBLANK(J89),ISBLANK(K89),ISBLANK(L89),ISBLANK(M89),ISBLANK(N89)),"",IF((1-J89-K89-L89-M89-N89)&lt;0,0,(1-J89-K89-L89-M89-N89)))</f>
        <v/>
      </c>
      <c r="P89" s="604"/>
      <c r="Q89" s="1754"/>
      <c r="S89" s="3487"/>
    </row>
    <row r="90" spans="2:20" ht="6.75" customHeight="1">
      <c r="B90" s="1762"/>
      <c r="C90" s="379"/>
      <c r="D90" s="291"/>
      <c r="E90" s="85"/>
      <c r="F90" s="85"/>
      <c r="G90" s="85"/>
      <c r="H90" s="3179"/>
      <c r="I90" s="3179"/>
      <c r="J90" s="85"/>
      <c r="K90" s="85"/>
      <c r="L90" s="85"/>
      <c r="M90" s="85"/>
      <c r="N90" s="85"/>
      <c r="O90" s="85"/>
      <c r="P90" s="266"/>
      <c r="Q90" s="1754"/>
      <c r="S90" s="3487"/>
    </row>
    <row r="91" spans="2:20" ht="17.25" customHeight="1">
      <c r="B91" s="1852" t="str">
        <f>IF(OR(O81=1,O81=3),"",IF(ISBLANK(G91)=FALSE,"","u"))</f>
        <v>u</v>
      </c>
      <c r="C91" s="379"/>
      <c r="D91" s="291"/>
      <c r="E91" s="645"/>
      <c r="F91" s="293" t="s">
        <v>22</v>
      </c>
      <c r="G91" s="566"/>
      <c r="H91" s="265"/>
      <c r="I91" s="265"/>
      <c r="J91" s="294" t="s">
        <v>544</v>
      </c>
      <c r="K91" s="294" t="s">
        <v>545</v>
      </c>
      <c r="L91" s="294" t="s">
        <v>3493</v>
      </c>
      <c r="M91" s="294" t="s">
        <v>546</v>
      </c>
      <c r="N91" s="87" t="s">
        <v>547</v>
      </c>
      <c r="O91" s="87" t="s">
        <v>66</v>
      </c>
      <c r="P91" s="604"/>
      <c r="Q91" s="1754"/>
      <c r="S91" s="3487"/>
    </row>
    <row r="92" spans="2:20" ht="9" customHeight="1">
      <c r="B92" s="1852"/>
      <c r="C92" s="379"/>
      <c r="D92" s="291"/>
      <c r="E92" s="645"/>
      <c r="F92" s="293"/>
      <c r="G92" s="672"/>
      <c r="H92" s="265"/>
      <c r="I92" s="265"/>
      <c r="J92" s="294"/>
      <c r="K92" s="294"/>
      <c r="L92" s="294"/>
      <c r="M92" s="294"/>
      <c r="N92" s="87"/>
      <c r="O92" s="87"/>
      <c r="P92" s="604"/>
      <c r="Q92" s="1754"/>
      <c r="S92" s="3487"/>
    </row>
    <row r="93" spans="2:20" ht="27" customHeight="1">
      <c r="B93" s="1852"/>
      <c r="C93" s="379"/>
      <c r="D93" s="291"/>
      <c r="E93" s="645"/>
      <c r="F93" s="293"/>
      <c r="G93" s="493"/>
      <c r="H93" s="3179" t="s">
        <v>539</v>
      </c>
      <c r="I93" s="3179"/>
      <c r="J93" s="3090"/>
      <c r="K93" s="3091"/>
      <c r="L93" s="3091"/>
      <c r="M93" s="3091"/>
      <c r="N93" s="3091"/>
      <c r="O93" s="3092"/>
      <c r="P93" s="604"/>
      <c r="Q93" s="1754"/>
      <c r="S93" s="3487"/>
    </row>
    <row r="94" spans="2:20" ht="15" customHeight="1">
      <c r="B94" s="1762"/>
      <c r="C94" s="379"/>
      <c r="D94" s="295"/>
      <c r="E94" s="272"/>
      <c r="F94" s="283"/>
      <c r="G94" s="272"/>
      <c r="H94" s="283"/>
      <c r="I94" s="271"/>
      <c r="J94" s="272"/>
      <c r="K94" s="283"/>
      <c r="L94" s="272"/>
      <c r="M94" s="283"/>
      <c r="N94" s="272"/>
      <c r="O94" s="283"/>
      <c r="P94" s="604"/>
      <c r="Q94" s="1754"/>
      <c r="S94" s="3487"/>
    </row>
    <row r="95" spans="2:20" ht="12.75" customHeight="1">
      <c r="B95" s="1762"/>
      <c r="C95" s="626"/>
      <c r="D95" s="291"/>
      <c r="E95" s="645"/>
      <c r="F95" s="602"/>
      <c r="G95" s="645"/>
      <c r="H95" s="602"/>
      <c r="I95" s="55"/>
      <c r="J95" s="645"/>
      <c r="K95" s="602"/>
      <c r="L95" s="645"/>
      <c r="M95" s="602"/>
      <c r="N95" s="645"/>
      <c r="O95" s="602"/>
      <c r="P95" s="604"/>
      <c r="Q95" s="1754"/>
      <c r="S95" s="3487"/>
    </row>
    <row r="96" spans="2:20" ht="27" customHeight="1">
      <c r="B96" s="1762"/>
      <c r="C96" s="379"/>
      <c r="D96" s="662" t="s">
        <v>35</v>
      </c>
      <c r="E96" s="449" t="s">
        <v>809</v>
      </c>
      <c r="F96" s="85"/>
      <c r="G96" s="85"/>
      <c r="H96" s="85"/>
      <c r="I96" s="85"/>
      <c r="J96" s="3179" t="s">
        <v>541</v>
      </c>
      <c r="K96" s="3179"/>
      <c r="L96" s="3280"/>
      <c r="M96" s="3090"/>
      <c r="N96" s="3091"/>
      <c r="O96" s="3092"/>
      <c r="P96" s="266"/>
      <c r="Q96" s="1754"/>
      <c r="S96" s="3487"/>
      <c r="T96" s="296"/>
    </row>
    <row r="97" spans="2:21" ht="17.25" customHeight="1">
      <c r="B97" s="1762"/>
      <c r="C97" s="379"/>
      <c r="D97" s="375"/>
      <c r="E97" s="378"/>
      <c r="F97" s="85"/>
      <c r="G97" s="85"/>
      <c r="H97" s="85"/>
      <c r="I97" s="85"/>
      <c r="J97" s="85"/>
      <c r="K97" s="85"/>
      <c r="L97" s="85"/>
      <c r="M97" s="85"/>
      <c r="N97" s="85"/>
      <c r="O97" s="443" t="str">
        <f>IF(SUM(J98:N98)&gt;1,"Attention: La somme de ces % d'état est de plus de 100%.","")</f>
        <v/>
      </c>
      <c r="P97" s="266"/>
      <c r="Q97" s="1754"/>
      <c r="S97" s="3487"/>
      <c r="T97" s="296"/>
    </row>
    <row r="98" spans="2:21" ht="18" customHeight="1">
      <c r="B98" s="1852" t="str">
        <f>IF(OR(O81=1,O81=2),"",IF(OR(ISBLANK(G98),ISBLANK(J98),ISBLANK(K98),ISBLANK(L98),ISBLANK(M98),ISBLANK(N98))=FALSE,"","u"))</f>
        <v>u</v>
      </c>
      <c r="C98" s="379"/>
      <c r="D98" s="291"/>
      <c r="F98" s="292" t="s">
        <v>549</v>
      </c>
      <c r="G98" s="565"/>
      <c r="H98" s="3179" t="s">
        <v>543</v>
      </c>
      <c r="I98" s="3179"/>
      <c r="J98" s="569"/>
      <c r="K98" s="569"/>
      <c r="L98" s="569"/>
      <c r="M98" s="569"/>
      <c r="N98" s="569"/>
      <c r="O98" s="714" t="str">
        <f>IF(AND(ISBLANK(J98),ISBLANK(K98),ISBLANK(L98),ISBLANK(M98),ISBLANK(N98)),"",IF((1-J98-K98-L98-M98-N98)&lt;0,0,(1-J98-K98-L98-M98-N98)))</f>
        <v/>
      </c>
      <c r="P98" s="604"/>
      <c r="Q98" s="1754"/>
      <c r="S98" s="3487"/>
    </row>
    <row r="99" spans="2:21" ht="6.75" customHeight="1">
      <c r="B99" s="1762"/>
      <c r="C99" s="379"/>
      <c r="D99" s="291"/>
      <c r="E99" s="85"/>
      <c r="F99" s="85"/>
      <c r="G99" s="85"/>
      <c r="H99" s="3179"/>
      <c r="I99" s="3179"/>
      <c r="J99" s="85"/>
      <c r="K99" s="85"/>
      <c r="L99" s="85"/>
      <c r="M99" s="85"/>
      <c r="N99" s="85"/>
      <c r="O99" s="85"/>
      <c r="P99" s="266"/>
      <c r="Q99" s="1754"/>
      <c r="S99" s="3487"/>
    </row>
    <row r="100" spans="2:21" ht="17.25" customHeight="1">
      <c r="B100" s="1852" t="str">
        <f>IF(OR(O81=1,O81=2),"",IF(ISBLANK(G100)=FALSE,"","u"))</f>
        <v>u</v>
      </c>
      <c r="C100" s="379"/>
      <c r="D100" s="291"/>
      <c r="E100" s="645"/>
      <c r="F100" s="293" t="s">
        <v>22</v>
      </c>
      <c r="G100" s="566"/>
      <c r="H100" s="265"/>
      <c r="I100" s="265"/>
      <c r="J100" s="294" t="s">
        <v>544</v>
      </c>
      <c r="K100" s="294" t="s">
        <v>545</v>
      </c>
      <c r="L100" s="294" t="s">
        <v>3493</v>
      </c>
      <c r="M100" s="294" t="s">
        <v>546</v>
      </c>
      <c r="N100" s="87" t="s">
        <v>547</v>
      </c>
      <c r="O100" s="294" t="s">
        <v>66</v>
      </c>
      <c r="P100" s="604"/>
      <c r="Q100" s="1754"/>
      <c r="S100" s="3487"/>
    </row>
    <row r="101" spans="2:21" ht="9" customHeight="1">
      <c r="B101" s="1852"/>
      <c r="C101" s="379"/>
      <c r="D101" s="291"/>
      <c r="E101" s="645"/>
      <c r="F101" s="293"/>
      <c r="G101" s="672"/>
      <c r="H101" s="265"/>
      <c r="I101" s="265"/>
      <c r="J101" s="294"/>
      <c r="K101" s="294"/>
      <c r="L101" s="294"/>
      <c r="M101" s="294"/>
      <c r="N101" s="87"/>
      <c r="O101" s="87"/>
      <c r="P101" s="604"/>
      <c r="Q101" s="1754"/>
      <c r="S101" s="3487"/>
    </row>
    <row r="102" spans="2:21" ht="27" customHeight="1">
      <c r="B102" s="1852"/>
      <c r="C102" s="379"/>
      <c r="D102" s="291"/>
      <c r="E102" s="645"/>
      <c r="F102" s="293"/>
      <c r="G102" s="493"/>
      <c r="H102" s="3179" t="s">
        <v>539</v>
      </c>
      <c r="I102" s="3179"/>
      <c r="J102" s="3090"/>
      <c r="K102" s="3091"/>
      <c r="L102" s="3091"/>
      <c r="M102" s="3091"/>
      <c r="N102" s="3091"/>
      <c r="O102" s="3092"/>
      <c r="P102" s="604"/>
      <c r="Q102" s="1754"/>
      <c r="S102" s="3487"/>
    </row>
    <row r="103" spans="2:21" ht="15" customHeight="1">
      <c r="B103" s="1762"/>
      <c r="C103" s="664"/>
      <c r="D103" s="291"/>
      <c r="E103" s="645"/>
      <c r="F103" s="602"/>
      <c r="G103" s="645"/>
      <c r="H103" s="602"/>
      <c r="I103" s="55"/>
      <c r="J103" s="645"/>
      <c r="K103" s="602"/>
      <c r="L103" s="645"/>
      <c r="M103" s="602"/>
      <c r="N103" s="645"/>
      <c r="O103" s="602"/>
      <c r="P103" s="604"/>
      <c r="Q103" s="1754"/>
      <c r="S103" s="3487"/>
    </row>
    <row r="104" spans="2:21" ht="12.75" customHeight="1">
      <c r="B104" s="1762"/>
      <c r="C104" s="664"/>
      <c r="D104" s="381"/>
      <c r="E104" s="360"/>
      <c r="F104" s="361"/>
      <c r="G104" s="360"/>
      <c r="H104" s="361"/>
      <c r="I104" s="368"/>
      <c r="J104" s="360"/>
      <c r="K104" s="361"/>
      <c r="L104" s="360"/>
      <c r="M104" s="361"/>
      <c r="N104" s="360"/>
      <c r="O104" s="361"/>
      <c r="P104" s="604"/>
      <c r="Q104" s="1754"/>
      <c r="S104" s="3487"/>
    </row>
    <row r="105" spans="2:21" ht="27" customHeight="1">
      <c r="B105" s="1762"/>
      <c r="C105" s="444"/>
      <c r="D105" s="632" t="s">
        <v>550</v>
      </c>
      <c r="E105" s="633" t="s">
        <v>551</v>
      </c>
      <c r="F105" s="502"/>
      <c r="G105" s="502"/>
      <c r="H105" s="502"/>
      <c r="I105" s="502"/>
      <c r="J105" s="3179" t="s">
        <v>541</v>
      </c>
      <c r="K105" s="3179"/>
      <c r="L105" s="3280"/>
      <c r="M105" s="3090"/>
      <c r="N105" s="3091"/>
      <c r="O105" s="3092"/>
      <c r="P105" s="604"/>
      <c r="Q105" s="1754"/>
      <c r="S105" s="3487"/>
      <c r="U105" s="28" t="s">
        <v>552</v>
      </c>
    </row>
    <row r="106" spans="2:21" ht="27" customHeight="1">
      <c r="B106" s="1762"/>
      <c r="C106" s="444"/>
      <c r="D106" s="455"/>
      <c r="E106" s="3474" t="s">
        <v>553</v>
      </c>
      <c r="F106" s="3474"/>
      <c r="G106" s="3474"/>
      <c r="H106" s="3474"/>
      <c r="I106" s="3474"/>
      <c r="J106" s="3474"/>
      <c r="K106" s="3474"/>
      <c r="L106" s="3474"/>
      <c r="M106" s="3474"/>
      <c r="N106" s="3474"/>
      <c r="O106" s="3474"/>
      <c r="P106" s="604"/>
      <c r="Q106" s="1754"/>
      <c r="S106" s="3487"/>
    </row>
    <row r="107" spans="2:21" ht="13.5" customHeight="1">
      <c r="B107" s="1762"/>
      <c r="C107" s="444"/>
      <c r="D107" s="451"/>
      <c r="E107" s="453"/>
      <c r="F107" s="453"/>
      <c r="G107" s="453"/>
      <c r="H107" s="453"/>
      <c r="I107" s="453"/>
      <c r="J107" s="453"/>
      <c r="K107" s="453"/>
      <c r="L107" s="453"/>
      <c r="M107" s="453"/>
      <c r="N107" s="453"/>
      <c r="O107" s="453"/>
      <c r="P107" s="604"/>
      <c r="Q107" s="1754"/>
      <c r="S107" s="3487"/>
    </row>
    <row r="108" spans="2:21" ht="18" customHeight="1">
      <c r="B108" s="1762"/>
      <c r="C108" s="444"/>
      <c r="D108" s="451"/>
      <c r="E108" s="452"/>
      <c r="F108" s="292" t="s">
        <v>542</v>
      </c>
      <c r="G108" s="567"/>
      <c r="H108" s="3180" t="s">
        <v>554</v>
      </c>
      <c r="I108" s="3181"/>
      <c r="J108" s="3169"/>
      <c r="K108" s="3170"/>
      <c r="L108" s="3170"/>
      <c r="M108" s="3170"/>
      <c r="N108" s="3170"/>
      <c r="O108" s="3171"/>
      <c r="P108" s="604"/>
      <c r="Q108" s="1754"/>
      <c r="S108" s="3487"/>
    </row>
    <row r="109" spans="2:21" ht="9.75" customHeight="1">
      <c r="B109" s="1762"/>
      <c r="C109" s="664"/>
      <c r="D109" s="290"/>
      <c r="E109" s="380"/>
      <c r="F109" s="380"/>
      <c r="G109" s="380"/>
      <c r="H109" s="456"/>
      <c r="I109" s="456"/>
      <c r="J109" s="380"/>
      <c r="K109" s="380"/>
      <c r="L109" s="380"/>
      <c r="M109" s="380"/>
      <c r="N109" s="380"/>
      <c r="O109" s="380"/>
      <c r="P109" s="604"/>
      <c r="Q109" s="1754"/>
      <c r="S109" s="3487"/>
    </row>
    <row r="110" spans="2:21" ht="18" customHeight="1">
      <c r="B110" s="1762"/>
      <c r="C110" s="444"/>
      <c r="D110" s="451"/>
      <c r="E110" s="452"/>
      <c r="F110" s="292" t="s">
        <v>549</v>
      </c>
      <c r="G110" s="567"/>
      <c r="H110" s="3180" t="s">
        <v>554</v>
      </c>
      <c r="I110" s="3181"/>
      <c r="J110" s="3169"/>
      <c r="K110" s="3170"/>
      <c r="L110" s="3170"/>
      <c r="M110" s="3170"/>
      <c r="N110" s="3170"/>
      <c r="O110" s="3171"/>
      <c r="P110" s="604"/>
      <c r="Q110" s="1754"/>
      <c r="S110" s="3487"/>
    </row>
    <row r="111" spans="2:21" ht="9.75" customHeight="1">
      <c r="B111" s="1762"/>
      <c r="C111" s="664"/>
      <c r="D111" s="290"/>
      <c r="E111" s="380"/>
      <c r="F111" s="380"/>
      <c r="G111" s="380"/>
      <c r="H111" s="380"/>
      <c r="I111" s="380"/>
      <c r="J111" s="380"/>
      <c r="K111" s="380"/>
      <c r="L111" s="380"/>
      <c r="M111" s="380"/>
      <c r="N111" s="380"/>
      <c r="O111" s="380"/>
      <c r="P111" s="604"/>
      <c r="Q111" s="1754"/>
      <c r="S111" s="3487"/>
    </row>
    <row r="112" spans="2:21" ht="17.25" customHeight="1">
      <c r="B112" s="1762"/>
      <c r="C112" s="664"/>
      <c r="D112" s="290"/>
      <c r="E112" s="645"/>
      <c r="F112" s="454" t="s">
        <v>22</v>
      </c>
      <c r="G112" s="568"/>
      <c r="H112" s="602"/>
      <c r="I112" s="383"/>
      <c r="P112" s="604"/>
      <c r="Q112" s="1754"/>
      <c r="S112" s="3487"/>
    </row>
    <row r="113" spans="2:19" ht="9" customHeight="1">
      <c r="B113" s="1852"/>
      <c r="C113" s="379"/>
      <c r="D113" s="291"/>
      <c r="E113" s="645"/>
      <c r="F113" s="293"/>
      <c r="G113" s="672"/>
      <c r="H113" s="265"/>
      <c r="I113" s="265"/>
      <c r="J113" s="294"/>
      <c r="K113" s="294"/>
      <c r="L113" s="294"/>
      <c r="M113" s="294"/>
      <c r="N113" s="87"/>
      <c r="O113" s="87"/>
      <c r="P113" s="604"/>
      <c r="Q113" s="1754"/>
      <c r="S113" s="3487"/>
    </row>
    <row r="114" spans="2:19" ht="27" customHeight="1">
      <c r="B114" s="1852"/>
      <c r="C114" s="379"/>
      <c r="D114" s="291"/>
      <c r="E114" s="645"/>
      <c r="F114" s="293"/>
      <c r="G114" s="493"/>
      <c r="H114" s="3179" t="s">
        <v>539</v>
      </c>
      <c r="I114" s="3179"/>
      <c r="J114" s="3090"/>
      <c r="K114" s="3091"/>
      <c r="L114" s="3091"/>
      <c r="M114" s="3091"/>
      <c r="N114" s="3091"/>
      <c r="O114" s="3092"/>
      <c r="P114" s="604"/>
      <c r="Q114" s="1754"/>
      <c r="S114" s="3487"/>
    </row>
    <row r="115" spans="2:19" ht="15" customHeight="1">
      <c r="B115" s="1762"/>
      <c r="C115" s="664"/>
      <c r="D115" s="291"/>
      <c r="E115" s="645"/>
      <c r="F115" s="602"/>
      <c r="G115" s="645"/>
      <c r="H115" s="602"/>
      <c r="I115" s="55"/>
      <c r="J115" s="645"/>
      <c r="K115" s="602"/>
      <c r="L115" s="645"/>
      <c r="M115" s="602"/>
      <c r="N115" s="645"/>
      <c r="O115" s="602"/>
      <c r="P115" s="604"/>
      <c r="Q115" s="1754"/>
      <c r="S115" s="3487"/>
    </row>
    <row r="116" spans="2:19" ht="14.25" customHeight="1">
      <c r="B116" s="1762"/>
      <c r="C116" s="1867"/>
      <c r="D116" s="1868"/>
      <c r="E116" s="1867"/>
      <c r="F116" s="1867"/>
      <c r="G116" s="1867"/>
      <c r="H116" s="1867"/>
      <c r="I116" s="1867"/>
      <c r="J116" s="1867"/>
      <c r="K116" s="1867"/>
      <c r="L116" s="1867"/>
      <c r="M116" s="1867"/>
      <c r="N116" s="1867"/>
      <c r="O116" s="1867"/>
      <c r="P116" s="1867"/>
      <c r="Q116" s="1754"/>
      <c r="S116" s="3487"/>
    </row>
    <row r="117" spans="2:19" ht="13.5" customHeight="1">
      <c r="B117" s="1762"/>
      <c r="C117" s="258"/>
      <c r="D117" s="297"/>
      <c r="E117" s="260"/>
      <c r="F117" s="260"/>
      <c r="G117" s="260"/>
      <c r="H117" s="260"/>
      <c r="I117" s="260"/>
      <c r="J117" s="260"/>
      <c r="K117" s="260"/>
      <c r="L117" s="260"/>
      <c r="M117" s="260"/>
      <c r="N117" s="260"/>
      <c r="O117" s="260"/>
      <c r="P117" s="261"/>
      <c r="Q117" s="1754"/>
      <c r="S117" s="3487"/>
    </row>
    <row r="118" spans="2:19" ht="3.75" customHeight="1">
      <c r="B118" s="1762"/>
      <c r="C118" s="3511" t="s">
        <v>810</v>
      </c>
      <c r="P118" s="266"/>
      <c r="Q118" s="1754"/>
      <c r="S118" s="3487"/>
    </row>
    <row r="119" spans="2:19" ht="9" customHeight="1">
      <c r="B119" s="1762"/>
      <c r="C119" s="3511"/>
      <c r="D119" s="3489" t="s">
        <v>3475</v>
      </c>
      <c r="E119" s="3489"/>
      <c r="F119" s="3489"/>
      <c r="G119" s="3489"/>
      <c r="P119" s="266"/>
      <c r="Q119" s="1754"/>
      <c r="S119" s="3487"/>
    </row>
    <row r="120" spans="2:19" ht="18" customHeight="1">
      <c r="B120" s="1852" t="str">
        <f>IF(ISBLANK(H120)=FALSE,"","u")</f>
        <v>u</v>
      </c>
      <c r="C120" s="3511"/>
      <c r="D120" s="3489"/>
      <c r="E120" s="3489"/>
      <c r="F120" s="3489"/>
      <c r="G120" s="3489"/>
      <c r="H120" s="3490"/>
      <c r="I120" s="3491"/>
      <c r="J120" s="3491"/>
      <c r="K120" s="3491"/>
      <c r="L120" s="3491"/>
      <c r="M120" s="3492"/>
      <c r="O120" s="1029" t="str">
        <f>IF(ISNA(VLOOKUP('FORMULAIRE PGA Eaux usées'!H120,'MENU DÉROULANT'!F44:H48,3,FALSE)),"",VLOOKUP('FORMULAIRE PGA Eaux usées'!H120,'MENU DÉROULANT'!F44:H48,3,FALSE))</f>
        <v/>
      </c>
      <c r="P120" s="266"/>
      <c r="Q120" s="1754"/>
      <c r="S120" s="3487"/>
    </row>
    <row r="121" spans="2:19" ht="30.75" customHeight="1">
      <c r="B121" s="1762"/>
      <c r="C121" s="3511"/>
      <c r="D121" s="646"/>
      <c r="E121" s="646"/>
      <c r="F121" s="646"/>
      <c r="G121" s="646"/>
      <c r="H121" s="3493" t="str">
        <f>IF(H120='MENU DÉROULANT'!F44,"Notez que toutes les sections concernant ce sous-service ne seront donc pas remplies et qu'il n'y aura donc pas de visuel dans le sommaire pour ce sous-service. Une note apparaitra toutefois à ce sujet sur le sommaire.","")</f>
        <v/>
      </c>
      <c r="I121" s="3493"/>
      <c r="J121" s="3493"/>
      <c r="K121" s="3493"/>
      <c r="L121" s="3493"/>
      <c r="M121" s="3493"/>
      <c r="P121" s="266"/>
      <c r="Q121" s="1754"/>
      <c r="S121" s="3487"/>
    </row>
    <row r="122" spans="2:19" ht="9.75" customHeight="1">
      <c r="B122" s="1762"/>
      <c r="C122" s="3511"/>
      <c r="P122" s="266"/>
      <c r="Q122" s="1754"/>
      <c r="S122" s="3487"/>
    </row>
    <row r="123" spans="2:19" ht="27" customHeight="1">
      <c r="B123" s="1762"/>
      <c r="C123" s="3511"/>
      <c r="F123" s="3179" t="s">
        <v>539</v>
      </c>
      <c r="G123" s="3179"/>
      <c r="H123" s="3090"/>
      <c r="I123" s="3091"/>
      <c r="J123" s="3091"/>
      <c r="K123" s="3091"/>
      <c r="L123" s="3091"/>
      <c r="M123" s="3092"/>
      <c r="P123" s="266"/>
      <c r="Q123" s="1754"/>
      <c r="S123" s="3487"/>
    </row>
    <row r="124" spans="2:19" ht="15" customHeight="1">
      <c r="B124" s="1762"/>
      <c r="C124" s="3511"/>
      <c r="D124" s="509"/>
      <c r="E124" s="509"/>
      <c r="F124" s="509"/>
      <c r="G124" s="509"/>
      <c r="H124" s="509"/>
      <c r="I124" s="509"/>
      <c r="J124" s="509"/>
      <c r="K124" s="509"/>
      <c r="L124" s="509"/>
      <c r="M124" s="509"/>
      <c r="N124" s="509"/>
      <c r="O124" s="509"/>
      <c r="P124" s="266"/>
      <c r="Q124" s="1754"/>
      <c r="S124" s="3487"/>
    </row>
    <row r="125" spans="2:19" ht="12.75" customHeight="1">
      <c r="B125" s="1762"/>
      <c r="C125" s="379"/>
      <c r="P125" s="266"/>
      <c r="Q125" s="1754"/>
      <c r="S125" s="3487"/>
    </row>
    <row r="126" spans="2:19" ht="27" customHeight="1">
      <c r="B126" s="1762"/>
      <c r="C126" s="379"/>
      <c r="D126" s="662" t="s">
        <v>34</v>
      </c>
      <c r="E126" s="449" t="s">
        <v>811</v>
      </c>
      <c r="F126" s="85"/>
      <c r="G126" s="85"/>
      <c r="H126" s="85"/>
      <c r="I126" s="85"/>
      <c r="J126" s="3179" t="s">
        <v>541</v>
      </c>
      <c r="K126" s="3179"/>
      <c r="L126" s="3280"/>
      <c r="M126" s="3090"/>
      <c r="N126" s="3091"/>
      <c r="O126" s="3092"/>
      <c r="P126" s="266"/>
      <c r="Q126" s="1754"/>
      <c r="R126" s="415"/>
      <c r="S126" s="3487"/>
    </row>
    <row r="127" spans="2:19" ht="17.25" customHeight="1">
      <c r="B127" s="1762"/>
      <c r="C127" s="379"/>
      <c r="D127" s="376"/>
      <c r="E127" s="377"/>
      <c r="F127" s="85"/>
      <c r="G127" s="85"/>
      <c r="H127" s="85"/>
      <c r="I127" s="85"/>
      <c r="J127" s="85"/>
      <c r="K127" s="85"/>
      <c r="L127" s="85"/>
      <c r="M127" s="85"/>
      <c r="N127" s="85"/>
      <c r="O127" s="443" t="str">
        <f>IF(SUM(J128:N128)&gt;1,"Attention: La somme de ces % d'état est de plus de 100%.","")</f>
        <v/>
      </c>
      <c r="P127" s="266"/>
      <c r="Q127" s="1754"/>
      <c r="S127" s="3487"/>
    </row>
    <row r="128" spans="2:19" ht="18" customHeight="1">
      <c r="B128" s="1852" t="str">
        <f>IF(OR(O120=1,O120=3),"",IF(OR(ISBLANK(G128),ISBLANK(J128),ISBLANK(K128),ISBLANK(L128),ISBLANK(M128),ISBLANK(N128))=FALSE,"","u"))</f>
        <v>u</v>
      </c>
      <c r="C128" s="379"/>
      <c r="D128" s="291"/>
      <c r="F128" s="292" t="s">
        <v>542</v>
      </c>
      <c r="G128" s="565"/>
      <c r="H128" s="3179" t="s">
        <v>543</v>
      </c>
      <c r="I128" s="3179"/>
      <c r="J128" s="569"/>
      <c r="K128" s="569"/>
      <c r="L128" s="569"/>
      <c r="M128" s="569"/>
      <c r="N128" s="569"/>
      <c r="O128" s="714" t="str">
        <f>IF(AND(ISBLANK(J128),ISBLANK(K128),ISBLANK(L128),ISBLANK(M128),ISBLANK(N128)),"",IF((1-J128-K128-L128-M128-N128)&lt;0,0,(1-J128-K128-L128-M128-N128)))</f>
        <v/>
      </c>
      <c r="P128" s="604"/>
      <c r="Q128" s="1754"/>
      <c r="S128" s="3487"/>
    </row>
    <row r="129" spans="2:20" ht="6.75" customHeight="1">
      <c r="B129" s="1762"/>
      <c r="C129" s="379"/>
      <c r="D129" s="291"/>
      <c r="E129" s="85"/>
      <c r="F129" s="85"/>
      <c r="G129" s="85"/>
      <c r="H129" s="3179"/>
      <c r="I129" s="3179"/>
      <c r="J129" s="85"/>
      <c r="K129" s="85"/>
      <c r="L129" s="85"/>
      <c r="M129" s="85"/>
      <c r="N129" s="85"/>
      <c r="O129" s="85"/>
      <c r="P129" s="266"/>
      <c r="Q129" s="1754"/>
      <c r="S129" s="3487"/>
    </row>
    <row r="130" spans="2:20" ht="17.25" customHeight="1">
      <c r="B130" s="1852" t="str">
        <f>IF(OR(O120=1,O120=3),"",IF(ISBLANK(G130)=FALSE,"","u"))</f>
        <v>u</v>
      </c>
      <c r="C130" s="379"/>
      <c r="D130" s="291"/>
      <c r="E130" s="645"/>
      <c r="F130" s="293" t="s">
        <v>22</v>
      </c>
      <c r="G130" s="566"/>
      <c r="H130" s="265"/>
      <c r="I130" s="265"/>
      <c r="J130" s="294" t="s">
        <v>544</v>
      </c>
      <c r="K130" s="294" t="s">
        <v>545</v>
      </c>
      <c r="L130" s="294" t="s">
        <v>3493</v>
      </c>
      <c r="M130" s="294" t="s">
        <v>546</v>
      </c>
      <c r="N130" s="87" t="s">
        <v>547</v>
      </c>
      <c r="O130" s="294" t="s">
        <v>66</v>
      </c>
      <c r="P130" s="604"/>
      <c r="Q130" s="1754"/>
      <c r="S130" s="3487"/>
    </row>
    <row r="131" spans="2:20" ht="9" customHeight="1">
      <c r="B131" s="1852"/>
      <c r="C131" s="379"/>
      <c r="D131" s="291"/>
      <c r="E131" s="645"/>
      <c r="F131" s="293"/>
      <c r="G131" s="672"/>
      <c r="H131" s="265"/>
      <c r="I131" s="265"/>
      <c r="J131" s="294"/>
      <c r="K131" s="294"/>
      <c r="L131" s="294"/>
      <c r="M131" s="294"/>
      <c r="N131" s="87"/>
      <c r="O131" s="87"/>
      <c r="P131" s="604"/>
      <c r="Q131" s="1754"/>
      <c r="S131" s="3487"/>
    </row>
    <row r="132" spans="2:20" ht="27" customHeight="1">
      <c r="B132" s="1852"/>
      <c r="C132" s="379"/>
      <c r="D132" s="291"/>
      <c r="E132" s="645"/>
      <c r="F132" s="293"/>
      <c r="G132" s="493"/>
      <c r="H132" s="3179" t="s">
        <v>539</v>
      </c>
      <c r="I132" s="3179"/>
      <c r="J132" s="3090"/>
      <c r="K132" s="3091"/>
      <c r="L132" s="3091"/>
      <c r="M132" s="3091"/>
      <c r="N132" s="3091"/>
      <c r="O132" s="3092"/>
      <c r="P132" s="604"/>
      <c r="Q132" s="1754"/>
      <c r="S132" s="3487"/>
    </row>
    <row r="133" spans="2:20" ht="15" customHeight="1">
      <c r="B133" s="1762"/>
      <c r="C133" s="379"/>
      <c r="D133" s="295"/>
      <c r="E133" s="272"/>
      <c r="F133" s="283"/>
      <c r="G133" s="272"/>
      <c r="H133" s="283"/>
      <c r="I133" s="271"/>
      <c r="J133" s="272"/>
      <c r="K133" s="283"/>
      <c r="L133" s="272"/>
      <c r="M133" s="283"/>
      <c r="N133" s="272"/>
      <c r="O133" s="283"/>
      <c r="P133" s="604"/>
      <c r="Q133" s="1754"/>
      <c r="S133" s="3487"/>
    </row>
    <row r="134" spans="2:20" ht="12.75" customHeight="1">
      <c r="B134" s="1762"/>
      <c r="C134" s="626"/>
      <c r="D134" s="291"/>
      <c r="E134" s="645"/>
      <c r="F134" s="602"/>
      <c r="G134" s="645"/>
      <c r="H134" s="602"/>
      <c r="I134" s="55"/>
      <c r="J134" s="645"/>
      <c r="K134" s="602"/>
      <c r="L134" s="645"/>
      <c r="M134" s="602"/>
      <c r="N134" s="645"/>
      <c r="O134" s="602"/>
      <c r="P134" s="604"/>
      <c r="Q134" s="1754"/>
      <c r="S134" s="3487"/>
    </row>
    <row r="135" spans="2:20" ht="27" customHeight="1">
      <c r="B135" s="1762"/>
      <c r="C135" s="104"/>
      <c r="D135" s="662" t="s">
        <v>35</v>
      </c>
      <c r="E135" s="449" t="s">
        <v>812</v>
      </c>
      <c r="F135" s="85"/>
      <c r="G135" s="85"/>
      <c r="H135" s="85"/>
      <c r="I135" s="85"/>
      <c r="J135" s="3179" t="s">
        <v>541</v>
      </c>
      <c r="K135" s="3179"/>
      <c r="L135" s="3280"/>
      <c r="M135" s="3090" t="s">
        <v>813</v>
      </c>
      <c r="N135" s="3091"/>
      <c r="O135" s="3092"/>
      <c r="P135" s="266"/>
      <c r="Q135" s="1754"/>
      <c r="S135" s="3487"/>
      <c r="T135" s="296"/>
    </row>
    <row r="136" spans="2:20" ht="17.25" customHeight="1">
      <c r="B136" s="1762"/>
      <c r="C136" s="104"/>
      <c r="D136" s="375"/>
      <c r="E136" s="378"/>
      <c r="F136" s="85"/>
      <c r="G136" s="85"/>
      <c r="H136" s="85"/>
      <c r="I136" s="85"/>
      <c r="J136" s="85"/>
      <c r="K136" s="85"/>
      <c r="L136" s="85"/>
      <c r="M136" s="85"/>
      <c r="N136" s="85"/>
      <c r="O136" s="443" t="str">
        <f>IF(SUM(J137:N137)&gt;1,"Attention: La somme de ces % d'état est de plus de 100%.","")</f>
        <v/>
      </c>
      <c r="P136" s="266"/>
      <c r="Q136" s="1754"/>
      <c r="S136" s="3487"/>
      <c r="T136" s="296"/>
    </row>
    <row r="137" spans="2:20" ht="18" customHeight="1">
      <c r="B137" s="1852" t="str">
        <f>IF(OR(O120=1,O120=2),"",IF(OR(ISBLANK(G137),ISBLANK(J137),ISBLANK(K137),ISBLANK(L137),ISBLANK(M137),ISBLANK(N137))=FALSE,"","u"))</f>
        <v>u</v>
      </c>
      <c r="C137" s="104"/>
      <c r="D137" s="291"/>
      <c r="F137" s="292" t="s">
        <v>549</v>
      </c>
      <c r="G137" s="565"/>
      <c r="H137" s="3179" t="s">
        <v>543</v>
      </c>
      <c r="I137" s="3179"/>
      <c r="J137" s="569"/>
      <c r="K137" s="569"/>
      <c r="L137" s="569"/>
      <c r="M137" s="569"/>
      <c r="N137" s="569"/>
      <c r="O137" s="714" t="str">
        <f>IF(AND(ISBLANK(J137),ISBLANK(K137),ISBLANK(L137),ISBLANK(M137),ISBLANK(N137)),"",IF((1-J137-K137-L137-M137-N137)&lt;0,0,(1-J137-K137-L137-M137-N137)))</f>
        <v/>
      </c>
      <c r="P137" s="604"/>
      <c r="Q137" s="1754"/>
      <c r="S137" s="3487"/>
    </row>
    <row r="138" spans="2:20" ht="6.75" customHeight="1">
      <c r="B138" s="1762"/>
      <c r="C138" s="104"/>
      <c r="D138" s="291"/>
      <c r="E138" s="85"/>
      <c r="F138" s="85"/>
      <c r="G138" s="85"/>
      <c r="H138" s="3179"/>
      <c r="I138" s="3179"/>
      <c r="J138" s="85"/>
      <c r="K138" s="85"/>
      <c r="L138" s="85"/>
      <c r="M138" s="85"/>
      <c r="N138" s="85"/>
      <c r="O138" s="85"/>
      <c r="P138" s="266"/>
      <c r="Q138" s="1754"/>
      <c r="S138" s="3487"/>
    </row>
    <row r="139" spans="2:20" ht="17.25" customHeight="1">
      <c r="B139" s="1852" t="str">
        <f>IF(OR(O120=1,O120=2),"",IF(ISBLANK(G139)=FALSE,"","u"))</f>
        <v>u</v>
      </c>
      <c r="C139" s="104"/>
      <c r="D139" s="291"/>
      <c r="E139" s="645"/>
      <c r="F139" s="293" t="s">
        <v>22</v>
      </c>
      <c r="G139" s="566"/>
      <c r="H139" s="265"/>
      <c r="I139" s="265"/>
      <c r="J139" s="294" t="s">
        <v>544</v>
      </c>
      <c r="K139" s="294" t="s">
        <v>545</v>
      </c>
      <c r="L139" s="294" t="s">
        <v>3493</v>
      </c>
      <c r="M139" s="294" t="s">
        <v>546</v>
      </c>
      <c r="N139" s="87" t="s">
        <v>547</v>
      </c>
      <c r="O139" s="294" t="s">
        <v>66</v>
      </c>
      <c r="P139" s="604"/>
      <c r="Q139" s="1754"/>
      <c r="S139" s="3487"/>
    </row>
    <row r="140" spans="2:20" ht="9" customHeight="1">
      <c r="B140" s="1852"/>
      <c r="C140" s="379"/>
      <c r="D140" s="291"/>
      <c r="E140" s="645"/>
      <c r="F140" s="293"/>
      <c r="G140" s="672"/>
      <c r="H140" s="265"/>
      <c r="I140" s="265"/>
      <c r="J140" s="294"/>
      <c r="K140" s="294"/>
      <c r="L140" s="294"/>
      <c r="M140" s="294"/>
      <c r="N140" s="87"/>
      <c r="O140" s="87"/>
      <c r="P140" s="604"/>
      <c r="Q140" s="1754"/>
      <c r="S140" s="3487"/>
    </row>
    <row r="141" spans="2:20" ht="27" customHeight="1">
      <c r="B141" s="1852"/>
      <c r="C141" s="379"/>
      <c r="D141" s="291"/>
      <c r="E141" s="645"/>
      <c r="F141" s="293"/>
      <c r="G141" s="493"/>
      <c r="H141" s="3179" t="s">
        <v>539</v>
      </c>
      <c r="I141" s="3179"/>
      <c r="J141" s="3090"/>
      <c r="K141" s="3091"/>
      <c r="L141" s="3091"/>
      <c r="M141" s="3091"/>
      <c r="N141" s="3091"/>
      <c r="O141" s="3092"/>
      <c r="P141" s="604"/>
      <c r="Q141" s="1754"/>
      <c r="S141" s="3487"/>
    </row>
    <row r="142" spans="2:20" ht="15" customHeight="1">
      <c r="B142" s="1762"/>
      <c r="C142" s="379"/>
      <c r="D142" s="295"/>
      <c r="E142" s="272"/>
      <c r="F142" s="283"/>
      <c r="G142" s="272"/>
      <c r="H142" s="283"/>
      <c r="I142" s="271"/>
      <c r="J142" s="272"/>
      <c r="K142" s="283"/>
      <c r="L142" s="272"/>
      <c r="M142" s="283"/>
      <c r="N142" s="272"/>
      <c r="O142" s="283"/>
      <c r="P142" s="604"/>
      <c r="Q142" s="1754"/>
      <c r="S142" s="3487"/>
    </row>
    <row r="143" spans="2:20" ht="12.75" customHeight="1">
      <c r="B143" s="1762"/>
      <c r="C143" s="626"/>
      <c r="D143" s="291"/>
      <c r="E143" s="645"/>
      <c r="F143" s="602"/>
      <c r="G143" s="645"/>
      <c r="H143" s="602"/>
      <c r="I143" s="55"/>
      <c r="J143" s="645"/>
      <c r="K143" s="602"/>
      <c r="L143" s="645"/>
      <c r="M143" s="602"/>
      <c r="N143" s="645"/>
      <c r="O143" s="602"/>
      <c r="P143" s="604"/>
      <c r="Q143" s="1754"/>
      <c r="S143" s="3487"/>
    </row>
    <row r="144" spans="2:20" ht="27" customHeight="1">
      <c r="B144" s="1762"/>
      <c r="C144" s="104"/>
      <c r="D144" s="632" t="s">
        <v>550</v>
      </c>
      <c r="E144" s="633" t="s">
        <v>551</v>
      </c>
      <c r="F144" s="502"/>
      <c r="G144" s="502"/>
      <c r="H144" s="502"/>
      <c r="I144" s="502"/>
      <c r="J144" s="3179" t="s">
        <v>541</v>
      </c>
      <c r="K144" s="3179"/>
      <c r="L144" s="3280"/>
      <c r="M144" s="3090"/>
      <c r="N144" s="3091"/>
      <c r="O144" s="3092"/>
      <c r="P144" s="604"/>
      <c r="Q144" s="1754"/>
      <c r="S144" s="3487"/>
    </row>
    <row r="145" spans="2:19" ht="27" customHeight="1">
      <c r="B145" s="1762"/>
      <c r="C145" s="104"/>
      <c r="D145" s="455"/>
      <c r="E145" s="3474" t="s">
        <v>558</v>
      </c>
      <c r="F145" s="3474"/>
      <c r="G145" s="3474"/>
      <c r="H145" s="3474"/>
      <c r="I145" s="3474"/>
      <c r="J145" s="3474"/>
      <c r="K145" s="3474"/>
      <c r="L145" s="3474"/>
      <c r="M145" s="3474"/>
      <c r="N145" s="3474"/>
      <c r="O145" s="3474"/>
      <c r="P145" s="604"/>
      <c r="Q145" s="1754"/>
      <c r="S145" s="3487"/>
    </row>
    <row r="146" spans="2:19" ht="13.5" customHeight="1">
      <c r="B146" s="1762"/>
      <c r="C146" s="104"/>
      <c r="D146" s="451"/>
      <c r="E146" s="453"/>
      <c r="F146" s="453"/>
      <c r="G146" s="453"/>
      <c r="H146" s="453"/>
      <c r="I146" s="453"/>
      <c r="J146" s="453"/>
      <c r="K146" s="453"/>
      <c r="L146" s="453"/>
      <c r="M146" s="453"/>
      <c r="N146" s="453"/>
      <c r="O146" s="453"/>
      <c r="P146" s="604"/>
      <c r="Q146" s="1754"/>
      <c r="S146" s="3487"/>
    </row>
    <row r="147" spans="2:19" ht="18" customHeight="1">
      <c r="B147" s="1762"/>
      <c r="C147" s="104"/>
      <c r="D147" s="451"/>
      <c r="E147" s="452"/>
      <c r="F147" s="292" t="s">
        <v>542</v>
      </c>
      <c r="G147" s="567"/>
      <c r="H147" s="3180" t="s">
        <v>554</v>
      </c>
      <c r="I147" s="3181"/>
      <c r="J147" s="3169"/>
      <c r="K147" s="3170"/>
      <c r="L147" s="3170"/>
      <c r="M147" s="3170"/>
      <c r="N147" s="3170"/>
      <c r="O147" s="3171"/>
      <c r="P147" s="604"/>
      <c r="Q147" s="1754"/>
      <c r="S147" s="3487"/>
    </row>
    <row r="148" spans="2:19" ht="9.75" customHeight="1">
      <c r="B148" s="1762"/>
      <c r="C148" s="104"/>
      <c r="D148" s="290"/>
      <c r="E148" s="380"/>
      <c r="F148" s="380"/>
      <c r="G148" s="380"/>
      <c r="H148" s="456"/>
      <c r="I148" s="456"/>
      <c r="J148" s="380"/>
      <c r="K148" s="380"/>
      <c r="L148" s="380"/>
      <c r="M148" s="380"/>
      <c r="N148" s="380"/>
      <c r="O148" s="380"/>
      <c r="P148" s="604"/>
      <c r="Q148" s="1754"/>
      <c r="S148" s="3487"/>
    </row>
    <row r="149" spans="2:19" ht="18" customHeight="1">
      <c r="B149" s="1762"/>
      <c r="C149" s="104"/>
      <c r="D149" s="451"/>
      <c r="E149" s="452"/>
      <c r="F149" s="292" t="s">
        <v>549</v>
      </c>
      <c r="G149" s="567"/>
      <c r="H149" s="3180" t="s">
        <v>554</v>
      </c>
      <c r="I149" s="3181"/>
      <c r="J149" s="3169"/>
      <c r="K149" s="3170"/>
      <c r="L149" s="3170"/>
      <c r="M149" s="3170"/>
      <c r="N149" s="3170"/>
      <c r="O149" s="3171"/>
      <c r="P149" s="604"/>
      <c r="Q149" s="1754"/>
      <c r="S149" s="3487"/>
    </row>
    <row r="150" spans="2:19" ht="9.75" customHeight="1">
      <c r="B150" s="1762"/>
      <c r="C150" s="664"/>
      <c r="D150" s="290"/>
      <c r="E150" s="380"/>
      <c r="F150" s="380"/>
      <c r="G150" s="380"/>
      <c r="H150" s="380"/>
      <c r="I150" s="380"/>
      <c r="J150" s="380"/>
      <c r="K150" s="380"/>
      <c r="L150" s="380"/>
      <c r="M150" s="380"/>
      <c r="N150" s="380"/>
      <c r="O150" s="380"/>
      <c r="P150" s="604"/>
      <c r="Q150" s="1754"/>
      <c r="S150" s="3487"/>
    </row>
    <row r="151" spans="2:19" ht="17.25" customHeight="1">
      <c r="B151" s="1762"/>
      <c r="C151" s="664"/>
      <c r="D151" s="290"/>
      <c r="E151" s="645"/>
      <c r="F151" s="454" t="s">
        <v>22</v>
      </c>
      <c r="G151" s="568"/>
      <c r="H151" s="602"/>
      <c r="I151" s="383"/>
      <c r="P151" s="604"/>
      <c r="Q151" s="1754"/>
      <c r="S151" s="3487"/>
    </row>
    <row r="152" spans="2:19" ht="9" customHeight="1">
      <c r="B152" s="1852"/>
      <c r="C152" s="379"/>
      <c r="D152" s="291"/>
      <c r="E152" s="645"/>
      <c r="F152" s="293"/>
      <c r="G152" s="672"/>
      <c r="H152" s="265"/>
      <c r="I152" s="265"/>
      <c r="J152" s="294"/>
      <c r="K152" s="294"/>
      <c r="L152" s="294"/>
      <c r="M152" s="294"/>
      <c r="N152" s="87"/>
      <c r="O152" s="87"/>
      <c r="P152" s="604"/>
      <c r="Q152" s="1754"/>
      <c r="S152" s="3487"/>
    </row>
    <row r="153" spans="2:19" ht="27" customHeight="1">
      <c r="B153" s="1852"/>
      <c r="C153" s="379"/>
      <c r="D153" s="291"/>
      <c r="E153" s="645"/>
      <c r="F153" s="293"/>
      <c r="G153" s="493"/>
      <c r="H153" s="3179" t="s">
        <v>539</v>
      </c>
      <c r="I153" s="3179"/>
      <c r="J153" s="3090"/>
      <c r="K153" s="3091"/>
      <c r="L153" s="3091"/>
      <c r="M153" s="3091"/>
      <c r="N153" s="3091"/>
      <c r="O153" s="3092"/>
      <c r="P153" s="604"/>
      <c r="Q153" s="1754"/>
      <c r="S153" s="3487"/>
    </row>
    <row r="154" spans="2:19" ht="15" customHeight="1">
      <c r="B154" s="1762"/>
      <c r="C154" s="664"/>
      <c r="D154" s="291"/>
      <c r="E154" s="645"/>
      <c r="F154" s="602"/>
      <c r="G154" s="645"/>
      <c r="H154" s="602"/>
      <c r="I154" s="55"/>
      <c r="J154" s="645"/>
      <c r="K154" s="602"/>
      <c r="L154" s="645"/>
      <c r="M154" s="602"/>
      <c r="N154" s="645"/>
      <c r="O154" s="602"/>
      <c r="P154" s="604"/>
      <c r="Q154" s="1754"/>
      <c r="S154" s="3487"/>
    </row>
    <row r="155" spans="2:19" ht="12" customHeight="1">
      <c r="B155" s="1762"/>
      <c r="C155" s="1867"/>
      <c r="D155" s="1868"/>
      <c r="E155" s="1867"/>
      <c r="F155" s="1867"/>
      <c r="G155" s="1867"/>
      <c r="H155" s="1867"/>
      <c r="I155" s="1867"/>
      <c r="J155" s="1867"/>
      <c r="K155" s="1867"/>
      <c r="L155" s="1867"/>
      <c r="M155" s="1867"/>
      <c r="N155" s="1867"/>
      <c r="O155" s="1867"/>
      <c r="P155" s="1867"/>
      <c r="Q155" s="1754"/>
      <c r="S155" s="3487"/>
    </row>
    <row r="156" spans="2:19" ht="15" customHeight="1">
      <c r="B156" s="1762"/>
      <c r="C156" s="664"/>
      <c r="D156" s="381"/>
      <c r="E156" s="360"/>
      <c r="F156" s="361"/>
      <c r="G156" s="360"/>
      <c r="H156" s="361"/>
      <c r="I156" s="368"/>
      <c r="J156" s="360"/>
      <c r="K156" s="361"/>
      <c r="L156" s="360"/>
      <c r="M156" s="361"/>
      <c r="N156" s="360"/>
      <c r="O156" s="361"/>
      <c r="P156" s="604"/>
      <c r="Q156" s="1754"/>
      <c r="S156" s="3487"/>
    </row>
    <row r="157" spans="2:19" ht="18" customHeight="1">
      <c r="B157" s="1852" t="str">
        <f>IF(C159="",IF(ISBLANK(G157)=FALSE,"","u"),"")</f>
        <v>u</v>
      </c>
      <c r="C157" s="2234" t="s">
        <v>559</v>
      </c>
      <c r="D157" s="503" t="s">
        <v>560</v>
      </c>
      <c r="E157" s="78"/>
      <c r="F157" s="78"/>
      <c r="G157" s="564"/>
      <c r="H157" s="504" t="s">
        <v>561</v>
      </c>
      <c r="L157" s="78"/>
      <c r="M157" s="78"/>
      <c r="N157" s="78"/>
      <c r="O157" s="78"/>
      <c r="P157" s="604"/>
      <c r="Q157" s="1754"/>
      <c r="S157" s="3487"/>
    </row>
    <row r="158" spans="2:19" ht="9.75" customHeight="1">
      <c r="B158" s="1762"/>
      <c r="C158" s="450"/>
      <c r="D158" s="451"/>
      <c r="E158" s="457"/>
      <c r="F158" s="78"/>
      <c r="G158" s="78"/>
      <c r="H158" s="78"/>
      <c r="I158" s="78"/>
      <c r="J158" s="78"/>
      <c r="K158" s="78"/>
      <c r="L158" s="78"/>
      <c r="M158" s="78"/>
      <c r="N158" s="78"/>
      <c r="O158" s="78"/>
      <c r="P158" s="604"/>
      <c r="Q158" s="1754"/>
      <c r="S158" s="3487"/>
    </row>
    <row r="159" spans="2:19" ht="27" customHeight="1">
      <c r="B159" s="1762"/>
      <c r="C159" s="3543" t="str">
        <f>'CALCULS Eaux usées'!P14</f>
        <v/>
      </c>
      <c r="D159" s="511" t="s">
        <v>562</v>
      </c>
      <c r="E159" s="511"/>
      <c r="F159" s="511" t="s">
        <v>116</v>
      </c>
      <c r="G159" s="511" t="s">
        <v>563</v>
      </c>
      <c r="H159" s="511"/>
      <c r="I159" s="3509" t="s">
        <v>564</v>
      </c>
      <c r="J159" s="3509"/>
      <c r="K159" s="2235" t="s">
        <v>814</v>
      </c>
      <c r="L159" s="510"/>
      <c r="M159" s="510" t="s">
        <v>566</v>
      </c>
      <c r="N159" s="78"/>
      <c r="O159" s="78"/>
      <c r="P159" s="604"/>
      <c r="Q159" s="1754"/>
      <c r="S159" s="3487"/>
    </row>
    <row r="160" spans="2:19" ht="18" customHeight="1">
      <c r="B160" s="1762"/>
      <c r="C160" s="3543"/>
      <c r="D160" s="3476" t="s">
        <v>107</v>
      </c>
      <c r="E160" s="3477"/>
      <c r="F160" s="533" t="s">
        <v>58</v>
      </c>
      <c r="G160" s="3183"/>
      <c r="H160" s="3184"/>
      <c r="I160" s="3499"/>
      <c r="J160" s="3500"/>
      <c r="K160" s="3507"/>
      <c r="L160" s="3508"/>
      <c r="M160" s="3183"/>
      <c r="N160" s="3510"/>
      <c r="O160" s="3184"/>
      <c r="P160" s="604"/>
      <c r="Q160" s="1754"/>
      <c r="S160" s="3487"/>
    </row>
    <row r="161" spans="1:19" ht="18" customHeight="1">
      <c r="B161" s="1762"/>
      <c r="C161" s="3543"/>
      <c r="D161" s="3478"/>
      <c r="E161" s="3479"/>
      <c r="F161" s="534" t="s">
        <v>59</v>
      </c>
      <c r="G161" s="3185"/>
      <c r="H161" s="3186"/>
      <c r="I161" s="3495"/>
      <c r="J161" s="3496"/>
      <c r="K161" s="3503"/>
      <c r="L161" s="3504"/>
      <c r="M161" s="3185"/>
      <c r="N161" s="3471"/>
      <c r="O161" s="3186"/>
      <c r="P161" s="604"/>
      <c r="Q161" s="1754"/>
      <c r="S161" s="3487"/>
    </row>
    <row r="162" spans="1:19" ht="18" customHeight="1">
      <c r="B162" s="1762"/>
      <c r="C162" s="382"/>
      <c r="D162" s="3480"/>
      <c r="E162" s="3481"/>
      <c r="F162" s="535" t="s">
        <v>60</v>
      </c>
      <c r="G162" s="3468"/>
      <c r="H162" s="3470"/>
      <c r="I162" s="3501"/>
      <c r="J162" s="3502"/>
      <c r="K162" s="3482"/>
      <c r="L162" s="3483"/>
      <c r="M162" s="3468"/>
      <c r="N162" s="3469"/>
      <c r="O162" s="3470"/>
      <c r="P162" s="604"/>
      <c r="Q162" s="1754"/>
      <c r="S162" s="3487"/>
    </row>
    <row r="163" spans="1:19" ht="18" customHeight="1">
      <c r="B163" s="1762"/>
      <c r="C163" s="382"/>
      <c r="D163" s="3476" t="s">
        <v>108</v>
      </c>
      <c r="E163" s="3477"/>
      <c r="F163" s="533" t="s">
        <v>58</v>
      </c>
      <c r="G163" s="3183"/>
      <c r="H163" s="3184"/>
      <c r="I163" s="3499"/>
      <c r="J163" s="3500"/>
      <c r="K163" s="3505"/>
      <c r="L163" s="3506"/>
      <c r="M163" s="3183"/>
      <c r="N163" s="3510"/>
      <c r="O163" s="3184"/>
      <c r="P163" s="604"/>
      <c r="Q163" s="1754"/>
      <c r="S163" s="3487"/>
    </row>
    <row r="164" spans="1:19" ht="18" customHeight="1">
      <c r="B164" s="1762"/>
      <c r="C164" s="382"/>
      <c r="D164" s="3478"/>
      <c r="E164" s="3479"/>
      <c r="F164" s="534" t="s">
        <v>59</v>
      </c>
      <c r="G164" s="3185"/>
      <c r="H164" s="3186"/>
      <c r="I164" s="3495"/>
      <c r="J164" s="3496"/>
      <c r="K164" s="3503"/>
      <c r="L164" s="3504"/>
      <c r="M164" s="3185"/>
      <c r="N164" s="3471"/>
      <c r="O164" s="3186"/>
      <c r="P164" s="604"/>
      <c r="Q164" s="1754"/>
      <c r="S164" s="3487"/>
    </row>
    <row r="165" spans="1:19" ht="18" customHeight="1">
      <c r="B165" s="1762"/>
      <c r="C165" s="382"/>
      <c r="D165" s="3480"/>
      <c r="E165" s="3481"/>
      <c r="F165" s="535" t="s">
        <v>60</v>
      </c>
      <c r="G165" s="3468"/>
      <c r="H165" s="3470"/>
      <c r="I165" s="3501"/>
      <c r="J165" s="3502"/>
      <c r="K165" s="3497"/>
      <c r="L165" s="3498"/>
      <c r="M165" s="3468"/>
      <c r="N165" s="3469"/>
      <c r="O165" s="3470"/>
      <c r="P165" s="604"/>
      <c r="Q165" s="1754"/>
      <c r="S165" s="3487"/>
    </row>
    <row r="166" spans="1:19" ht="14.25" customHeight="1">
      <c r="B166" s="1762"/>
      <c r="C166" s="506"/>
      <c r="D166" s="507"/>
      <c r="E166" s="508"/>
      <c r="F166" s="509"/>
      <c r="G166" s="510"/>
      <c r="H166" s="510"/>
      <c r="I166" s="510"/>
      <c r="J166" s="510"/>
      <c r="K166" s="510"/>
      <c r="L166" s="510"/>
      <c r="M166" s="510"/>
      <c r="N166" s="510"/>
      <c r="O166" s="510"/>
      <c r="P166" s="273"/>
      <c r="Q166" s="1754"/>
      <c r="S166" s="3487"/>
    </row>
    <row r="167" spans="1:19" ht="18.75" customHeight="1">
      <c r="B167" s="1762"/>
      <c r="C167" s="1859"/>
      <c r="D167" s="1753"/>
      <c r="E167" s="1753"/>
      <c r="F167" s="1753"/>
      <c r="G167" s="1753"/>
      <c r="H167" s="1753"/>
      <c r="I167" s="1753"/>
      <c r="J167" s="1753"/>
      <c r="K167" s="1753"/>
      <c r="L167" s="1753"/>
      <c r="M167" s="1753"/>
      <c r="N167" s="1753"/>
      <c r="O167" s="1753"/>
      <c r="P167" s="1753"/>
      <c r="Q167" s="1754"/>
      <c r="S167" s="3487"/>
    </row>
    <row r="168" spans="1:19" ht="17.25" customHeight="1">
      <c r="B168" s="1762"/>
      <c r="C168" s="1860" t="s">
        <v>567</v>
      </c>
      <c r="D168" s="1753"/>
      <c r="E168" s="1753"/>
      <c r="F168" s="1753"/>
      <c r="G168" s="1753"/>
      <c r="H168" s="1753"/>
      <c r="I168" s="1753"/>
      <c r="J168" s="1753"/>
      <c r="K168" s="1753"/>
      <c r="L168" s="1753"/>
      <c r="M168" s="1753"/>
      <c r="N168" s="1753"/>
      <c r="O168" s="1753"/>
      <c r="P168" s="1753"/>
      <c r="Q168" s="1754"/>
      <c r="S168" s="3487"/>
    </row>
    <row r="169" spans="1:19" ht="18" customHeight="1">
      <c r="B169" s="1762"/>
      <c r="C169" s="1751"/>
      <c r="D169" s="1861"/>
      <c r="E169" s="3706" t="s">
        <v>568</v>
      </c>
      <c r="F169" s="3706"/>
      <c r="G169" s="3706"/>
      <c r="H169" s="3707"/>
      <c r="I169" s="353" t="str">
        <f>IF((OR(ISBLANK(F605),ISBLANK(F606),ISBLANK(F607),ISBLANK(F608),ISBLANK(F609),ISBLANK(F610),ISBLANK(K605),ISBLANK(K606),ISBLANK(K607),ISBLANK(K608),ISBLANK(K609),ISBLANK(K610))=FALSE),"Complété","À compléter")</f>
        <v>À compléter</v>
      </c>
      <c r="J169" s="3708" t="s">
        <v>3454</v>
      </c>
      <c r="K169" s="3708"/>
      <c r="L169" s="3708"/>
      <c r="M169" s="3708"/>
      <c r="N169" s="3708"/>
      <c r="O169" s="3708"/>
      <c r="P169" s="3708"/>
      <c r="Q169" s="1754"/>
      <c r="S169" s="3487"/>
    </row>
    <row r="170" spans="1:19" ht="6.75" customHeight="1">
      <c r="B170" s="1762"/>
      <c r="C170" s="1753"/>
      <c r="D170" s="1861"/>
      <c r="E170" s="1861"/>
      <c r="F170" s="1861"/>
      <c r="G170" s="1861"/>
      <c r="H170" s="1861"/>
      <c r="I170" s="1753"/>
      <c r="J170" s="1863"/>
      <c r="K170" s="1863"/>
      <c r="L170" s="1863"/>
      <c r="M170" s="1863"/>
      <c r="N170" s="1863"/>
      <c r="O170" s="1863"/>
      <c r="P170" s="1863"/>
      <c r="Q170" s="1754"/>
      <c r="S170" s="3487"/>
    </row>
    <row r="171" spans="1:19" ht="18" customHeight="1">
      <c r="B171" s="1762"/>
      <c r="C171" s="1753"/>
      <c r="D171" s="3706" t="s">
        <v>569</v>
      </c>
      <c r="E171" s="3706"/>
      <c r="F171" s="3706"/>
      <c r="G171" s="3706"/>
      <c r="H171" s="3707"/>
      <c r="I171" s="353" t="str">
        <f>IF((OR(ISBLANK(F671),ISBLANK(F672),ISBLANK(K671),ISBLANK(K672))=FALSE),"Complété","À compléter")</f>
        <v>À compléter</v>
      </c>
      <c r="J171" s="3708" t="s">
        <v>3455</v>
      </c>
      <c r="K171" s="3708"/>
      <c r="L171" s="3708"/>
      <c r="M171" s="3708"/>
      <c r="N171" s="3708"/>
      <c r="O171" s="3708"/>
      <c r="P171" s="3708"/>
      <c r="Q171" s="1754"/>
      <c r="S171" s="3487"/>
    </row>
    <row r="172" spans="1:19" ht="23.25" customHeight="1">
      <c r="B172" s="1762"/>
      <c r="C172" s="1753"/>
      <c r="D172" s="1862"/>
      <c r="E172" s="1862"/>
      <c r="F172" s="1862"/>
      <c r="G172" s="1862"/>
      <c r="H172" s="1862"/>
      <c r="I172" s="1866"/>
      <c r="J172" s="1864"/>
      <c r="K172" s="1864"/>
      <c r="L172" s="1864"/>
      <c r="M172" s="1864"/>
      <c r="N172" s="1864"/>
      <c r="O172" s="1864"/>
      <c r="P172" s="1864"/>
      <c r="Q172" s="1754"/>
      <c r="S172" s="3487"/>
    </row>
    <row r="173" spans="1:19" ht="18" customHeight="1">
      <c r="B173" s="1762"/>
      <c r="C173" s="1865" t="s">
        <v>570</v>
      </c>
      <c r="D173" s="1862"/>
      <c r="E173" s="1862"/>
      <c r="F173" s="1862"/>
      <c r="G173" s="1751"/>
      <c r="H173" s="3709" t="s">
        <v>571</v>
      </c>
      <c r="I173" s="3709"/>
      <c r="J173" s="1751"/>
      <c r="K173" s="1751"/>
      <c r="L173" s="1864"/>
      <c r="M173" s="1864"/>
      <c r="N173" s="1864"/>
      <c r="O173" s="1864"/>
      <c r="P173" s="1864"/>
      <c r="Q173" s="1754"/>
      <c r="S173" s="3487"/>
    </row>
    <row r="174" spans="1:19" ht="14.25" customHeight="1" thickBot="1">
      <c r="B174" s="1784"/>
      <c r="C174" s="1789"/>
      <c r="D174" s="1789"/>
      <c r="E174" s="1789"/>
      <c r="F174" s="1789"/>
      <c r="G174" s="1789"/>
      <c r="H174" s="1789"/>
      <c r="I174" s="1789"/>
      <c r="J174" s="1789"/>
      <c r="K174" s="1789"/>
      <c r="L174" s="1789"/>
      <c r="M174" s="1789"/>
      <c r="N174" s="1789"/>
      <c r="O174" s="1789"/>
      <c r="P174" s="1789"/>
      <c r="Q174" s="1790"/>
      <c r="S174" s="3488"/>
    </row>
    <row r="175" spans="1:19" ht="15" thickBot="1">
      <c r="B175" s="683"/>
      <c r="S175" s="617"/>
    </row>
    <row r="176" spans="1:19" ht="22.5" customHeight="1" thickBot="1">
      <c r="A176" s="1187"/>
      <c r="B176" s="1718" t="s">
        <v>572</v>
      </c>
      <c r="C176" s="1718"/>
      <c r="D176" s="1718"/>
      <c r="E176" s="1718"/>
      <c r="F176" s="1718"/>
      <c r="G176" s="1718"/>
      <c r="H176" s="1718"/>
      <c r="I176" s="1718"/>
      <c r="J176" s="1718"/>
      <c r="K176" s="1718"/>
      <c r="L176" s="1723"/>
      <c r="M176" s="1723"/>
      <c r="N176" s="1723"/>
      <c r="O176" s="3700" t="s">
        <v>155</v>
      </c>
      <c r="P176" s="3700"/>
      <c r="Q176" s="3700"/>
      <c r="S176" s="615" t="s">
        <v>521</v>
      </c>
    </row>
    <row r="177" spans="2:19" ht="9.75" customHeight="1" thickBot="1">
      <c r="S177" s="616"/>
    </row>
    <row r="178" spans="2:19" ht="13.5" customHeight="1">
      <c r="B178" s="1791"/>
      <c r="C178" s="1792"/>
      <c r="D178" s="1792"/>
      <c r="E178" s="1793"/>
      <c r="F178" s="1794"/>
      <c r="G178" s="1794"/>
      <c r="H178" s="1794"/>
      <c r="I178" s="1794"/>
      <c r="J178" s="1794"/>
      <c r="K178" s="1794"/>
      <c r="L178" s="1794"/>
      <c r="M178" s="1794"/>
      <c r="N178" s="1794"/>
      <c r="O178" s="1794"/>
      <c r="P178" s="1794"/>
      <c r="Q178" s="1795"/>
      <c r="S178" s="3486"/>
    </row>
    <row r="179" spans="2:19" ht="18" customHeight="1">
      <c r="B179" s="1844"/>
      <c r="C179" s="1797" t="s">
        <v>573</v>
      </c>
      <c r="D179" s="1797"/>
      <c r="E179" s="1845"/>
      <c r="F179" s="1869"/>
      <c r="G179" s="1751"/>
      <c r="H179" s="1751"/>
      <c r="I179" s="1751"/>
      <c r="J179" s="1751"/>
      <c r="K179" s="1751"/>
      <c r="L179" s="1751"/>
      <c r="M179" s="1751"/>
      <c r="N179" s="1846" t="s">
        <v>219</v>
      </c>
      <c r="O179" s="353" t="str">
        <f>IF(OR(ISBLANK(H186))=FALSE,"Complété","À compléter")</f>
        <v>À compléter</v>
      </c>
      <c r="P179" s="1751"/>
      <c r="Q179" s="1851"/>
      <c r="S179" s="3487"/>
    </row>
    <row r="180" spans="2:19" ht="6" customHeight="1">
      <c r="B180" s="1847"/>
      <c r="C180" s="1848"/>
      <c r="D180" s="1848"/>
      <c r="E180" s="1848"/>
      <c r="F180" s="1751"/>
      <c r="G180" s="1751"/>
      <c r="H180" s="1751"/>
      <c r="I180" s="1751"/>
      <c r="J180" s="1751"/>
      <c r="K180" s="1751"/>
      <c r="L180" s="1751"/>
      <c r="M180" s="1751"/>
      <c r="N180" s="1751"/>
      <c r="O180" s="1751"/>
      <c r="P180" s="1751"/>
      <c r="Q180" s="1851"/>
      <c r="S180" s="3487"/>
    </row>
    <row r="181" spans="2:19" ht="17.25" customHeight="1">
      <c r="B181" s="1847"/>
      <c r="C181" s="3701" t="s">
        <v>574</v>
      </c>
      <c r="D181" s="3701"/>
      <c r="E181" s="3701"/>
      <c r="F181" s="3701"/>
      <c r="G181" s="3701"/>
      <c r="H181" s="3701"/>
      <c r="I181" s="3701"/>
      <c r="J181" s="3701"/>
      <c r="K181" s="3701"/>
      <c r="L181" s="3701"/>
      <c r="M181" s="3701"/>
      <c r="N181" s="1751"/>
      <c r="O181" s="1751"/>
      <c r="P181" s="1751"/>
      <c r="Q181" s="1851"/>
      <c r="S181" s="3487"/>
    </row>
    <row r="182" spans="2:19" ht="15" customHeight="1">
      <c r="B182" s="1847"/>
      <c r="C182" s="1848"/>
      <c r="D182" s="1848"/>
      <c r="E182" s="1848"/>
      <c r="F182" s="1751"/>
      <c r="G182" s="1751"/>
      <c r="H182" s="1751"/>
      <c r="I182" s="1751"/>
      <c r="J182" s="1751"/>
      <c r="K182" s="1751"/>
      <c r="L182" s="1751"/>
      <c r="M182" s="1751"/>
      <c r="N182" s="1751"/>
      <c r="O182" s="1751"/>
      <c r="P182" s="1751"/>
      <c r="Q182" s="1851"/>
      <c r="S182" s="3487"/>
    </row>
    <row r="183" spans="2:19" ht="18.75" customHeight="1">
      <c r="B183" s="1762"/>
      <c r="C183" s="1870" t="s">
        <v>3457</v>
      </c>
      <c r="D183" s="1802"/>
      <c r="E183" s="1753"/>
      <c r="F183" s="1753"/>
      <c r="G183" s="1753"/>
      <c r="H183" s="1753"/>
      <c r="I183" s="1753"/>
      <c r="J183" s="1753"/>
      <c r="K183" s="1753"/>
      <c r="L183" s="1753"/>
      <c r="M183" s="1753"/>
      <c r="N183" s="1753"/>
      <c r="O183" s="1753"/>
      <c r="P183" s="1753"/>
      <c r="Q183" s="1754"/>
      <c r="S183" s="3487"/>
    </row>
    <row r="184" spans="2:19" ht="6" customHeight="1">
      <c r="B184" s="1762"/>
      <c r="C184" s="1857"/>
      <c r="D184" s="1802"/>
      <c r="E184" s="1753"/>
      <c r="F184" s="1753"/>
      <c r="G184" s="1753"/>
      <c r="H184" s="1753"/>
      <c r="I184" s="1753"/>
      <c r="J184" s="1753"/>
      <c r="K184" s="1753"/>
      <c r="L184" s="1753"/>
      <c r="M184" s="1753"/>
      <c r="N184" s="1753"/>
      <c r="O184" s="1753"/>
      <c r="P184" s="1753"/>
      <c r="Q184" s="1754"/>
      <c r="S184" s="3487"/>
    </row>
    <row r="185" spans="2:19" ht="14.25" customHeight="1">
      <c r="B185" s="1762"/>
      <c r="C185" s="635"/>
      <c r="D185" s="259"/>
      <c r="E185" s="260"/>
      <c r="F185" s="260"/>
      <c r="G185" s="260"/>
      <c r="H185" s="260"/>
      <c r="I185" s="260"/>
      <c r="J185" s="260"/>
      <c r="K185" s="260"/>
      <c r="L185" s="260"/>
      <c r="M185" s="260"/>
      <c r="N185" s="260"/>
      <c r="O185" s="260"/>
      <c r="P185" s="261"/>
      <c r="Q185" s="1754"/>
      <c r="S185" s="3487"/>
    </row>
    <row r="186" spans="2:19" ht="15.75" customHeight="1">
      <c r="B186" s="1852" t="str">
        <f>IF(ISBLANK(H186)=FALSE,"","u")</f>
        <v>u</v>
      </c>
      <c r="C186" s="3351" t="s">
        <v>3476</v>
      </c>
      <c r="D186" s="3352"/>
      <c r="E186" s="3352"/>
      <c r="F186" s="3352"/>
      <c r="G186" s="3352"/>
      <c r="H186" s="3306"/>
      <c r="I186" s="3307"/>
      <c r="J186" s="3307"/>
      <c r="K186" s="3308"/>
      <c r="L186" s="1122" t="str">
        <f>IF(OR(ISBLANK(H186),H186='MENU DÉROULANT'!C73),"","Vous pouvez donc passer à la section suivante du PGA.")</f>
        <v/>
      </c>
      <c r="M186" s="1032"/>
      <c r="N186" s="1032"/>
      <c r="O186" s="1032"/>
      <c r="P186" s="266"/>
      <c r="Q186" s="1754"/>
      <c r="S186" s="3487"/>
    </row>
    <row r="187" spans="2:19" ht="15.75" customHeight="1">
      <c r="B187" s="1852" t="s">
        <v>552</v>
      </c>
      <c r="C187" s="3351"/>
      <c r="D187" s="3352"/>
      <c r="E187" s="3352"/>
      <c r="F187" s="3352"/>
      <c r="G187" s="3352"/>
      <c r="H187" s="3309"/>
      <c r="I187" s="3310"/>
      <c r="J187" s="3310"/>
      <c r="K187" s="3311"/>
      <c r="L187" s="3222" t="str">
        <f>IF(OR(ISBLANK(H186),H186='MENU DÉROULANT'!C73),"","Notez toutefois que dans ce cas, aucun visuel n'apparaitra dans le sommaire concernant les niveaux de service.")</f>
        <v/>
      </c>
      <c r="M187" s="3222"/>
      <c r="N187" s="3222"/>
      <c r="O187" s="3222"/>
      <c r="P187" s="673"/>
      <c r="Q187" s="1871"/>
      <c r="S187" s="3487"/>
    </row>
    <row r="188" spans="2:19" ht="16.5" customHeight="1">
      <c r="B188" s="1762"/>
      <c r="C188" s="636"/>
      <c r="D188" s="634"/>
      <c r="E188" s="85"/>
      <c r="F188" s="85"/>
      <c r="G188" s="85"/>
      <c r="H188" s="85"/>
      <c r="I188" s="85"/>
      <c r="J188" s="85"/>
      <c r="K188" s="85"/>
      <c r="L188" s="3223"/>
      <c r="M188" s="3223"/>
      <c r="N188" s="3223"/>
      <c r="O188" s="3223"/>
      <c r="P188" s="605"/>
      <c r="Q188" s="1871"/>
      <c r="S188" s="3487"/>
    </row>
    <row r="189" spans="2:19" ht="31.5" customHeight="1">
      <c r="B189" s="1852"/>
      <c r="C189" s="379"/>
      <c r="D189" s="291"/>
      <c r="E189" s="645"/>
      <c r="F189" s="3179" t="s">
        <v>539</v>
      </c>
      <c r="G189" s="3179"/>
      <c r="H189" s="3461"/>
      <c r="I189" s="3462"/>
      <c r="J189" s="3462"/>
      <c r="K189" s="3462"/>
      <c r="L189" s="3462"/>
      <c r="M189" s="3462"/>
      <c r="N189" s="3462"/>
      <c r="O189" s="3463"/>
      <c r="P189" s="604"/>
      <c r="Q189" s="1754"/>
      <c r="S189" s="3487"/>
    </row>
    <row r="190" spans="2:19" ht="15" customHeight="1">
      <c r="B190" s="1762"/>
      <c r="C190" s="637"/>
      <c r="D190" s="638"/>
      <c r="E190" s="306"/>
      <c r="F190" s="306"/>
      <c r="G190" s="306"/>
      <c r="H190" s="306"/>
      <c r="I190" s="306"/>
      <c r="J190" s="306"/>
      <c r="K190" s="306"/>
      <c r="L190" s="306"/>
      <c r="M190" s="639"/>
      <c r="N190" s="639"/>
      <c r="O190" s="639"/>
      <c r="P190" s="640"/>
      <c r="Q190" s="1871"/>
      <c r="S190" s="3487"/>
    </row>
    <row r="191" spans="2:19" ht="18.75" customHeight="1">
      <c r="B191" s="1762"/>
      <c r="C191" s="1802"/>
      <c r="D191" s="1802"/>
      <c r="E191" s="1753"/>
      <c r="F191" s="1753"/>
      <c r="G191" s="1753"/>
      <c r="H191" s="1753"/>
      <c r="I191" s="1753"/>
      <c r="J191" s="1753"/>
      <c r="K191" s="1753"/>
      <c r="L191" s="1753"/>
      <c r="M191" s="1753"/>
      <c r="N191" s="1753"/>
      <c r="O191" s="1753"/>
      <c r="P191" s="1753"/>
      <c r="Q191" s="1754"/>
      <c r="S191" s="3487"/>
    </row>
    <row r="192" spans="2:19" ht="22.5" customHeight="1">
      <c r="B192" s="1762"/>
      <c r="C192" s="3353" t="s">
        <v>575</v>
      </c>
      <c r="D192" s="3354"/>
      <c r="E192" s="3354"/>
      <c r="F192" s="3354"/>
      <c r="G192" s="310"/>
      <c r="H192" s="310"/>
      <c r="I192" s="310"/>
      <c r="J192" s="310"/>
      <c r="K192" s="310"/>
      <c r="L192" s="310"/>
      <c r="M192" s="310"/>
      <c r="N192" s="310"/>
      <c r="O192" s="975"/>
      <c r="P192" s="311"/>
      <c r="Q192" s="1754"/>
      <c r="S192" s="3487"/>
    </row>
    <row r="193" spans="2:19" ht="3" customHeight="1">
      <c r="B193" s="1762"/>
      <c r="C193" s="1753"/>
      <c r="D193" s="1753"/>
      <c r="E193" s="1753"/>
      <c r="F193" s="1753"/>
      <c r="G193" s="1753"/>
      <c r="H193" s="1753"/>
      <c r="I193" s="1753"/>
      <c r="J193" s="1753"/>
      <c r="K193" s="1753"/>
      <c r="L193" s="1753"/>
      <c r="M193" s="1753"/>
      <c r="N193" s="1753"/>
      <c r="O193" s="1753"/>
      <c r="P193" s="1753"/>
      <c r="Q193" s="1754"/>
      <c r="S193" s="3487"/>
    </row>
    <row r="194" spans="2:19" ht="11.25" customHeight="1">
      <c r="B194" s="1762"/>
      <c r="C194" s="258"/>
      <c r="D194" s="259"/>
      <c r="E194" s="260"/>
      <c r="F194" s="260"/>
      <c r="G194" s="260"/>
      <c r="H194" s="260"/>
      <c r="I194" s="260"/>
      <c r="J194" s="260"/>
      <c r="K194" s="260"/>
      <c r="L194" s="260"/>
      <c r="M194" s="260"/>
      <c r="N194" s="260"/>
      <c r="O194" s="260"/>
      <c r="P194" s="261"/>
      <c r="Q194" s="1754"/>
      <c r="S194" s="3487"/>
    </row>
    <row r="195" spans="2:19" ht="33.75" customHeight="1">
      <c r="B195" s="1762"/>
      <c r="C195" s="3464" t="s">
        <v>3477</v>
      </c>
      <c r="D195" s="3465"/>
      <c r="E195" s="3465"/>
      <c r="F195" s="3465"/>
      <c r="G195" s="3465"/>
      <c r="H195" s="3465"/>
      <c r="I195" s="3465"/>
      <c r="J195" s="3465"/>
      <c r="K195" s="3465"/>
      <c r="L195" s="3465"/>
      <c r="M195" s="3465"/>
      <c r="N195" s="3465"/>
      <c r="O195" s="3465"/>
      <c r="P195" s="3466"/>
      <c r="Q195" s="1754"/>
      <c r="S195" s="3487"/>
    </row>
    <row r="196" spans="2:19" ht="24.75" customHeight="1">
      <c r="B196" s="1762"/>
      <c r="C196" s="3512" t="s">
        <v>576</v>
      </c>
      <c r="D196" s="3513"/>
      <c r="E196" s="3513"/>
      <c r="F196" s="3513"/>
      <c r="G196" s="3513"/>
      <c r="H196" s="3513"/>
      <c r="I196" s="3513"/>
      <c r="J196" s="3513"/>
      <c r="K196" s="3513"/>
      <c r="L196" s="3513"/>
      <c r="M196" s="3513"/>
      <c r="N196" s="3513"/>
      <c r="O196" s="3513"/>
      <c r="P196" s="3514"/>
      <c r="Q196" s="1754"/>
      <c r="S196" s="3487"/>
    </row>
    <row r="197" spans="2:19" ht="10.5" customHeight="1">
      <c r="B197" s="1762"/>
      <c r="C197" s="356"/>
      <c r="D197" s="315"/>
      <c r="E197" s="85"/>
      <c r="F197" s="85"/>
      <c r="G197" s="85"/>
      <c r="H197" s="85"/>
      <c r="I197" s="55"/>
      <c r="J197" s="85"/>
      <c r="K197" s="85"/>
      <c r="L197" s="85"/>
      <c r="M197" s="85"/>
      <c r="N197" s="85"/>
      <c r="O197" s="85"/>
      <c r="P197" s="266"/>
      <c r="Q197" s="1754"/>
      <c r="S197" s="3487"/>
    </row>
    <row r="198" spans="2:19" s="72" customFormat="1" ht="26.25" customHeight="1" thickBot="1">
      <c r="B198" s="1762"/>
      <c r="C198" s="362"/>
      <c r="D198" s="3342" t="s">
        <v>577</v>
      </c>
      <c r="E198" s="3342"/>
      <c r="F198" s="3342" t="s">
        <v>578</v>
      </c>
      <c r="G198" s="3342"/>
      <c r="H198" s="3342" t="s">
        <v>579</v>
      </c>
      <c r="I198" s="3342"/>
      <c r="J198" s="3342" t="s">
        <v>494</v>
      </c>
      <c r="K198" s="3342"/>
      <c r="L198" s="499" t="s">
        <v>580</v>
      </c>
      <c r="M198" s="536"/>
      <c r="N198" s="364"/>
      <c r="O198" s="351"/>
      <c r="P198" s="266"/>
      <c r="Q198" s="1754"/>
      <c r="S198" s="3487"/>
    </row>
    <row r="199" spans="2:19" ht="26.25" customHeight="1" thickTop="1">
      <c r="B199" s="1852" t="str">
        <f>IF(OR(ISBLANK(D199),ISBLANK(F199),ISBLANK(H199),ISBLANK(J199))=FALSE,"","w")</f>
        <v>w</v>
      </c>
      <c r="C199" s="500">
        <v>1</v>
      </c>
      <c r="D199" s="3332"/>
      <c r="E199" s="3333"/>
      <c r="F199" s="3332"/>
      <c r="G199" s="3333"/>
      <c r="H199" s="3332"/>
      <c r="I199" s="3333"/>
      <c r="J199" s="3332"/>
      <c r="K199" s="3333"/>
      <c r="L199" s="3524"/>
      <c r="M199" s="3525"/>
      <c r="N199" s="3525"/>
      <c r="O199" s="3526"/>
      <c r="P199" s="266"/>
      <c r="Q199" s="1754"/>
      <c r="S199" s="3487"/>
    </row>
    <row r="200" spans="2:19" ht="26.25" customHeight="1">
      <c r="B200" s="1852" t="str">
        <f>IF(OR(ISBLANK(D200),ISBLANK(F200),ISBLANK(H200),ISBLANK(J200))=FALSE,"","w")</f>
        <v>w</v>
      </c>
      <c r="C200" s="500">
        <v>2</v>
      </c>
      <c r="D200" s="3332"/>
      <c r="E200" s="3333"/>
      <c r="F200" s="3332"/>
      <c r="G200" s="3333"/>
      <c r="H200" s="3332"/>
      <c r="I200" s="3333"/>
      <c r="J200" s="3332"/>
      <c r="K200" s="3333"/>
      <c r="L200" s="3334"/>
      <c r="M200" s="3335"/>
      <c r="N200" s="3335"/>
      <c r="O200" s="3336"/>
      <c r="P200" s="266"/>
      <c r="Q200" s="1754"/>
      <c r="S200" s="3487"/>
    </row>
    <row r="201" spans="2:19" ht="26.25" customHeight="1">
      <c r="B201" s="1852" t="str">
        <f>IF(OR(ISBLANK(D201),ISBLANK(F201),ISBLANK(H201),ISBLANK(J201))=FALSE,"","w")</f>
        <v>w</v>
      </c>
      <c r="C201" s="500">
        <v>3</v>
      </c>
      <c r="D201" s="3332"/>
      <c r="E201" s="3333"/>
      <c r="F201" s="3332"/>
      <c r="G201" s="3333"/>
      <c r="H201" s="3332"/>
      <c r="I201" s="3333"/>
      <c r="J201" s="3332"/>
      <c r="K201" s="3333"/>
      <c r="L201" s="3334"/>
      <c r="M201" s="3335"/>
      <c r="N201" s="3335"/>
      <c r="O201" s="3336"/>
      <c r="P201" s="266"/>
      <c r="Q201" s="1754"/>
      <c r="S201" s="3487"/>
    </row>
    <row r="202" spans="2:19" ht="26.25" customHeight="1">
      <c r="B202" s="1762"/>
      <c r="C202" s="500">
        <v>4</v>
      </c>
      <c r="D202" s="3330"/>
      <c r="E202" s="3331"/>
      <c r="F202" s="3330"/>
      <c r="G202" s="3331"/>
      <c r="H202" s="3330"/>
      <c r="I202" s="3331"/>
      <c r="J202" s="3330"/>
      <c r="K202" s="3331"/>
      <c r="L202" s="3334"/>
      <c r="M202" s="3335"/>
      <c r="N202" s="3335"/>
      <c r="O202" s="3336"/>
      <c r="P202" s="266"/>
      <c r="Q202" s="1754"/>
      <c r="S202" s="3487"/>
    </row>
    <row r="203" spans="2:19" ht="26.25" customHeight="1">
      <c r="B203" s="1762"/>
      <c r="C203" s="500">
        <v>5</v>
      </c>
      <c r="D203" s="3343"/>
      <c r="E203" s="3345"/>
      <c r="F203" s="3343"/>
      <c r="G203" s="3345"/>
      <c r="H203" s="3343"/>
      <c r="I203" s="3345"/>
      <c r="J203" s="3343"/>
      <c r="K203" s="3345"/>
      <c r="L203" s="3343"/>
      <c r="M203" s="3344"/>
      <c r="N203" s="3344"/>
      <c r="O203" s="3345"/>
      <c r="P203" s="604"/>
      <c r="Q203" s="1754"/>
      <c r="S203" s="3487"/>
    </row>
    <row r="204" spans="2:19" ht="17.25" customHeight="1">
      <c r="B204" s="1762"/>
      <c r="C204" s="358"/>
      <c r="D204" s="359"/>
      <c r="E204" s="645"/>
      <c r="F204" s="361"/>
      <c r="G204" s="360"/>
      <c r="H204" s="602"/>
      <c r="I204" s="55"/>
      <c r="J204" s="645"/>
      <c r="K204" s="602"/>
      <c r="L204" s="645"/>
      <c r="M204" s="602"/>
      <c r="N204" s="645"/>
      <c r="O204" s="602"/>
      <c r="P204" s="604"/>
      <c r="Q204" s="1754"/>
      <c r="S204" s="3487"/>
    </row>
    <row r="205" spans="2:19" ht="50.25" customHeight="1">
      <c r="B205" s="1762"/>
      <c r="C205" s="3337" t="s">
        <v>581</v>
      </c>
      <c r="D205" s="3338"/>
      <c r="E205" s="3339"/>
      <c r="F205" s="3533"/>
      <c r="G205" s="3534"/>
      <c r="H205" s="3534"/>
      <c r="I205" s="3534"/>
      <c r="J205" s="3534"/>
      <c r="K205" s="3534"/>
      <c r="L205" s="3534"/>
      <c r="M205" s="3534"/>
      <c r="N205" s="3534"/>
      <c r="O205" s="3535"/>
      <c r="P205" s="604"/>
      <c r="Q205" s="1754"/>
      <c r="S205" s="3487"/>
    </row>
    <row r="206" spans="2:19" ht="15.75" customHeight="1">
      <c r="B206" s="1762"/>
      <c r="C206" s="664"/>
      <c r="D206" s="315"/>
      <c r="E206" s="645"/>
      <c r="F206" s="602"/>
      <c r="G206" s="645"/>
      <c r="H206" s="602"/>
      <c r="I206" s="55"/>
      <c r="J206" s="645"/>
      <c r="K206" s="602"/>
      <c r="L206" s="645"/>
      <c r="M206" s="602"/>
      <c r="N206" s="645"/>
      <c r="O206" s="602"/>
      <c r="P206" s="604"/>
      <c r="Q206" s="1754"/>
      <c r="S206" s="3487"/>
    </row>
    <row r="207" spans="2:19" ht="18" customHeight="1">
      <c r="B207" s="1762"/>
      <c r="C207" s="757" t="s">
        <v>582</v>
      </c>
      <c r="D207" s="758"/>
      <c r="E207" s="759"/>
      <c r="F207" s="760"/>
      <c r="G207" s="760"/>
      <c r="H207" s="761"/>
      <c r="I207" s="762"/>
      <c r="J207" s="759"/>
      <c r="K207" s="759"/>
      <c r="L207" s="759"/>
      <c r="M207" s="760"/>
      <c r="N207" s="760"/>
      <c r="O207" s="763"/>
      <c r="P207" s="604"/>
      <c r="Q207" s="1754"/>
      <c r="S207" s="3487"/>
    </row>
    <row r="208" spans="2:19" ht="18" customHeight="1">
      <c r="B208" s="1762"/>
      <c r="C208" s="765" t="s">
        <v>815</v>
      </c>
      <c r="D208" s="758"/>
      <c r="E208" s="759"/>
      <c r="F208" s="760"/>
      <c r="G208" s="760"/>
      <c r="H208" s="761"/>
      <c r="I208" s="762"/>
      <c r="J208" s="614"/>
      <c r="K208" s="766"/>
      <c r="L208" s="759"/>
      <c r="M208" s="760"/>
      <c r="N208" s="760"/>
      <c r="O208" s="763"/>
      <c r="P208" s="604"/>
      <c r="Q208" s="1754"/>
      <c r="S208" s="3487"/>
    </row>
    <row r="209" spans="2:19" ht="16.5" customHeight="1">
      <c r="B209" s="1762"/>
      <c r="C209" s="767"/>
      <c r="D209" s="758"/>
      <c r="E209" s="759"/>
      <c r="F209" s="760"/>
      <c r="G209" s="760"/>
      <c r="H209" s="761"/>
      <c r="I209" s="762"/>
      <c r="J209" s="768" t="s">
        <v>584</v>
      </c>
      <c r="K209" s="614"/>
      <c r="L209" s="759"/>
      <c r="M209" s="760"/>
      <c r="N209" s="760"/>
      <c r="O209" s="763"/>
      <c r="P209" s="604"/>
      <c r="Q209" s="1754"/>
      <c r="S209" s="3487"/>
    </row>
    <row r="210" spans="2:19" ht="18" customHeight="1">
      <c r="B210" s="1762"/>
      <c r="C210" s="601"/>
      <c r="D210" s="277"/>
      <c r="E210" s="306"/>
      <c r="F210" s="306"/>
      <c r="G210" s="306"/>
      <c r="H210" s="306"/>
      <c r="I210" s="271"/>
      <c r="J210" s="306"/>
      <c r="K210" s="306"/>
      <c r="L210" s="306"/>
      <c r="M210" s="306"/>
      <c r="N210" s="306"/>
      <c r="O210" s="306"/>
      <c r="P210" s="307"/>
      <c r="Q210" s="1754"/>
      <c r="S210" s="3487"/>
    </row>
    <row r="211" spans="2:19" ht="20.25" customHeight="1">
      <c r="B211" s="1762"/>
      <c r="C211" s="1802"/>
      <c r="D211" s="1802"/>
      <c r="E211" s="1753"/>
      <c r="F211" s="1753"/>
      <c r="G211" s="1753"/>
      <c r="H211" s="1753"/>
      <c r="I211" s="1753"/>
      <c r="J211" s="1753"/>
      <c r="K211" s="1753"/>
      <c r="L211" s="1753"/>
      <c r="M211" s="1753"/>
      <c r="N211" s="1753"/>
      <c r="O211" s="1753"/>
      <c r="P211" s="1753"/>
      <c r="Q211" s="1754"/>
      <c r="S211" s="3487"/>
    </row>
    <row r="212" spans="2:19" ht="22.5" customHeight="1">
      <c r="B212" s="1762"/>
      <c r="C212" s="3353" t="s">
        <v>585</v>
      </c>
      <c r="D212" s="3354"/>
      <c r="E212" s="3354"/>
      <c r="F212" s="3354"/>
      <c r="G212" s="310"/>
      <c r="H212" s="310"/>
      <c r="I212" s="310"/>
      <c r="J212" s="310"/>
      <c r="K212" s="310"/>
      <c r="L212" s="310"/>
      <c r="M212" s="310"/>
      <c r="N212" s="310"/>
      <c r="O212" s="975"/>
      <c r="P212" s="311"/>
      <c r="Q212" s="1754"/>
      <c r="S212" s="3487"/>
    </row>
    <row r="213" spans="2:19" ht="3" customHeight="1">
      <c r="B213" s="1762"/>
      <c r="C213" s="1753"/>
      <c r="D213" s="1753"/>
      <c r="E213" s="1753"/>
      <c r="F213" s="1753"/>
      <c r="G213" s="1753"/>
      <c r="H213" s="1753"/>
      <c r="I213" s="1753"/>
      <c r="J213" s="1753"/>
      <c r="K213" s="1753"/>
      <c r="L213" s="1753"/>
      <c r="M213" s="1753"/>
      <c r="N213" s="1753"/>
      <c r="O213" s="1753"/>
      <c r="P213" s="1753"/>
      <c r="Q213" s="1754"/>
      <c r="S213" s="3487"/>
    </row>
    <row r="214" spans="2:19" ht="16.5" customHeight="1">
      <c r="B214" s="1762"/>
      <c r="C214" s="258"/>
      <c r="D214" s="259"/>
      <c r="E214" s="260"/>
      <c r="F214" s="260"/>
      <c r="G214" s="260"/>
      <c r="H214" s="260"/>
      <c r="I214" s="260"/>
      <c r="J214" s="260"/>
      <c r="K214" s="260"/>
      <c r="L214" s="260"/>
      <c r="M214" s="260"/>
      <c r="N214" s="260"/>
      <c r="O214" s="260"/>
      <c r="P214" s="261"/>
      <c r="Q214" s="1754"/>
      <c r="S214" s="3487"/>
    </row>
    <row r="215" spans="2:19" ht="24.75" customHeight="1">
      <c r="B215" s="1762"/>
      <c r="C215" s="3512" t="s">
        <v>586</v>
      </c>
      <c r="D215" s="3522"/>
      <c r="E215" s="3522"/>
      <c r="F215" s="3522"/>
      <c r="G215" s="3522"/>
      <c r="H215" s="3522"/>
      <c r="I215" s="3522"/>
      <c r="J215" s="3522"/>
      <c r="K215" s="3522"/>
      <c r="L215" s="3522"/>
      <c r="M215" s="3522"/>
      <c r="N215" s="3522"/>
      <c r="O215" s="3522"/>
      <c r="P215" s="3523"/>
      <c r="Q215" s="1754"/>
      <c r="S215" s="3487"/>
    </row>
    <row r="216" spans="2:19" ht="41.25" customHeight="1">
      <c r="B216" s="1762"/>
      <c r="C216" s="3346" t="s">
        <v>3459</v>
      </c>
      <c r="D216" s="3347"/>
      <c r="E216" s="3347"/>
      <c r="F216" s="3347"/>
      <c r="G216" s="3347"/>
      <c r="H216" s="3347"/>
      <c r="I216" s="3347"/>
      <c r="J216" s="3347"/>
      <c r="K216" s="3347"/>
      <c r="L216" s="3347"/>
      <c r="M216" s="3347"/>
      <c r="N216" s="3347"/>
      <c r="O216" s="3347"/>
      <c r="P216" s="3348"/>
      <c r="Q216" s="1754"/>
      <c r="S216" s="3487"/>
    </row>
    <row r="217" spans="2:19" ht="23.25" customHeight="1">
      <c r="B217" s="1762"/>
      <c r="C217" s="610" t="s">
        <v>587</v>
      </c>
      <c r="D217" s="497"/>
      <c r="E217" s="497"/>
      <c r="F217" s="497"/>
      <c r="G217" s="497"/>
      <c r="H217" s="497"/>
      <c r="I217" s="497"/>
      <c r="J217" s="497"/>
      <c r="K217" s="497"/>
      <c r="L217" s="497"/>
      <c r="M217" s="497"/>
      <c r="N217" s="497"/>
      <c r="O217" s="497"/>
      <c r="P217" s="498"/>
      <c r="Q217" s="1754"/>
      <c r="S217" s="3487"/>
    </row>
    <row r="218" spans="2:19" ht="10.5" customHeight="1">
      <c r="B218" s="1762"/>
      <c r="C218" s="664"/>
      <c r="D218" s="315"/>
      <c r="E218" s="645"/>
      <c r="F218" s="602"/>
      <c r="G218" s="645"/>
      <c r="H218" s="602"/>
      <c r="I218" s="55"/>
      <c r="J218" s="645"/>
      <c r="K218" s="602"/>
      <c r="L218" s="645"/>
      <c r="M218" s="602"/>
      <c r="N218" s="645"/>
      <c r="O218" s="602"/>
      <c r="P218" s="604"/>
      <c r="Q218" s="1754"/>
      <c r="S218" s="3487"/>
    </row>
    <row r="219" spans="2:19" s="72" customFormat="1" ht="36" customHeight="1" thickBot="1">
      <c r="B219" s="1762"/>
      <c r="C219" s="362"/>
      <c r="D219" s="3342" t="s">
        <v>588</v>
      </c>
      <c r="E219" s="3342"/>
      <c r="F219" s="494" t="s">
        <v>589</v>
      </c>
      <c r="G219" s="494" t="s">
        <v>590</v>
      </c>
      <c r="H219" s="656" t="s">
        <v>591</v>
      </c>
      <c r="I219" s="3515" t="s">
        <v>592</v>
      </c>
      <c r="J219" s="3516"/>
      <c r="K219" s="656" t="s">
        <v>593</v>
      </c>
      <c r="L219" s="651" t="s">
        <v>594</v>
      </c>
      <c r="M219" s="3515" t="s">
        <v>595</v>
      </c>
      <c r="N219" s="3516"/>
      <c r="O219" s="3517"/>
      <c r="P219" s="266"/>
      <c r="Q219" s="1754"/>
      <c r="S219" s="3487"/>
    </row>
    <row r="220" spans="2:19" ht="35.25" customHeight="1" thickTop="1">
      <c r="B220" s="1852" t="str">
        <f>IF(OR(ISBLANK(D220),ISBLANK(F220),ISBLANK(G220),ISBLANK(H220),ISBLANK(I220))=FALSE,"","w")</f>
        <v>w</v>
      </c>
      <c r="C220" s="500">
        <v>1</v>
      </c>
      <c r="D220" s="3193"/>
      <c r="E220" s="3194"/>
      <c r="F220" s="622"/>
      <c r="G220" s="658"/>
      <c r="H220" s="657"/>
      <c r="I220" s="3518"/>
      <c r="J220" s="3519"/>
      <c r="K220" s="661"/>
      <c r="L220" s="661"/>
      <c r="M220" s="3536"/>
      <c r="N220" s="3537"/>
      <c r="O220" s="3538"/>
      <c r="P220" s="266"/>
      <c r="Q220" s="1754"/>
      <c r="S220" s="3487"/>
    </row>
    <row r="221" spans="2:19" ht="35.25" customHeight="1">
      <c r="B221" s="1852" t="str">
        <f>IF(OR(ISBLANK(D221),ISBLANK(F221),ISBLANK(G221),ISBLANK(H221),ISBLANK(I221))=FALSE,"","w")</f>
        <v>w</v>
      </c>
      <c r="C221" s="500">
        <v>2</v>
      </c>
      <c r="D221" s="3193"/>
      <c r="E221" s="3194"/>
      <c r="F221" s="623"/>
      <c r="G221" s="660"/>
      <c r="H221" s="659"/>
      <c r="I221" s="3349"/>
      <c r="J221" s="3350"/>
      <c r="K221" s="653"/>
      <c r="L221" s="653"/>
      <c r="M221" s="3195"/>
      <c r="N221" s="3530"/>
      <c r="O221" s="3196"/>
      <c r="P221" s="266"/>
      <c r="Q221" s="1754"/>
      <c r="S221" s="3487"/>
    </row>
    <row r="222" spans="2:19" ht="35.25" customHeight="1">
      <c r="B222" s="1852" t="str">
        <f>IF(OR(ISBLANK(D222),ISBLANK(F222),ISBLANK(G222),ISBLANK(H222),ISBLANK(I222))=FALSE,"","w")</f>
        <v>w</v>
      </c>
      <c r="C222" s="500">
        <v>3</v>
      </c>
      <c r="D222" s="3193"/>
      <c r="E222" s="3194"/>
      <c r="F222" s="623"/>
      <c r="G222" s="660"/>
      <c r="H222" s="659"/>
      <c r="I222" s="3349"/>
      <c r="J222" s="3350"/>
      <c r="K222" s="653"/>
      <c r="L222" s="653"/>
      <c r="M222" s="3195"/>
      <c r="N222" s="3530"/>
      <c r="O222" s="3196"/>
      <c r="P222" s="266"/>
      <c r="Q222" s="1754"/>
      <c r="S222" s="3487"/>
    </row>
    <row r="223" spans="2:19" ht="35.25" customHeight="1">
      <c r="B223" s="1762"/>
      <c r="C223" s="500">
        <v>4</v>
      </c>
      <c r="D223" s="3520"/>
      <c r="E223" s="3521"/>
      <c r="F223" s="624"/>
      <c r="G223" s="653"/>
      <c r="H223" s="652"/>
      <c r="I223" s="3195"/>
      <c r="J223" s="3196"/>
      <c r="K223" s="653"/>
      <c r="L223" s="653"/>
      <c r="M223" s="3195"/>
      <c r="N223" s="3530"/>
      <c r="O223" s="3196"/>
      <c r="P223" s="266"/>
      <c r="Q223" s="1754"/>
      <c r="S223" s="3487"/>
    </row>
    <row r="224" spans="2:19" ht="35.25" customHeight="1">
      <c r="B224" s="1762"/>
      <c r="C224" s="500">
        <v>5</v>
      </c>
      <c r="D224" s="3520"/>
      <c r="E224" s="3521"/>
      <c r="F224" s="624"/>
      <c r="G224" s="653"/>
      <c r="H224" s="652"/>
      <c r="I224" s="3195"/>
      <c r="J224" s="3196"/>
      <c r="K224" s="653"/>
      <c r="L224" s="653"/>
      <c r="M224" s="3195"/>
      <c r="N224" s="3530"/>
      <c r="O224" s="3196"/>
      <c r="P224" s="266"/>
      <c r="Q224" s="1754"/>
      <c r="S224" s="3487"/>
    </row>
    <row r="225" spans="2:20" ht="35.25" customHeight="1">
      <c r="B225" s="1762"/>
      <c r="C225" s="500">
        <v>6</v>
      </c>
      <c r="D225" s="3520"/>
      <c r="E225" s="3521"/>
      <c r="F225" s="624"/>
      <c r="G225" s="653"/>
      <c r="H225" s="652"/>
      <c r="I225" s="3195"/>
      <c r="J225" s="3196"/>
      <c r="K225" s="653"/>
      <c r="L225" s="653"/>
      <c r="M225" s="3195"/>
      <c r="N225" s="3530"/>
      <c r="O225" s="3196"/>
      <c r="P225" s="266"/>
      <c r="Q225" s="1754"/>
      <c r="S225" s="3487"/>
    </row>
    <row r="226" spans="2:20" ht="35.25" customHeight="1">
      <c r="B226" s="1762"/>
      <c r="C226" s="500">
        <v>7</v>
      </c>
      <c r="D226" s="3520"/>
      <c r="E226" s="3521"/>
      <c r="F226" s="624"/>
      <c r="G226" s="653"/>
      <c r="H226" s="652"/>
      <c r="I226" s="3195"/>
      <c r="J226" s="3196"/>
      <c r="K226" s="653"/>
      <c r="L226" s="653"/>
      <c r="M226" s="3195"/>
      <c r="N226" s="3530"/>
      <c r="O226" s="3196"/>
      <c r="P226" s="266"/>
      <c r="Q226" s="1754"/>
      <c r="S226" s="3487"/>
    </row>
    <row r="227" spans="2:20" ht="35.25" customHeight="1">
      <c r="B227" s="1762"/>
      <c r="C227" s="500">
        <v>8</v>
      </c>
      <c r="D227" s="3520"/>
      <c r="E227" s="3521"/>
      <c r="F227" s="624"/>
      <c r="G227" s="653"/>
      <c r="H227" s="652"/>
      <c r="I227" s="3195"/>
      <c r="J227" s="3196"/>
      <c r="K227" s="653"/>
      <c r="L227" s="653"/>
      <c r="M227" s="3195"/>
      <c r="N227" s="3530"/>
      <c r="O227" s="3196"/>
      <c r="P227" s="266"/>
      <c r="Q227" s="1754"/>
      <c r="S227" s="3487"/>
    </row>
    <row r="228" spans="2:20" ht="35.25" customHeight="1">
      <c r="B228" s="1762"/>
      <c r="C228" s="500">
        <v>9</v>
      </c>
      <c r="D228" s="3520"/>
      <c r="E228" s="3521"/>
      <c r="F228" s="624"/>
      <c r="G228" s="653"/>
      <c r="H228" s="652"/>
      <c r="I228" s="3195"/>
      <c r="J228" s="3196"/>
      <c r="K228" s="653"/>
      <c r="L228" s="653"/>
      <c r="M228" s="3195"/>
      <c r="N228" s="3530"/>
      <c r="O228" s="3196"/>
      <c r="P228" s="604"/>
      <c r="Q228" s="1754"/>
      <c r="S228" s="3487"/>
    </row>
    <row r="229" spans="2:20" ht="35.25" customHeight="1">
      <c r="B229" s="1762"/>
      <c r="C229" s="500">
        <v>10</v>
      </c>
      <c r="D229" s="3340"/>
      <c r="E229" s="3341"/>
      <c r="F229" s="625"/>
      <c r="G229" s="648"/>
      <c r="H229" s="647"/>
      <c r="I229" s="3300"/>
      <c r="J229" s="3302"/>
      <c r="K229" s="648"/>
      <c r="L229" s="648"/>
      <c r="M229" s="3340"/>
      <c r="N229" s="3539"/>
      <c r="O229" s="3341"/>
      <c r="P229" s="604"/>
      <c r="Q229" s="1754"/>
      <c r="S229" s="3487"/>
      <c r="T229" s="374"/>
    </row>
    <row r="230" spans="2:20" ht="17.25" customHeight="1">
      <c r="B230" s="1762"/>
      <c r="C230" s="664"/>
      <c r="D230" s="315"/>
      <c r="E230" s="645"/>
      <c r="F230" s="602"/>
      <c r="G230" s="645"/>
      <c r="H230" s="602"/>
      <c r="I230" s="55"/>
      <c r="J230" s="645"/>
      <c r="K230" s="602"/>
      <c r="L230" s="645"/>
      <c r="M230" s="602"/>
      <c r="N230" s="645"/>
      <c r="O230" s="602"/>
      <c r="P230" s="604"/>
      <c r="Q230" s="1754"/>
      <c r="S230" s="3487"/>
    </row>
    <row r="231" spans="2:20" ht="50.25" customHeight="1">
      <c r="B231" s="1762"/>
      <c r="C231" s="3337" t="s">
        <v>596</v>
      </c>
      <c r="D231" s="3338"/>
      <c r="E231" s="3339"/>
      <c r="F231" s="3533"/>
      <c r="G231" s="3534"/>
      <c r="H231" s="3534"/>
      <c r="I231" s="3534"/>
      <c r="J231" s="3534"/>
      <c r="K231" s="3534"/>
      <c r="L231" s="3534"/>
      <c r="M231" s="3534"/>
      <c r="N231" s="3534"/>
      <c r="O231" s="3535"/>
      <c r="P231" s="604"/>
      <c r="Q231" s="1754"/>
      <c r="S231" s="3487"/>
    </row>
    <row r="232" spans="2:20" ht="18.75" customHeight="1">
      <c r="B232" s="1762"/>
      <c r="C232" s="664"/>
      <c r="D232" s="315"/>
      <c r="E232" s="645"/>
      <c r="F232" s="602"/>
      <c r="G232" s="645"/>
      <c r="H232" s="602"/>
      <c r="I232" s="55"/>
      <c r="J232" s="645"/>
      <c r="K232" s="602"/>
      <c r="L232" s="645"/>
      <c r="M232" s="602"/>
      <c r="N232" s="645"/>
      <c r="O232" s="602"/>
      <c r="P232" s="604"/>
      <c r="Q232" s="1754"/>
      <c r="S232" s="3487"/>
    </row>
    <row r="233" spans="2:20" ht="18" customHeight="1">
      <c r="B233" s="1762"/>
      <c r="C233" s="757" t="s">
        <v>582</v>
      </c>
      <c r="D233" s="758"/>
      <c r="E233" s="759"/>
      <c r="F233" s="760"/>
      <c r="G233" s="760"/>
      <c r="H233" s="761"/>
      <c r="I233" s="762"/>
      <c r="J233" s="759"/>
      <c r="K233" s="759"/>
      <c r="L233" s="759"/>
      <c r="M233" s="760"/>
      <c r="N233" s="760"/>
      <c r="O233" s="763"/>
      <c r="P233" s="604"/>
      <c r="Q233" s="1754"/>
      <c r="S233" s="3487"/>
    </row>
    <row r="234" spans="2:20" ht="18" customHeight="1">
      <c r="B234" s="1762"/>
      <c r="C234" s="765" t="s">
        <v>815</v>
      </c>
      <c r="D234" s="758"/>
      <c r="E234" s="759"/>
      <c r="F234" s="760"/>
      <c r="G234" s="760"/>
      <c r="H234" s="761"/>
      <c r="I234" s="762"/>
      <c r="J234" s="614"/>
      <c r="K234" s="766"/>
      <c r="L234" s="759"/>
      <c r="M234" s="760"/>
      <c r="N234" s="760"/>
      <c r="O234" s="763"/>
      <c r="P234" s="604"/>
      <c r="Q234" s="1754"/>
      <c r="S234" s="3487"/>
    </row>
    <row r="235" spans="2:20" ht="16.5" customHeight="1">
      <c r="B235" s="1762"/>
      <c r="C235" s="767"/>
      <c r="D235" s="758"/>
      <c r="E235" s="759"/>
      <c r="F235" s="760"/>
      <c r="G235" s="760"/>
      <c r="H235" s="761"/>
      <c r="I235" s="762"/>
      <c r="J235" s="768" t="s">
        <v>584</v>
      </c>
      <c r="K235" s="614"/>
      <c r="L235" s="759"/>
      <c r="M235" s="760"/>
      <c r="N235" s="760"/>
      <c r="O235" s="763"/>
      <c r="P235" s="604"/>
      <c r="Q235" s="1754"/>
      <c r="S235" s="3487"/>
    </row>
    <row r="236" spans="2:20" ht="18" customHeight="1">
      <c r="B236" s="1762"/>
      <c r="C236" s="765" t="s">
        <v>597</v>
      </c>
      <c r="D236" s="758"/>
      <c r="E236" s="759"/>
      <c r="F236" s="759"/>
      <c r="G236" s="759"/>
      <c r="H236" s="759"/>
      <c r="I236" s="762"/>
      <c r="J236" s="759"/>
      <c r="K236" s="759"/>
      <c r="L236" s="759"/>
      <c r="M236" s="759"/>
      <c r="N236" s="759"/>
      <c r="O236" s="759"/>
      <c r="P236" s="266"/>
      <c r="Q236" s="1754"/>
      <c r="S236" s="3487"/>
    </row>
    <row r="237" spans="2:20" ht="18" customHeight="1">
      <c r="B237" s="1762"/>
      <c r="C237" s="765" t="s">
        <v>598</v>
      </c>
      <c r="D237" s="758"/>
      <c r="E237" s="759"/>
      <c r="F237" s="759"/>
      <c r="G237" s="759"/>
      <c r="H237" s="759"/>
      <c r="I237" s="762"/>
      <c r="J237" s="759"/>
      <c r="K237" s="759"/>
      <c r="L237" s="759"/>
      <c r="M237" s="759"/>
      <c r="N237" s="759"/>
      <c r="O237" s="759"/>
      <c r="P237" s="266"/>
      <c r="Q237" s="1754"/>
      <c r="S237" s="3487"/>
    </row>
    <row r="238" spans="2:20" ht="18" customHeight="1">
      <c r="B238" s="1762"/>
      <c r="C238" s="601"/>
      <c r="D238" s="277"/>
      <c r="E238" s="306"/>
      <c r="F238" s="306"/>
      <c r="G238" s="306"/>
      <c r="H238" s="306"/>
      <c r="I238" s="271"/>
      <c r="J238" s="306"/>
      <c r="K238" s="306"/>
      <c r="L238" s="306"/>
      <c r="M238" s="306"/>
      <c r="N238" s="306"/>
      <c r="O238" s="306"/>
      <c r="P238" s="307"/>
      <c r="Q238" s="1754"/>
      <c r="S238" s="3487"/>
    </row>
    <row r="239" spans="2:20" ht="18" customHeight="1">
      <c r="B239" s="1762"/>
      <c r="C239" s="1859"/>
      <c r="D239" s="1753"/>
      <c r="E239" s="1753"/>
      <c r="F239" s="1753"/>
      <c r="G239" s="1753"/>
      <c r="H239" s="1753"/>
      <c r="I239" s="1753"/>
      <c r="J239" s="1753"/>
      <c r="K239" s="1753"/>
      <c r="L239" s="1753"/>
      <c r="M239" s="1753"/>
      <c r="N239" s="1753"/>
      <c r="O239" s="1753"/>
      <c r="P239" s="1753"/>
      <c r="Q239" s="1754"/>
      <c r="S239" s="3487"/>
    </row>
    <row r="240" spans="2:20" ht="17.25" customHeight="1">
      <c r="B240" s="1762"/>
      <c r="C240" s="1860" t="s">
        <v>567</v>
      </c>
      <c r="D240" s="1753"/>
      <c r="E240" s="1753"/>
      <c r="F240" s="1753"/>
      <c r="G240" s="1753"/>
      <c r="H240" s="1753"/>
      <c r="I240" s="1753"/>
      <c r="J240" s="1753"/>
      <c r="K240" s="1753"/>
      <c r="L240" s="1753"/>
      <c r="M240" s="1753"/>
      <c r="N240" s="1753"/>
      <c r="O240" s="1753"/>
      <c r="P240" s="1753"/>
      <c r="Q240" s="1754"/>
      <c r="S240" s="3487"/>
    </row>
    <row r="241" spans="1:19" ht="18" customHeight="1">
      <c r="B241" s="1762"/>
      <c r="C241" s="1751"/>
      <c r="D241" s="1861"/>
      <c r="E241" s="3706" t="s">
        <v>568</v>
      </c>
      <c r="F241" s="3706"/>
      <c r="G241" s="3706"/>
      <c r="H241" s="3707"/>
      <c r="I241" s="353" t="str">
        <f>IF((OR(ISBLANK(F613),ISBLANK(F614),ISBLANK(K613),ISBLANK(K614))=FALSE),"Complété","À compléter")</f>
        <v>À compléter</v>
      </c>
      <c r="J241" s="3708" t="s">
        <v>3454</v>
      </c>
      <c r="K241" s="3708"/>
      <c r="L241" s="3708"/>
      <c r="M241" s="3708"/>
      <c r="N241" s="3708"/>
      <c r="O241" s="3708"/>
      <c r="P241" s="3708"/>
      <c r="Q241" s="1754"/>
      <c r="S241" s="3487"/>
    </row>
    <row r="242" spans="1:19" ht="6.75" customHeight="1">
      <c r="B242" s="1762"/>
      <c r="C242" s="1753"/>
      <c r="D242" s="1861"/>
      <c r="E242" s="1861"/>
      <c r="F242" s="1861"/>
      <c r="G242" s="1861"/>
      <c r="H242" s="1861"/>
      <c r="I242" s="1753"/>
      <c r="J242" s="1863"/>
      <c r="K242" s="1863"/>
      <c r="L242" s="1863"/>
      <c r="M242" s="1863"/>
      <c r="N242" s="1863"/>
      <c r="O242" s="1863"/>
      <c r="P242" s="1863"/>
      <c r="Q242" s="1754"/>
      <c r="S242" s="3487"/>
    </row>
    <row r="243" spans="1:19" ht="18" customHeight="1">
      <c r="B243" s="1762"/>
      <c r="C243" s="1753"/>
      <c r="D243" s="3706" t="s">
        <v>569</v>
      </c>
      <c r="E243" s="3706"/>
      <c r="F243" s="3706"/>
      <c r="G243" s="3706"/>
      <c r="H243" s="3707"/>
      <c r="I243" s="353" t="str">
        <f>IF((OR(ISBLANK(F675),ISBLANK(F676),ISBLANK(#REF!),ISBLANK(K675),ISBLANK(K676),ISBLANK(#REF!))=FALSE),"Complété","À compléter")</f>
        <v>À compléter</v>
      </c>
      <c r="J243" s="3708" t="s">
        <v>3455</v>
      </c>
      <c r="K243" s="3708"/>
      <c r="L243" s="3708"/>
      <c r="M243" s="3708"/>
      <c r="N243" s="3708"/>
      <c r="O243" s="3708"/>
      <c r="P243" s="3708"/>
      <c r="Q243" s="1754"/>
      <c r="S243" s="3487"/>
    </row>
    <row r="244" spans="1:19" ht="27.75" customHeight="1">
      <c r="B244" s="1762"/>
      <c r="C244" s="1753"/>
      <c r="D244" s="1862"/>
      <c r="E244" s="1862"/>
      <c r="F244" s="1862"/>
      <c r="G244" s="1862"/>
      <c r="H244" s="1862"/>
      <c r="I244" s="1866"/>
      <c r="J244" s="1864"/>
      <c r="K244" s="1864"/>
      <c r="L244" s="1864"/>
      <c r="M244" s="1864"/>
      <c r="N244" s="1864"/>
      <c r="O244" s="1864"/>
      <c r="P244" s="1864"/>
      <c r="Q244" s="1754"/>
      <c r="S244" s="3487"/>
    </row>
    <row r="245" spans="1:19" ht="18" customHeight="1">
      <c r="B245" s="1762"/>
      <c r="C245" s="1865" t="s">
        <v>570</v>
      </c>
      <c r="D245" s="1862"/>
      <c r="E245" s="1862"/>
      <c r="F245" s="1862"/>
      <c r="G245" s="1751"/>
      <c r="H245" s="3709" t="s">
        <v>599</v>
      </c>
      <c r="I245" s="3709"/>
      <c r="J245" s="1751"/>
      <c r="K245" s="1751"/>
      <c r="L245" s="1864"/>
      <c r="M245" s="1864"/>
      <c r="N245" s="1864"/>
      <c r="O245" s="1864"/>
      <c r="P245" s="1864"/>
      <c r="Q245" s="1754"/>
      <c r="S245" s="3487"/>
    </row>
    <row r="246" spans="1:19" ht="13.5" customHeight="1" thickBot="1">
      <c r="B246" s="1853"/>
      <c r="C246" s="1787"/>
      <c r="D246" s="1787"/>
      <c r="E246" s="1787"/>
      <c r="F246" s="1787"/>
      <c r="G246" s="1787"/>
      <c r="H246" s="1787"/>
      <c r="I246" s="1787"/>
      <c r="J246" s="1787"/>
      <c r="K246" s="1787"/>
      <c r="L246" s="1787"/>
      <c r="M246" s="1787"/>
      <c r="N246" s="1787"/>
      <c r="O246" s="1787"/>
      <c r="P246" s="1787"/>
      <c r="Q246" s="1854"/>
      <c r="S246" s="3488"/>
    </row>
    <row r="247" spans="1:19" ht="15" thickBot="1">
      <c r="B247" s="683"/>
      <c r="S247" s="614"/>
    </row>
    <row r="248" spans="1:19" ht="22.5" customHeight="1" thickBot="1">
      <c r="A248" s="1187"/>
      <c r="B248" s="1718" t="s">
        <v>600</v>
      </c>
      <c r="C248" s="1718"/>
      <c r="D248" s="1718"/>
      <c r="E248" s="1718"/>
      <c r="F248" s="1718"/>
      <c r="G248" s="1718"/>
      <c r="H248" s="1718"/>
      <c r="I248" s="1718"/>
      <c r="J248" s="1718"/>
      <c r="K248" s="1718"/>
      <c r="L248" s="1723"/>
      <c r="M248" s="1723"/>
      <c r="N248" s="1723"/>
      <c r="O248" s="3700" t="s">
        <v>155</v>
      </c>
      <c r="P248" s="3700"/>
      <c r="Q248" s="3700"/>
      <c r="S248" s="615" t="s">
        <v>521</v>
      </c>
    </row>
    <row r="249" spans="1:19" ht="9.75" customHeight="1" thickBot="1">
      <c r="S249" s="616"/>
    </row>
    <row r="250" spans="1:19" ht="8.25" customHeight="1">
      <c r="B250" s="1791"/>
      <c r="C250" s="1792"/>
      <c r="D250" s="1792"/>
      <c r="E250" s="1793"/>
      <c r="F250" s="1794"/>
      <c r="G250" s="1794"/>
      <c r="H250" s="1794"/>
      <c r="I250" s="1794"/>
      <c r="J250" s="1794"/>
      <c r="K250" s="1794"/>
      <c r="L250" s="1794"/>
      <c r="M250" s="1794"/>
      <c r="N250" s="1794"/>
      <c r="O250" s="1794"/>
      <c r="P250" s="1794"/>
      <c r="Q250" s="1795"/>
      <c r="S250" s="3486"/>
    </row>
    <row r="251" spans="1:19" ht="18" customHeight="1">
      <c r="B251" s="1844"/>
      <c r="C251" s="1797" t="s">
        <v>601</v>
      </c>
      <c r="D251" s="1797"/>
      <c r="E251" s="1845"/>
      <c r="F251" s="1751"/>
      <c r="G251" s="1751"/>
      <c r="H251" s="1751"/>
      <c r="I251" s="1751"/>
      <c r="J251" s="1751"/>
      <c r="K251" s="1751"/>
      <c r="L251" s="1751"/>
      <c r="M251" s="1751"/>
      <c r="N251" s="1846" t="s">
        <v>219</v>
      </c>
      <c r="O251" s="353" t="str">
        <f>IF(OR(ISBLANK(H258))=FALSE,"Complété","À compléter")</f>
        <v>À compléter</v>
      </c>
      <c r="P251" s="1751"/>
      <c r="Q251" s="1851"/>
      <c r="S251" s="3487"/>
    </row>
    <row r="252" spans="1:19" ht="6.75" customHeight="1">
      <c r="B252" s="1847"/>
      <c r="C252" s="1848"/>
      <c r="D252" s="1848"/>
      <c r="E252" s="1848"/>
      <c r="F252" s="1751"/>
      <c r="G252" s="1751"/>
      <c r="H252" s="1751"/>
      <c r="I252" s="1751"/>
      <c r="J252" s="1751"/>
      <c r="K252" s="1751"/>
      <c r="L252" s="1751"/>
      <c r="M252" s="1751"/>
      <c r="N252" s="1751"/>
      <c r="O252" s="1751"/>
      <c r="P252" s="1751"/>
      <c r="Q252" s="1851"/>
      <c r="S252" s="3487"/>
    </row>
    <row r="253" spans="1:19" ht="17.25" customHeight="1">
      <c r="B253" s="1847"/>
      <c r="C253" s="3701" t="s">
        <v>531</v>
      </c>
      <c r="D253" s="3701"/>
      <c r="E253" s="3701"/>
      <c r="F253" s="3701"/>
      <c r="G253" s="3701"/>
      <c r="H253" s="3701"/>
      <c r="I253" s="3701"/>
      <c r="J253" s="3701"/>
      <c r="K253" s="3701"/>
      <c r="L253" s="3701"/>
      <c r="M253" s="3701"/>
      <c r="N253" s="1751"/>
      <c r="O253" s="1751"/>
      <c r="P253" s="1751"/>
      <c r="Q253" s="1851"/>
      <c r="S253" s="3487"/>
    </row>
    <row r="254" spans="1:19" ht="15" customHeight="1">
      <c r="B254" s="1847"/>
      <c r="C254" s="1848"/>
      <c r="D254" s="1848"/>
      <c r="E254" s="1848"/>
      <c r="F254" s="1751"/>
      <c r="G254" s="1751"/>
      <c r="H254" s="1751"/>
      <c r="I254" s="1751"/>
      <c r="J254" s="1751"/>
      <c r="K254" s="1751"/>
      <c r="L254" s="1751"/>
      <c r="M254" s="1751"/>
      <c r="N254" s="1751"/>
      <c r="O254" s="1751"/>
      <c r="P254" s="1751"/>
      <c r="Q254" s="1851"/>
      <c r="S254" s="3487"/>
    </row>
    <row r="255" spans="1:19" ht="18.75" customHeight="1">
      <c r="B255" s="1762"/>
      <c r="C255" s="1870" t="s">
        <v>3478</v>
      </c>
      <c r="D255" s="1802"/>
      <c r="E255" s="1753"/>
      <c r="F255" s="1753"/>
      <c r="G255" s="1753"/>
      <c r="H255" s="1753"/>
      <c r="I255" s="1753"/>
      <c r="J255" s="1753"/>
      <c r="K255" s="1753"/>
      <c r="L255" s="1753"/>
      <c r="M255" s="1753"/>
      <c r="N255" s="1753"/>
      <c r="O255" s="1753"/>
      <c r="P255" s="1753"/>
      <c r="Q255" s="1754"/>
      <c r="S255" s="3487"/>
    </row>
    <row r="256" spans="1:19" ht="6" customHeight="1">
      <c r="B256" s="1762"/>
      <c r="C256" s="1857"/>
      <c r="D256" s="1802"/>
      <c r="E256" s="1753"/>
      <c r="F256" s="1753"/>
      <c r="G256" s="1753"/>
      <c r="H256" s="1753"/>
      <c r="I256" s="1753"/>
      <c r="J256" s="1753"/>
      <c r="K256" s="1753"/>
      <c r="L256" s="1753"/>
      <c r="M256" s="1753"/>
      <c r="N256" s="1753"/>
      <c r="O256" s="1753"/>
      <c r="P256" s="1753"/>
      <c r="Q256" s="1754"/>
      <c r="S256" s="3487"/>
    </row>
    <row r="257" spans="2:19" ht="14.25" customHeight="1">
      <c r="B257" s="1762"/>
      <c r="C257" s="635"/>
      <c r="D257" s="259"/>
      <c r="E257" s="260"/>
      <c r="F257" s="260"/>
      <c r="G257" s="260"/>
      <c r="H257" s="260"/>
      <c r="I257" s="260"/>
      <c r="J257" s="260"/>
      <c r="K257" s="260"/>
      <c r="L257" s="260"/>
      <c r="M257" s="260"/>
      <c r="N257" s="260"/>
      <c r="O257" s="260"/>
      <c r="P257" s="261"/>
      <c r="Q257" s="1754"/>
      <c r="S257" s="3487"/>
    </row>
    <row r="258" spans="2:19" ht="15.75" customHeight="1">
      <c r="B258" s="1852" t="str">
        <f>IF(ISBLANK(H258)=FALSE,"","u")</f>
        <v>u</v>
      </c>
      <c r="C258" s="3351" t="s">
        <v>3479</v>
      </c>
      <c r="D258" s="3352"/>
      <c r="E258" s="3352"/>
      <c r="F258" s="3352"/>
      <c r="G258" s="3352"/>
      <c r="H258" s="3306"/>
      <c r="I258" s="3307"/>
      <c r="J258" s="3307"/>
      <c r="K258" s="3308"/>
      <c r="L258" s="3531" t="str">
        <f>IF(OR(ISBLANK(H258),H258='MENU DÉROULANT'!C86),"","Vous pouvez donc passer à la section suivante du PGA.")</f>
        <v/>
      </c>
      <c r="M258" s="3532"/>
      <c r="N258" s="3532"/>
      <c r="O258" s="3532"/>
      <c r="P258" s="266"/>
      <c r="Q258" s="1754"/>
      <c r="S258" s="3487"/>
    </row>
    <row r="259" spans="2:19" ht="15.75" customHeight="1">
      <c r="B259" s="1852" t="s">
        <v>552</v>
      </c>
      <c r="C259" s="3351"/>
      <c r="D259" s="3352"/>
      <c r="E259" s="3352"/>
      <c r="F259" s="3352"/>
      <c r="G259" s="3352"/>
      <c r="H259" s="3309"/>
      <c r="I259" s="3310"/>
      <c r="J259" s="3310"/>
      <c r="K259" s="3311"/>
      <c r="L259" s="3222" t="str">
        <f>IF(OR(ISBLANK(H258),H258='MENU DÉROULANT'!C86),"","Notez toutefois que dans ce cas, aucun visuel n'apparaitra dans le sommaire concernant la gestion des risques.")</f>
        <v/>
      </c>
      <c r="M259" s="3222"/>
      <c r="N259" s="3222"/>
      <c r="O259" s="3222"/>
      <c r="P259" s="673"/>
      <c r="Q259" s="1871"/>
      <c r="S259" s="3487"/>
    </row>
    <row r="260" spans="2:19" ht="16.5" customHeight="1">
      <c r="B260" s="1762"/>
      <c r="C260" s="636"/>
      <c r="D260" s="634"/>
      <c r="E260" s="85"/>
      <c r="F260" s="85"/>
      <c r="G260" s="85"/>
      <c r="H260" s="85"/>
      <c r="I260" s="85"/>
      <c r="J260" s="85"/>
      <c r="K260" s="85"/>
      <c r="L260" s="3223"/>
      <c r="M260" s="3223"/>
      <c r="N260" s="3223"/>
      <c r="O260" s="3223"/>
      <c r="P260" s="605"/>
      <c r="Q260" s="1871"/>
      <c r="S260" s="3487"/>
    </row>
    <row r="261" spans="2:19" ht="31.5" customHeight="1">
      <c r="B261" s="1852"/>
      <c r="C261" s="379"/>
      <c r="D261" s="291"/>
      <c r="E261" s="645"/>
      <c r="F261" s="3179" t="s">
        <v>539</v>
      </c>
      <c r="G261" s="3179"/>
      <c r="H261" s="3090"/>
      <c r="I261" s="3091"/>
      <c r="J261" s="3091"/>
      <c r="K261" s="3091"/>
      <c r="L261" s="3091"/>
      <c r="M261" s="3091"/>
      <c r="N261" s="3091"/>
      <c r="O261" s="3092"/>
      <c r="P261" s="604"/>
      <c r="Q261" s="1754"/>
      <c r="S261" s="3487"/>
    </row>
    <row r="262" spans="2:19" ht="15" customHeight="1">
      <c r="B262" s="1762"/>
      <c r="C262" s="637"/>
      <c r="D262" s="638"/>
      <c r="E262" s="306"/>
      <c r="F262" s="306"/>
      <c r="G262" s="306"/>
      <c r="H262" s="306"/>
      <c r="I262" s="306"/>
      <c r="J262" s="306"/>
      <c r="K262" s="306"/>
      <c r="L262" s="306"/>
      <c r="M262" s="639"/>
      <c r="N262" s="639"/>
      <c r="O262" s="639"/>
      <c r="P262" s="640"/>
      <c r="Q262" s="1871"/>
      <c r="S262" s="3487"/>
    </row>
    <row r="263" spans="2:19" ht="18.75" customHeight="1">
      <c r="B263" s="1762"/>
      <c r="C263" s="1802"/>
      <c r="D263" s="1802"/>
      <c r="E263" s="1753"/>
      <c r="F263" s="1753"/>
      <c r="G263" s="1753"/>
      <c r="H263" s="1753"/>
      <c r="I263" s="1753"/>
      <c r="J263" s="1753"/>
      <c r="K263" s="1753"/>
      <c r="L263" s="1753"/>
      <c r="M263" s="1753"/>
      <c r="N263" s="1753"/>
      <c r="O263" s="1753"/>
      <c r="P263" s="1753"/>
      <c r="Q263" s="1754"/>
      <c r="S263" s="3487"/>
    </row>
    <row r="264" spans="2:19" ht="12.75" customHeight="1">
      <c r="B264" s="1762"/>
      <c r="C264" s="258"/>
      <c r="D264" s="259"/>
      <c r="E264" s="260"/>
      <c r="F264" s="260"/>
      <c r="G264" s="260"/>
      <c r="H264" s="260"/>
      <c r="I264" s="260"/>
      <c r="J264" s="260"/>
      <c r="K264" s="260"/>
      <c r="L264" s="260"/>
      <c r="M264" s="260"/>
      <c r="N264" s="260"/>
      <c r="O264" s="260"/>
      <c r="P264" s="261"/>
      <c r="Q264" s="1754"/>
      <c r="S264" s="3487"/>
    </row>
    <row r="265" spans="2:19" ht="24" customHeight="1">
      <c r="B265" s="1762"/>
      <c r="C265" s="642" t="s">
        <v>3462</v>
      </c>
      <c r="D265" s="315"/>
      <c r="E265" s="85"/>
      <c r="F265" s="357"/>
      <c r="G265" s="357"/>
      <c r="H265" s="602"/>
      <c r="I265" s="55"/>
      <c r="J265" s="85"/>
      <c r="K265" s="85"/>
      <c r="L265" s="85"/>
      <c r="M265" s="357"/>
      <c r="N265" s="357"/>
      <c r="O265" s="976"/>
      <c r="P265" s="604"/>
      <c r="Q265" s="1754"/>
      <c r="S265" s="3487"/>
    </row>
    <row r="266" spans="2:19" ht="15.75" customHeight="1">
      <c r="B266" s="1762"/>
      <c r="C266" s="643" t="s">
        <v>602</v>
      </c>
      <c r="D266" s="315"/>
      <c r="E266" s="85"/>
      <c r="F266" s="357"/>
      <c r="G266" s="357"/>
      <c r="H266" s="602"/>
      <c r="I266" s="55"/>
      <c r="J266" s="85"/>
      <c r="K266" s="85"/>
      <c r="L266" s="85"/>
      <c r="M266" s="357"/>
      <c r="N266" s="357"/>
      <c r="O266" s="645"/>
      <c r="P266" s="604"/>
      <c r="Q266" s="1754"/>
      <c r="S266" s="3487"/>
    </row>
    <row r="267" spans="2:19" ht="18.75" customHeight="1">
      <c r="B267" s="1762"/>
      <c r="C267" s="356"/>
      <c r="D267" s="315"/>
      <c r="E267" s="85"/>
      <c r="F267" s="85"/>
      <c r="G267" s="85"/>
      <c r="H267" s="85"/>
      <c r="I267" s="55"/>
      <c r="J267" s="85"/>
      <c r="K267" s="85"/>
      <c r="L267" s="85"/>
      <c r="M267" s="85"/>
      <c r="N267" s="85"/>
      <c r="O267" s="85"/>
      <c r="P267" s="266"/>
      <c r="Q267" s="1754"/>
      <c r="S267" s="3487"/>
    </row>
    <row r="268" spans="2:19" s="72" customFormat="1" ht="21.75" customHeight="1" thickBot="1">
      <c r="B268" s="1762"/>
      <c r="C268" s="362"/>
      <c r="D268" s="3329" t="s">
        <v>28</v>
      </c>
      <c r="E268" s="3329"/>
      <c r="F268" s="3286" t="s">
        <v>603</v>
      </c>
      <c r="G268" s="3287"/>
      <c r="H268" s="3288"/>
      <c r="I268" s="619" t="s">
        <v>604</v>
      </c>
      <c r="J268" s="620"/>
      <c r="K268" s="620"/>
      <c r="L268" s="620"/>
      <c r="M268" s="620"/>
      <c r="N268" s="620"/>
      <c r="O268" s="351"/>
      <c r="P268" s="266"/>
      <c r="Q268" s="1754"/>
      <c r="S268" s="3487"/>
    </row>
    <row r="269" spans="2:19" ht="26.25" customHeight="1" thickTop="1">
      <c r="B269" s="1852" t="str">
        <f>IF(ISBLANK(F269)=FALSE,"","w")</f>
        <v>w</v>
      </c>
      <c r="C269" s="363"/>
      <c r="D269" s="3327" t="s">
        <v>47</v>
      </c>
      <c r="E269" s="3328"/>
      <c r="F269" s="3355"/>
      <c r="G269" s="3356"/>
      <c r="H269" s="3357"/>
      <c r="I269" s="3527"/>
      <c r="J269" s="3528"/>
      <c r="K269" s="3528"/>
      <c r="L269" s="3528"/>
      <c r="M269" s="3528"/>
      <c r="N269" s="3528"/>
      <c r="O269" s="3529"/>
      <c r="P269" s="266"/>
      <c r="Q269" s="1754"/>
      <c r="S269" s="3487"/>
    </row>
    <row r="270" spans="2:19" ht="26.25" customHeight="1">
      <c r="B270" s="1852" t="str">
        <f>IF(ISBLANK(F270)=FALSE,"","w")</f>
        <v>w</v>
      </c>
      <c r="C270" s="363"/>
      <c r="D270" s="3327" t="s">
        <v>46</v>
      </c>
      <c r="E270" s="3328"/>
      <c r="F270" s="3315"/>
      <c r="G270" s="3316"/>
      <c r="H270" s="3317"/>
      <c r="I270" s="3176"/>
      <c r="J270" s="3177"/>
      <c r="K270" s="3177"/>
      <c r="L270" s="3177"/>
      <c r="M270" s="3177"/>
      <c r="N270" s="3177"/>
      <c r="O270" s="3178"/>
      <c r="P270" s="266"/>
      <c r="Q270" s="1754"/>
      <c r="S270" s="3487"/>
    </row>
    <row r="271" spans="2:19" ht="26.25" customHeight="1">
      <c r="B271" s="1852" t="str">
        <f>IF(ISBLANK(F271)=FALSE,"","w")</f>
        <v>w</v>
      </c>
      <c r="C271" s="363"/>
      <c r="D271" s="3207" t="s">
        <v>45</v>
      </c>
      <c r="E271" s="3208"/>
      <c r="F271" s="3315"/>
      <c r="G271" s="3316"/>
      <c r="H271" s="3317"/>
      <c r="I271" s="3176"/>
      <c r="J271" s="3177"/>
      <c r="K271" s="3177"/>
      <c r="L271" s="3177"/>
      <c r="M271" s="3177"/>
      <c r="N271" s="3177"/>
      <c r="O271" s="3178"/>
      <c r="P271" s="266"/>
      <c r="Q271" s="1754"/>
      <c r="S271" s="3487"/>
    </row>
    <row r="272" spans="2:19" ht="26.25" customHeight="1">
      <c r="B272" s="1852" t="str">
        <f>IF(ISBLANK(F272)=FALSE,"","w")</f>
        <v>w</v>
      </c>
      <c r="C272" s="363"/>
      <c r="D272" s="3207" t="s">
        <v>43</v>
      </c>
      <c r="E272" s="3208"/>
      <c r="F272" s="3315"/>
      <c r="G272" s="3316"/>
      <c r="H272" s="3317"/>
      <c r="I272" s="3176"/>
      <c r="J272" s="3177"/>
      <c r="K272" s="3177"/>
      <c r="L272" s="3177"/>
      <c r="M272" s="3177"/>
      <c r="N272" s="3177"/>
      <c r="O272" s="3178"/>
      <c r="P272" s="266"/>
      <c r="Q272" s="1754"/>
      <c r="S272" s="3487"/>
    </row>
    <row r="273" spans="2:19" ht="26.25" customHeight="1">
      <c r="B273" s="1852" t="str">
        <f>IF(ISBLANK(F273)=FALSE,"","w")</f>
        <v>w</v>
      </c>
      <c r="C273" s="363"/>
      <c r="D273" s="3207" t="s">
        <v>44</v>
      </c>
      <c r="E273" s="3208"/>
      <c r="F273" s="3315"/>
      <c r="G273" s="3316"/>
      <c r="H273" s="3317"/>
      <c r="I273" s="3176"/>
      <c r="J273" s="3177"/>
      <c r="K273" s="3177"/>
      <c r="L273" s="3177"/>
      <c r="M273" s="3177"/>
      <c r="N273" s="3177"/>
      <c r="O273" s="3178"/>
      <c r="P273" s="266"/>
      <c r="Q273" s="1754"/>
      <c r="S273" s="3487"/>
    </row>
    <row r="274" spans="2:19" ht="26.25" customHeight="1">
      <c r="B274" s="1762"/>
      <c r="C274" s="363"/>
      <c r="D274" s="400" t="s">
        <v>605</v>
      </c>
      <c r="E274" s="713"/>
      <c r="F274" s="3294"/>
      <c r="G274" s="3295"/>
      <c r="H274" s="3296"/>
      <c r="I274" s="3303"/>
      <c r="J274" s="3304"/>
      <c r="K274" s="3304"/>
      <c r="L274" s="3304"/>
      <c r="M274" s="3304"/>
      <c r="N274" s="3304"/>
      <c r="O274" s="3305"/>
      <c r="P274" s="604"/>
      <c r="Q274" s="1754"/>
      <c r="S274" s="3487"/>
    </row>
    <row r="275" spans="2:19" ht="22.5" customHeight="1">
      <c r="B275" s="1762"/>
      <c r="C275" s="358"/>
      <c r="D275" s="359"/>
      <c r="E275" s="360"/>
      <c r="F275" s="361"/>
      <c r="G275" s="360"/>
      <c r="H275" s="602"/>
      <c r="I275" s="55"/>
      <c r="J275" s="645"/>
      <c r="K275" s="602"/>
      <c r="L275" s="645"/>
      <c r="M275" s="602"/>
      <c r="N275" s="645"/>
      <c r="O275" s="602"/>
      <c r="P275" s="604"/>
      <c r="Q275" s="1754"/>
      <c r="S275" s="3487"/>
    </row>
    <row r="276" spans="2:19" ht="20.25" customHeight="1">
      <c r="B276" s="1762"/>
      <c r="C276" s="3312" t="s">
        <v>606</v>
      </c>
      <c r="D276" s="3313"/>
      <c r="E276" s="3314"/>
      <c r="F276" s="3297"/>
      <c r="G276" s="3298"/>
      <c r="H276" s="3298"/>
      <c r="I276" s="3298"/>
      <c r="J276" s="3298"/>
      <c r="K276" s="3298"/>
      <c r="L276" s="3298"/>
      <c r="M276" s="3298"/>
      <c r="N276" s="3298"/>
      <c r="O276" s="3299"/>
      <c r="P276" s="604"/>
      <c r="Q276" s="1754"/>
      <c r="S276" s="3487"/>
    </row>
    <row r="277" spans="2:19" ht="20.25" customHeight="1">
      <c r="B277" s="1762"/>
      <c r="C277" s="3312"/>
      <c r="D277" s="3313"/>
      <c r="E277" s="3314"/>
      <c r="F277" s="3300"/>
      <c r="G277" s="3301"/>
      <c r="H277" s="3301"/>
      <c r="I277" s="3301"/>
      <c r="J277" s="3301"/>
      <c r="K277" s="3301"/>
      <c r="L277" s="3301"/>
      <c r="M277" s="3301"/>
      <c r="N277" s="3301"/>
      <c r="O277" s="3302"/>
      <c r="P277" s="604"/>
      <c r="Q277" s="1754"/>
      <c r="S277" s="3487"/>
    </row>
    <row r="278" spans="2:19" ht="13.5" customHeight="1">
      <c r="B278" s="1762"/>
      <c r="C278" s="664"/>
      <c r="D278" s="315"/>
      <c r="E278" s="645"/>
      <c r="F278" s="602"/>
      <c r="G278" s="645"/>
      <c r="H278" s="602"/>
      <c r="I278" s="55"/>
      <c r="J278" s="645"/>
      <c r="K278" s="602"/>
      <c r="L278" s="645"/>
      <c r="M278" s="602"/>
      <c r="N278" s="645"/>
      <c r="O278" s="602"/>
      <c r="P278" s="604"/>
      <c r="Q278" s="1754"/>
      <c r="S278" s="3487"/>
    </row>
    <row r="279" spans="2:19" ht="18" customHeight="1">
      <c r="B279" s="1762"/>
      <c r="C279" s="757" t="s">
        <v>607</v>
      </c>
      <c r="D279" s="758"/>
      <c r="E279" s="759"/>
      <c r="F279" s="760"/>
      <c r="G279" s="760"/>
      <c r="H279" s="761"/>
      <c r="I279" s="762"/>
      <c r="J279" s="759"/>
      <c r="K279" s="759"/>
      <c r="L279" s="759"/>
      <c r="M279" s="760"/>
      <c r="N279" s="760"/>
      <c r="O279" s="763"/>
      <c r="P279" s="604"/>
      <c r="Q279" s="1754"/>
      <c r="S279" s="3487"/>
    </row>
    <row r="280" spans="2:19" ht="18" customHeight="1">
      <c r="B280" s="1762"/>
      <c r="C280" s="765" t="s">
        <v>815</v>
      </c>
      <c r="D280" s="758"/>
      <c r="E280" s="759"/>
      <c r="F280" s="760"/>
      <c r="G280" s="760"/>
      <c r="H280" s="761"/>
      <c r="I280" s="762"/>
      <c r="J280" s="614"/>
      <c r="K280" s="766"/>
      <c r="L280" s="759"/>
      <c r="M280" s="760"/>
      <c r="N280" s="760"/>
      <c r="O280" s="763"/>
      <c r="P280" s="604"/>
      <c r="Q280" s="1754"/>
      <c r="S280" s="3487"/>
    </row>
    <row r="281" spans="2:19" ht="16.5" customHeight="1">
      <c r="B281" s="1762"/>
      <c r="C281" s="767"/>
      <c r="D281" s="758"/>
      <c r="E281" s="759"/>
      <c r="F281" s="760"/>
      <c r="G281" s="760"/>
      <c r="H281" s="761"/>
      <c r="I281" s="762"/>
      <c r="J281" s="768" t="s">
        <v>584</v>
      </c>
      <c r="K281" s="614"/>
      <c r="L281" s="759"/>
      <c r="M281" s="760"/>
      <c r="N281" s="760"/>
      <c r="O281" s="763"/>
      <c r="P281" s="604"/>
      <c r="Q281" s="1754"/>
      <c r="S281" s="3487"/>
    </row>
    <row r="282" spans="2:19" ht="18" customHeight="1">
      <c r="B282" s="1762"/>
      <c r="C282" s="601"/>
      <c r="D282" s="277"/>
      <c r="E282" s="306"/>
      <c r="F282" s="306"/>
      <c r="G282" s="306"/>
      <c r="H282" s="306"/>
      <c r="I282" s="271"/>
      <c r="J282" s="306"/>
      <c r="K282" s="306"/>
      <c r="L282" s="306"/>
      <c r="M282" s="306"/>
      <c r="N282" s="306"/>
      <c r="O282" s="306"/>
      <c r="P282" s="307"/>
      <c r="Q282" s="1754"/>
      <c r="S282" s="3487"/>
    </row>
    <row r="283" spans="2:19" ht="14.25" customHeight="1">
      <c r="B283" s="1762"/>
      <c r="C283" s="1859"/>
      <c r="D283" s="1753"/>
      <c r="E283" s="1753"/>
      <c r="F283" s="1753"/>
      <c r="G283" s="1753"/>
      <c r="H283" s="1753"/>
      <c r="I283" s="1753"/>
      <c r="J283" s="1753"/>
      <c r="K283" s="1753"/>
      <c r="L283" s="1753"/>
      <c r="M283" s="1753"/>
      <c r="N283" s="1753"/>
      <c r="O283" s="1753"/>
      <c r="P283" s="1753"/>
      <c r="Q283" s="1754"/>
      <c r="S283" s="3487"/>
    </row>
    <row r="284" spans="2:19" ht="17.25" customHeight="1">
      <c r="B284" s="1762"/>
      <c r="C284" s="1860" t="s">
        <v>567</v>
      </c>
      <c r="D284" s="1753"/>
      <c r="E284" s="1753"/>
      <c r="F284" s="1753"/>
      <c r="G284" s="1753"/>
      <c r="H284" s="1753"/>
      <c r="I284" s="1753"/>
      <c r="J284" s="1753"/>
      <c r="K284" s="1753"/>
      <c r="L284" s="1753"/>
      <c r="M284" s="1753"/>
      <c r="N284" s="1753"/>
      <c r="O284" s="1753"/>
      <c r="P284" s="1753"/>
      <c r="Q284" s="1754"/>
      <c r="S284" s="3487"/>
    </row>
    <row r="285" spans="2:19" ht="18" customHeight="1">
      <c r="B285" s="1762"/>
      <c r="C285" s="1751"/>
      <c r="D285" s="1861"/>
      <c r="E285" s="3706" t="s">
        <v>568</v>
      </c>
      <c r="F285" s="3706"/>
      <c r="G285" s="3706"/>
      <c r="H285" s="3707"/>
      <c r="I285" s="353" t="str">
        <f>IF((OR(ISBLANK(F617),ISBLANK(F618),ISBLANK(K617),ISBLANK(K618))=FALSE),"Complété","À compléter")</f>
        <v>À compléter</v>
      </c>
      <c r="J285" s="3708" t="s">
        <v>3454</v>
      </c>
      <c r="K285" s="3708"/>
      <c r="L285" s="3708"/>
      <c r="M285" s="3708"/>
      <c r="N285" s="3708"/>
      <c r="O285" s="3708"/>
      <c r="P285" s="3708"/>
      <c r="Q285" s="1754"/>
      <c r="S285" s="3487"/>
    </row>
    <row r="286" spans="2:19" ht="6.75" customHeight="1">
      <c r="B286" s="1762"/>
      <c r="C286" s="1753"/>
      <c r="D286" s="1861"/>
      <c r="E286" s="1861"/>
      <c r="F286" s="1861"/>
      <c r="G286" s="1861"/>
      <c r="H286" s="1861"/>
      <c r="I286" s="1753"/>
      <c r="J286" s="1863"/>
      <c r="K286" s="1863"/>
      <c r="L286" s="1863"/>
      <c r="M286" s="1863"/>
      <c r="N286" s="1863"/>
      <c r="O286" s="1863"/>
      <c r="P286" s="1863"/>
      <c r="Q286" s="1754"/>
      <c r="S286" s="3487"/>
    </row>
    <row r="287" spans="2:19" ht="18" customHeight="1">
      <c r="B287" s="1762"/>
      <c r="C287" s="1753"/>
      <c r="D287" s="3706" t="s">
        <v>569</v>
      </c>
      <c r="E287" s="3706"/>
      <c r="F287" s="3706"/>
      <c r="G287" s="3706"/>
      <c r="H287" s="3707"/>
      <c r="I287" s="353" t="str">
        <f>IF((OR(ISBLANK(F679),ISBLANK(K679))=FALSE),"Complété","À compléter")</f>
        <v>À compléter</v>
      </c>
      <c r="J287" s="3708" t="s">
        <v>3455</v>
      </c>
      <c r="K287" s="3708"/>
      <c r="L287" s="3708"/>
      <c r="M287" s="3708"/>
      <c r="N287" s="3708"/>
      <c r="O287" s="3708"/>
      <c r="P287" s="3708"/>
      <c r="Q287" s="1754"/>
      <c r="S287" s="3487"/>
    </row>
    <row r="288" spans="2:19" ht="17.25" customHeight="1">
      <c r="B288" s="1762"/>
      <c r="C288" s="1753"/>
      <c r="D288" s="1862"/>
      <c r="E288" s="1862"/>
      <c r="F288" s="1862"/>
      <c r="G288" s="1862"/>
      <c r="H288" s="1862"/>
      <c r="I288" s="1866"/>
      <c r="J288" s="1864"/>
      <c r="K288" s="1864"/>
      <c r="L288" s="1864"/>
      <c r="M288" s="1864"/>
      <c r="N288" s="1864"/>
      <c r="O288" s="1864"/>
      <c r="P288" s="1864"/>
      <c r="Q288" s="1754"/>
      <c r="S288" s="3487"/>
    </row>
    <row r="289" spans="1:19" ht="18" customHeight="1">
      <c r="B289" s="1762"/>
      <c r="C289" s="1865" t="s">
        <v>570</v>
      </c>
      <c r="D289" s="1862"/>
      <c r="E289" s="1862"/>
      <c r="F289" s="1862"/>
      <c r="G289" s="1751"/>
      <c r="H289" s="3709" t="s">
        <v>608</v>
      </c>
      <c r="I289" s="3709"/>
      <c r="J289" s="1751"/>
      <c r="K289" s="1751"/>
      <c r="L289" s="1864"/>
      <c r="M289" s="1864"/>
      <c r="N289" s="1864"/>
      <c r="O289" s="1864"/>
      <c r="P289" s="1864"/>
      <c r="Q289" s="1754"/>
      <c r="S289" s="3487"/>
    </row>
    <row r="290" spans="1:19" ht="13.5" customHeight="1" thickBot="1">
      <c r="B290" s="1853"/>
      <c r="C290" s="1787"/>
      <c r="D290" s="1787"/>
      <c r="E290" s="1787"/>
      <c r="F290" s="1787"/>
      <c r="G290" s="1787"/>
      <c r="H290" s="1787"/>
      <c r="I290" s="1787"/>
      <c r="J290" s="1787"/>
      <c r="K290" s="1787"/>
      <c r="L290" s="1787"/>
      <c r="M290" s="1787"/>
      <c r="N290" s="1787"/>
      <c r="O290" s="1787"/>
      <c r="P290" s="1787"/>
      <c r="Q290" s="1854"/>
      <c r="S290" s="3488"/>
    </row>
    <row r="291" spans="1:19" ht="15" thickBot="1">
      <c r="B291" s="683"/>
      <c r="S291" s="614"/>
    </row>
    <row r="292" spans="1:19" ht="22.5" customHeight="1" thickBot="1">
      <c r="A292" s="1187"/>
      <c r="B292" s="1718" t="s">
        <v>609</v>
      </c>
      <c r="C292" s="1718"/>
      <c r="D292" s="1718"/>
      <c r="E292" s="1718"/>
      <c r="F292" s="1718"/>
      <c r="G292" s="1718"/>
      <c r="H292" s="1718"/>
      <c r="I292" s="1718"/>
      <c r="J292" s="1718"/>
      <c r="K292" s="1718"/>
      <c r="L292" s="1723"/>
      <c r="M292" s="1723"/>
      <c r="N292" s="1723"/>
      <c r="O292" s="3700" t="s">
        <v>155</v>
      </c>
      <c r="P292" s="3700"/>
      <c r="Q292" s="3700"/>
      <c r="S292" s="615" t="s">
        <v>521</v>
      </c>
    </row>
    <row r="293" spans="1:19" ht="9.75" customHeight="1" thickBot="1">
      <c r="S293" s="616"/>
    </row>
    <row r="294" spans="1:19" ht="8.25" customHeight="1">
      <c r="B294" s="1791"/>
      <c r="C294" s="1792"/>
      <c r="D294" s="1792"/>
      <c r="E294" s="1793"/>
      <c r="F294" s="1794"/>
      <c r="G294" s="1794"/>
      <c r="H294" s="1794"/>
      <c r="I294" s="1794"/>
      <c r="J294" s="1794"/>
      <c r="K294" s="1794"/>
      <c r="L294" s="1794"/>
      <c r="M294" s="1794"/>
      <c r="N294" s="1794"/>
      <c r="O294" s="1794"/>
      <c r="P294" s="1794"/>
      <c r="Q294" s="1795"/>
      <c r="S294" s="3486"/>
    </row>
    <row r="295" spans="1:19" ht="18" customHeight="1">
      <c r="B295" s="1844"/>
      <c r="C295" s="1797" t="s">
        <v>610</v>
      </c>
      <c r="D295" s="1797"/>
      <c r="E295" s="1845"/>
      <c r="F295" s="1751"/>
      <c r="G295" s="1751"/>
      <c r="H295" s="1751"/>
      <c r="I295" s="1751"/>
      <c r="J295" s="1751"/>
      <c r="K295" s="1751"/>
      <c r="L295" s="1751"/>
      <c r="M295" s="1751"/>
      <c r="N295" s="1846" t="s">
        <v>219</v>
      </c>
      <c r="O295" s="353" t="str">
        <f>IF(OR(ISBLANK(H302))=FALSE,"Complété","À compléter")</f>
        <v>À compléter</v>
      </c>
      <c r="P295" s="1751"/>
      <c r="Q295" s="1851"/>
      <c r="S295" s="3487"/>
    </row>
    <row r="296" spans="1:19" ht="8.25" customHeight="1">
      <c r="B296" s="1847"/>
      <c r="C296" s="1848"/>
      <c r="D296" s="1848"/>
      <c r="E296" s="1848"/>
      <c r="F296" s="1751"/>
      <c r="G296" s="1751"/>
      <c r="H296" s="1751"/>
      <c r="I296" s="1751"/>
      <c r="J296" s="1751"/>
      <c r="K296" s="1751"/>
      <c r="L296" s="1751"/>
      <c r="M296" s="1751"/>
      <c r="N296" s="1751"/>
      <c r="O296" s="1751"/>
      <c r="P296" s="1751"/>
      <c r="Q296" s="1851"/>
      <c r="S296" s="3487"/>
    </row>
    <row r="297" spans="1:19" ht="17.25" customHeight="1">
      <c r="B297" s="1847"/>
      <c r="C297" s="3701" t="s">
        <v>531</v>
      </c>
      <c r="D297" s="3701"/>
      <c r="E297" s="3701"/>
      <c r="F297" s="3701"/>
      <c r="G297" s="3701"/>
      <c r="H297" s="3701"/>
      <c r="I297" s="3701"/>
      <c r="J297" s="3701"/>
      <c r="K297" s="3701"/>
      <c r="L297" s="3701"/>
      <c r="M297" s="3701"/>
      <c r="N297" s="1751"/>
      <c r="O297" s="1751"/>
      <c r="P297" s="1751"/>
      <c r="Q297" s="1851"/>
      <c r="S297" s="3487"/>
    </row>
    <row r="298" spans="1:19" ht="15" customHeight="1">
      <c r="B298" s="1847"/>
      <c r="C298" s="1848"/>
      <c r="D298" s="1848"/>
      <c r="E298" s="1848"/>
      <c r="F298" s="1751"/>
      <c r="G298" s="1751"/>
      <c r="H298" s="1751"/>
      <c r="I298" s="1751"/>
      <c r="J298" s="1751"/>
      <c r="K298" s="1751"/>
      <c r="L298" s="1751"/>
      <c r="M298" s="1751"/>
      <c r="N298" s="1751"/>
      <c r="O298" s="1751"/>
      <c r="P298" s="1751"/>
      <c r="Q298" s="1851"/>
      <c r="S298" s="3487"/>
    </row>
    <row r="299" spans="1:19" ht="18.75" customHeight="1">
      <c r="B299" s="1762"/>
      <c r="C299" s="1870" t="s">
        <v>3463</v>
      </c>
      <c r="D299" s="1802"/>
      <c r="E299" s="1753"/>
      <c r="F299" s="1753"/>
      <c r="G299" s="1753"/>
      <c r="H299" s="1753"/>
      <c r="I299" s="1753"/>
      <c r="J299" s="1753"/>
      <c r="K299" s="1753"/>
      <c r="L299" s="1753"/>
      <c r="M299" s="1753"/>
      <c r="N299" s="1753"/>
      <c r="O299" s="1753"/>
      <c r="P299" s="1753"/>
      <c r="Q299" s="1754"/>
      <c r="S299" s="3487"/>
    </row>
    <row r="300" spans="1:19" ht="6" customHeight="1">
      <c r="B300" s="1762"/>
      <c r="C300" s="1857"/>
      <c r="D300" s="1802"/>
      <c r="E300" s="1753"/>
      <c r="F300" s="1753"/>
      <c r="G300" s="1753"/>
      <c r="H300" s="1753"/>
      <c r="I300" s="1753"/>
      <c r="J300" s="1753"/>
      <c r="K300" s="1753"/>
      <c r="L300" s="1753"/>
      <c r="M300" s="1753"/>
      <c r="N300" s="1753"/>
      <c r="O300" s="1753"/>
      <c r="P300" s="1753"/>
      <c r="Q300" s="1754"/>
      <c r="S300" s="3487"/>
    </row>
    <row r="301" spans="1:19" ht="14.25" customHeight="1">
      <c r="B301" s="1762"/>
      <c r="C301" s="635"/>
      <c r="D301" s="259"/>
      <c r="E301" s="260"/>
      <c r="F301" s="260"/>
      <c r="G301" s="260"/>
      <c r="H301" s="260"/>
      <c r="I301" s="260"/>
      <c r="J301" s="260"/>
      <c r="K301" s="260"/>
      <c r="L301" s="260"/>
      <c r="M301" s="260"/>
      <c r="N301" s="260"/>
      <c r="O301" s="260"/>
      <c r="P301" s="261"/>
      <c r="Q301" s="1754"/>
      <c r="S301" s="3487"/>
    </row>
    <row r="302" spans="1:19" ht="15.75" customHeight="1">
      <c r="B302" s="1852" t="str">
        <f>IF(ISBLANK(H302)=FALSE,"","u")</f>
        <v>u</v>
      </c>
      <c r="C302" s="3351" t="s">
        <v>3480</v>
      </c>
      <c r="D302" s="3352"/>
      <c r="E302" s="3352"/>
      <c r="F302" s="3352"/>
      <c r="G302" s="3352"/>
      <c r="H302" s="3306"/>
      <c r="I302" s="3307"/>
      <c r="J302" s="3307"/>
      <c r="K302" s="3308"/>
      <c r="L302" s="3531" t="str">
        <f>IF(OR(ISBLANK(H302),H302='MENU DÉROULANT'!C97),"","Vous pouvez donc passer à la section suivante du PGA.")</f>
        <v/>
      </c>
      <c r="M302" s="3532"/>
      <c r="N302" s="3532"/>
      <c r="O302" s="3532"/>
      <c r="P302" s="266"/>
      <c r="Q302" s="1754"/>
      <c r="S302" s="3487"/>
    </row>
    <row r="303" spans="1:19" ht="15.75" customHeight="1">
      <c r="B303" s="1852" t="s">
        <v>552</v>
      </c>
      <c r="C303" s="3351"/>
      <c r="D303" s="3352"/>
      <c r="E303" s="3352"/>
      <c r="F303" s="3352"/>
      <c r="G303" s="3352"/>
      <c r="H303" s="3309"/>
      <c r="I303" s="3310"/>
      <c r="J303" s="3310"/>
      <c r="K303" s="3311"/>
      <c r="L303" s="3222" t="str">
        <f>IF(OR(ISBLANK(H302),H302='MENU DÉROULANT'!C97),"","Notez toutefois que dans ce cas, aucun visuel n'apparaitra dans le sommaire concernant la gestion de la demande à venir.")</f>
        <v/>
      </c>
      <c r="M303" s="3222"/>
      <c r="N303" s="3222"/>
      <c r="O303" s="3222"/>
      <c r="P303" s="673"/>
      <c r="Q303" s="1871"/>
      <c r="S303" s="3487"/>
    </row>
    <row r="304" spans="1:19" ht="16.5" customHeight="1">
      <c r="B304" s="1762"/>
      <c r="C304" s="636"/>
      <c r="D304" s="634"/>
      <c r="E304" s="85"/>
      <c r="F304" s="85"/>
      <c r="G304" s="85"/>
      <c r="H304" s="85"/>
      <c r="I304" s="85"/>
      <c r="J304" s="85"/>
      <c r="K304" s="85"/>
      <c r="L304" s="3223"/>
      <c r="M304" s="3223"/>
      <c r="N304" s="3223"/>
      <c r="O304" s="3223"/>
      <c r="P304" s="605"/>
      <c r="Q304" s="1871"/>
      <c r="S304" s="3487"/>
    </row>
    <row r="305" spans="2:19" ht="31.5" customHeight="1">
      <c r="B305" s="1852"/>
      <c r="C305" s="379"/>
      <c r="D305" s="291"/>
      <c r="E305" s="645"/>
      <c r="F305" s="3179" t="s">
        <v>539</v>
      </c>
      <c r="G305" s="3179"/>
      <c r="H305" s="3090"/>
      <c r="I305" s="3091"/>
      <c r="J305" s="3091"/>
      <c r="K305" s="3091"/>
      <c r="L305" s="3091"/>
      <c r="M305" s="3091"/>
      <c r="N305" s="3091"/>
      <c r="O305" s="3092"/>
      <c r="P305" s="604"/>
      <c r="Q305" s="1754"/>
      <c r="S305" s="3487"/>
    </row>
    <row r="306" spans="2:19" ht="15" customHeight="1">
      <c r="B306" s="1762"/>
      <c r="C306" s="637"/>
      <c r="D306" s="638"/>
      <c r="E306" s="306"/>
      <c r="F306" s="306"/>
      <c r="G306" s="306"/>
      <c r="H306" s="306"/>
      <c r="I306" s="306"/>
      <c r="J306" s="306"/>
      <c r="K306" s="306"/>
      <c r="L306" s="306"/>
      <c r="M306" s="639"/>
      <c r="N306" s="639"/>
      <c r="O306" s="639"/>
      <c r="P306" s="640"/>
      <c r="Q306" s="1871"/>
      <c r="S306" s="3487"/>
    </row>
    <row r="307" spans="2:19" ht="18.75" customHeight="1">
      <c r="B307" s="1762"/>
      <c r="C307" s="1802"/>
      <c r="D307" s="1802"/>
      <c r="E307" s="1753"/>
      <c r="F307" s="1753"/>
      <c r="G307" s="1753"/>
      <c r="H307" s="1753"/>
      <c r="I307" s="1753"/>
      <c r="J307" s="1753"/>
      <c r="K307" s="1753"/>
      <c r="L307" s="1753"/>
      <c r="M307" s="1753"/>
      <c r="N307" s="1753"/>
      <c r="O307" s="1753"/>
      <c r="P307" s="1753"/>
      <c r="Q307" s="1754"/>
      <c r="S307" s="3487"/>
    </row>
    <row r="308" spans="2:19" ht="10.5" customHeight="1">
      <c r="B308" s="1762"/>
      <c r="C308" s="258"/>
      <c r="D308" s="259"/>
      <c r="E308" s="260"/>
      <c r="F308" s="260"/>
      <c r="G308" s="260"/>
      <c r="H308" s="260"/>
      <c r="I308" s="260"/>
      <c r="J308" s="260"/>
      <c r="K308" s="260"/>
      <c r="L308" s="260"/>
      <c r="M308" s="260"/>
      <c r="N308" s="260"/>
      <c r="O308" s="260"/>
      <c r="P308" s="261"/>
      <c r="Q308" s="1754"/>
      <c r="S308" s="3487"/>
    </row>
    <row r="309" spans="2:19" ht="21.75" customHeight="1">
      <c r="B309" s="1762"/>
      <c r="C309" s="644" t="s">
        <v>3465</v>
      </c>
      <c r="D309" s="315"/>
      <c r="E309" s="85"/>
      <c r="F309" s="357"/>
      <c r="G309" s="357"/>
      <c r="H309" s="602"/>
      <c r="I309" s="55"/>
      <c r="J309" s="85"/>
      <c r="K309" s="85"/>
      <c r="L309" s="85"/>
      <c r="M309" s="357"/>
      <c r="N309" s="357"/>
      <c r="O309" s="976"/>
      <c r="P309" s="604"/>
      <c r="Q309" s="1754"/>
      <c r="S309" s="3487"/>
    </row>
    <row r="310" spans="2:19" ht="15.75" customHeight="1">
      <c r="B310" s="1762"/>
      <c r="C310" s="356"/>
      <c r="D310" s="315"/>
      <c r="E310" s="85"/>
      <c r="F310" s="85"/>
      <c r="G310" s="85"/>
      <c r="H310" s="85"/>
      <c r="I310" s="55"/>
      <c r="J310" s="85"/>
      <c r="K310" s="85"/>
      <c r="L310" s="85"/>
      <c r="M310" s="85"/>
      <c r="N310" s="85"/>
      <c r="O310" s="85"/>
      <c r="P310" s="266"/>
      <c r="Q310" s="1754"/>
      <c r="S310" s="3487"/>
    </row>
    <row r="311" spans="2:19" s="72" customFormat="1" ht="21.75" customHeight="1" thickBot="1">
      <c r="B311" s="1762"/>
      <c r="C311" s="362"/>
      <c r="D311" s="3329" t="s">
        <v>27</v>
      </c>
      <c r="E311" s="3329"/>
      <c r="F311" s="3286" t="s">
        <v>611</v>
      </c>
      <c r="G311" s="3287"/>
      <c r="H311" s="3288"/>
      <c r="I311" s="619" t="s">
        <v>612</v>
      </c>
      <c r="J311" s="621"/>
      <c r="K311" s="620"/>
      <c r="L311" s="620"/>
      <c r="M311" s="620"/>
      <c r="N311" s="620"/>
      <c r="O311" s="351"/>
      <c r="P311" s="266"/>
      <c r="Q311" s="1754"/>
      <c r="S311" s="3487"/>
    </row>
    <row r="312" spans="2:19" ht="35.25" customHeight="1" thickTop="1">
      <c r="B312" s="1852" t="str">
        <f>IF(ISBLANK(F312)=FALSE,"","w")</f>
        <v>w</v>
      </c>
      <c r="C312" s="363"/>
      <c r="D312" s="3327" t="s">
        <v>37</v>
      </c>
      <c r="E312" s="3328"/>
      <c r="F312" s="3355"/>
      <c r="G312" s="3356"/>
      <c r="H312" s="3357"/>
      <c r="I312" s="3527"/>
      <c r="J312" s="3528"/>
      <c r="K312" s="3528"/>
      <c r="L312" s="3528"/>
      <c r="M312" s="3528"/>
      <c r="N312" s="3528"/>
      <c r="O312" s="3529"/>
      <c r="P312" s="266"/>
      <c r="Q312" s="1754"/>
      <c r="S312" s="3487"/>
    </row>
    <row r="313" spans="2:19" ht="35.25" customHeight="1">
      <c r="B313" s="1852" t="str">
        <f>IF(ISBLANK(F313)=FALSE,"","w")</f>
        <v>w</v>
      </c>
      <c r="C313" s="363"/>
      <c r="D313" s="3207" t="s">
        <v>38</v>
      </c>
      <c r="E313" s="3208"/>
      <c r="F313" s="3315"/>
      <c r="G313" s="3316"/>
      <c r="H313" s="3317"/>
      <c r="I313" s="3176"/>
      <c r="J313" s="3177"/>
      <c r="K313" s="3177"/>
      <c r="L313" s="3177"/>
      <c r="M313" s="3177"/>
      <c r="N313" s="3177"/>
      <c r="O313" s="3178"/>
      <c r="P313" s="266"/>
      <c r="Q313" s="1754"/>
      <c r="S313" s="3487"/>
    </row>
    <row r="314" spans="2:19" ht="35.25" customHeight="1">
      <c r="B314" s="1852" t="str">
        <f>IF(ISBLANK(F314)=FALSE,"","w")</f>
        <v>w</v>
      </c>
      <c r="C314" s="363"/>
      <c r="D314" s="3207" t="s">
        <v>39</v>
      </c>
      <c r="E314" s="3208"/>
      <c r="F314" s="3315"/>
      <c r="G314" s="3316"/>
      <c r="H314" s="3317"/>
      <c r="I314" s="3176"/>
      <c r="J314" s="3177"/>
      <c r="K314" s="3177"/>
      <c r="L314" s="3177"/>
      <c r="M314" s="3177"/>
      <c r="N314" s="3177"/>
      <c r="O314" s="3178"/>
      <c r="P314" s="266"/>
      <c r="Q314" s="1754"/>
      <c r="S314" s="3487"/>
    </row>
    <row r="315" spans="2:19" ht="35.25" customHeight="1">
      <c r="B315" s="1852" t="str">
        <f>IF(ISBLANK(F315)=FALSE,"","w")</f>
        <v>w</v>
      </c>
      <c r="C315" s="363"/>
      <c r="D315" s="3207" t="s">
        <v>40</v>
      </c>
      <c r="E315" s="3208"/>
      <c r="F315" s="3315"/>
      <c r="G315" s="3316"/>
      <c r="H315" s="3317"/>
      <c r="I315" s="3176"/>
      <c r="J315" s="3177"/>
      <c r="K315" s="3177"/>
      <c r="L315" s="3177"/>
      <c r="M315" s="3177"/>
      <c r="N315" s="3177"/>
      <c r="O315" s="3178"/>
      <c r="P315" s="266"/>
      <c r="Q315" s="1754"/>
      <c r="S315" s="3487"/>
    </row>
    <row r="316" spans="2:19" ht="35.25" customHeight="1">
      <c r="B316" s="1852" t="str">
        <f>IF(ISBLANK(F316)=FALSE,"","w")</f>
        <v>w</v>
      </c>
      <c r="C316" s="363"/>
      <c r="D316" s="3207" t="s">
        <v>41</v>
      </c>
      <c r="E316" s="3208"/>
      <c r="F316" s="3315"/>
      <c r="G316" s="3316"/>
      <c r="H316" s="3317"/>
      <c r="I316" s="3176"/>
      <c r="J316" s="3177"/>
      <c r="K316" s="3177"/>
      <c r="L316" s="3177"/>
      <c r="M316" s="3177"/>
      <c r="N316" s="3177"/>
      <c r="O316" s="3178"/>
      <c r="P316" s="266"/>
      <c r="Q316" s="1754"/>
      <c r="S316" s="3487"/>
    </row>
    <row r="317" spans="2:19" ht="35.25" customHeight="1">
      <c r="B317" s="1762"/>
      <c r="C317" s="363"/>
      <c r="D317" s="400" t="s">
        <v>605</v>
      </c>
      <c r="E317" s="1020"/>
      <c r="F317" s="3294"/>
      <c r="G317" s="3295"/>
      <c r="H317" s="3296"/>
      <c r="I317" s="3303"/>
      <c r="J317" s="3304"/>
      <c r="K317" s="3304"/>
      <c r="L317" s="3304"/>
      <c r="M317" s="3304"/>
      <c r="N317" s="3304"/>
      <c r="O317" s="3305"/>
      <c r="P317" s="604"/>
      <c r="Q317" s="1754"/>
      <c r="S317" s="3487"/>
    </row>
    <row r="318" spans="2:19" ht="22.5" customHeight="1">
      <c r="B318" s="1762"/>
      <c r="C318" s="358"/>
      <c r="D318" s="359"/>
      <c r="E318" s="360"/>
      <c r="F318" s="361"/>
      <c r="G318" s="360"/>
      <c r="H318" s="602"/>
      <c r="I318" s="55"/>
      <c r="J318" s="645"/>
      <c r="K318" s="602"/>
      <c r="L318" s="645"/>
      <c r="M318" s="602"/>
      <c r="N318" s="645"/>
      <c r="O318" s="602"/>
      <c r="P318" s="604"/>
      <c r="Q318" s="1754"/>
      <c r="S318" s="3487"/>
    </row>
    <row r="319" spans="2:19" ht="20.25" customHeight="1">
      <c r="B319" s="1762"/>
      <c r="C319" s="3312" t="s">
        <v>613</v>
      </c>
      <c r="D319" s="3313"/>
      <c r="E319" s="3314"/>
      <c r="F319" s="3297"/>
      <c r="G319" s="3298"/>
      <c r="H319" s="3298"/>
      <c r="I319" s="3298"/>
      <c r="J319" s="3298"/>
      <c r="K319" s="3298"/>
      <c r="L319" s="3298"/>
      <c r="M319" s="3298"/>
      <c r="N319" s="3298"/>
      <c r="O319" s="3299"/>
      <c r="P319" s="604"/>
      <c r="Q319" s="1754"/>
      <c r="S319" s="3487"/>
    </row>
    <row r="320" spans="2:19" ht="20.25" customHeight="1">
      <c r="B320" s="1762"/>
      <c r="C320" s="3312"/>
      <c r="D320" s="3313"/>
      <c r="E320" s="3314"/>
      <c r="F320" s="3300"/>
      <c r="G320" s="3301"/>
      <c r="H320" s="3301"/>
      <c r="I320" s="3301"/>
      <c r="J320" s="3301"/>
      <c r="K320" s="3301"/>
      <c r="L320" s="3301"/>
      <c r="M320" s="3301"/>
      <c r="N320" s="3301"/>
      <c r="O320" s="3302"/>
      <c r="P320" s="604"/>
      <c r="Q320" s="1754"/>
      <c r="S320" s="3487"/>
    </row>
    <row r="321" spans="1:19" ht="17.25" customHeight="1">
      <c r="B321" s="1762"/>
      <c r="C321" s="664"/>
      <c r="D321" s="315"/>
      <c r="E321" s="645"/>
      <c r="F321" s="602"/>
      <c r="G321" s="645"/>
      <c r="H321" s="602"/>
      <c r="I321" s="55"/>
      <c r="J321" s="645"/>
      <c r="K321" s="602"/>
      <c r="L321" s="645"/>
      <c r="M321" s="602"/>
      <c r="N321" s="645"/>
      <c r="O321" s="602"/>
      <c r="P321" s="604"/>
      <c r="Q321" s="1754"/>
      <c r="S321" s="3487"/>
    </row>
    <row r="322" spans="1:19" ht="18" customHeight="1">
      <c r="B322" s="1762"/>
      <c r="C322" s="757" t="s">
        <v>614</v>
      </c>
      <c r="D322" s="758"/>
      <c r="E322" s="759"/>
      <c r="F322" s="760"/>
      <c r="G322" s="760"/>
      <c r="H322" s="761"/>
      <c r="I322" s="762"/>
      <c r="J322" s="759"/>
      <c r="K322" s="759"/>
      <c r="L322" s="759"/>
      <c r="M322" s="760"/>
      <c r="N322" s="760"/>
      <c r="O322" s="763"/>
      <c r="P322" s="764"/>
      <c r="Q322" s="1754"/>
      <c r="S322" s="3487"/>
    </row>
    <row r="323" spans="1:19" ht="18" customHeight="1">
      <c r="B323" s="1762"/>
      <c r="C323" s="765" t="s">
        <v>815</v>
      </c>
      <c r="D323" s="758"/>
      <c r="E323" s="759"/>
      <c r="F323" s="760"/>
      <c r="G323" s="760"/>
      <c r="H323" s="761"/>
      <c r="I323" s="762"/>
      <c r="J323" s="614"/>
      <c r="K323" s="766"/>
      <c r="L323" s="759"/>
      <c r="M323" s="760"/>
      <c r="N323" s="760"/>
      <c r="O323" s="763"/>
      <c r="P323" s="764"/>
      <c r="Q323" s="1754"/>
      <c r="S323" s="3487"/>
    </row>
    <row r="324" spans="1:19" ht="16.5" customHeight="1">
      <c r="B324" s="1762"/>
      <c r="C324" s="767"/>
      <c r="D324" s="758"/>
      <c r="E324" s="759"/>
      <c r="F324" s="760"/>
      <c r="G324" s="760"/>
      <c r="H324" s="761"/>
      <c r="I324" s="762"/>
      <c r="J324" s="768" t="s">
        <v>584</v>
      </c>
      <c r="K324" s="614"/>
      <c r="L324" s="759"/>
      <c r="M324" s="760"/>
      <c r="N324" s="760"/>
      <c r="O324" s="763"/>
      <c r="P324" s="764"/>
      <c r="Q324" s="1754"/>
      <c r="S324" s="3487"/>
    </row>
    <row r="325" spans="1:19" ht="18" customHeight="1">
      <c r="B325" s="1762"/>
      <c r="C325" s="601"/>
      <c r="D325" s="277"/>
      <c r="E325" s="306"/>
      <c r="F325" s="306"/>
      <c r="G325" s="306"/>
      <c r="H325" s="306"/>
      <c r="I325" s="271"/>
      <c r="J325" s="306"/>
      <c r="K325" s="306"/>
      <c r="L325" s="306"/>
      <c r="M325" s="306"/>
      <c r="N325" s="306"/>
      <c r="O325" s="306"/>
      <c r="P325" s="307"/>
      <c r="Q325" s="1754"/>
      <c r="S325" s="3487"/>
    </row>
    <row r="326" spans="1:19" ht="18.75" customHeight="1">
      <c r="B326" s="1762"/>
      <c r="C326" s="1859"/>
      <c r="D326" s="1753"/>
      <c r="E326" s="1753"/>
      <c r="F326" s="1753"/>
      <c r="G326" s="1753"/>
      <c r="H326" s="1753"/>
      <c r="I326" s="1753"/>
      <c r="J326" s="1753"/>
      <c r="K326" s="1753"/>
      <c r="L326" s="1753"/>
      <c r="M326" s="1753"/>
      <c r="N326" s="1753"/>
      <c r="O326" s="1753"/>
      <c r="P326" s="1753"/>
      <c r="Q326" s="1754"/>
      <c r="S326" s="3487"/>
    </row>
    <row r="327" spans="1:19" ht="17.25" customHeight="1">
      <c r="B327" s="1762"/>
      <c r="C327" s="1860" t="s">
        <v>567</v>
      </c>
      <c r="D327" s="1753"/>
      <c r="E327" s="1753"/>
      <c r="F327" s="1753"/>
      <c r="G327" s="1753"/>
      <c r="H327" s="1753"/>
      <c r="I327" s="1753"/>
      <c r="J327" s="1753"/>
      <c r="K327" s="1753"/>
      <c r="L327" s="1753"/>
      <c r="M327" s="1753"/>
      <c r="N327" s="1753"/>
      <c r="O327" s="1753"/>
      <c r="P327" s="1753"/>
      <c r="Q327" s="1754"/>
      <c r="S327" s="3487"/>
    </row>
    <row r="328" spans="1:19" ht="18" customHeight="1">
      <c r="B328" s="1762"/>
      <c r="C328" s="1751"/>
      <c r="D328" s="1861"/>
      <c r="E328" s="3706" t="s">
        <v>568</v>
      </c>
      <c r="F328" s="3706"/>
      <c r="G328" s="3706"/>
      <c r="H328" s="3707"/>
      <c r="I328" s="353" t="str">
        <f>IF((OR(ISBLANK(F622),ISBLANK(K622))=FALSE),"Complété","À compléter")</f>
        <v>À compléter</v>
      </c>
      <c r="J328" s="3708" t="s">
        <v>3454</v>
      </c>
      <c r="K328" s="3708"/>
      <c r="L328" s="3708"/>
      <c r="M328" s="3708"/>
      <c r="N328" s="3708"/>
      <c r="O328" s="3708"/>
      <c r="P328" s="3708"/>
      <c r="Q328" s="1754"/>
      <c r="S328" s="3487"/>
    </row>
    <row r="329" spans="1:19" ht="6.75" customHeight="1">
      <c r="B329" s="1762"/>
      <c r="C329" s="1753"/>
      <c r="D329" s="1861"/>
      <c r="E329" s="1861"/>
      <c r="F329" s="1861"/>
      <c r="G329" s="1861"/>
      <c r="H329" s="1861"/>
      <c r="I329" s="1753"/>
      <c r="J329" s="1863"/>
      <c r="K329" s="1863"/>
      <c r="L329" s="1863"/>
      <c r="M329" s="1863"/>
      <c r="N329" s="1863"/>
      <c r="O329" s="1863"/>
      <c r="P329" s="1863"/>
      <c r="Q329" s="1754"/>
      <c r="S329" s="3487"/>
    </row>
    <row r="330" spans="1:19" ht="18" customHeight="1">
      <c r="B330" s="1762"/>
      <c r="C330" s="1753"/>
      <c r="D330" s="3706" t="s">
        <v>569</v>
      </c>
      <c r="E330" s="3706"/>
      <c r="F330" s="3706"/>
      <c r="G330" s="3706"/>
      <c r="H330" s="3707"/>
      <c r="I330" s="353" t="str">
        <f>IF((OR(ISBLANK(F682),ISBLANK(K682))=FALSE),"Complété","À compléter")</f>
        <v>À compléter</v>
      </c>
      <c r="J330" s="3708" t="s">
        <v>3455</v>
      </c>
      <c r="K330" s="3708"/>
      <c r="L330" s="3708"/>
      <c r="M330" s="3708"/>
      <c r="N330" s="3708"/>
      <c r="O330" s="3708"/>
      <c r="P330" s="3708"/>
      <c r="Q330" s="1754"/>
      <c r="S330" s="3487"/>
    </row>
    <row r="331" spans="1:19" ht="17.25" customHeight="1">
      <c r="B331" s="1762"/>
      <c r="C331" s="1753"/>
      <c r="D331" s="1862"/>
      <c r="E331" s="1862"/>
      <c r="F331" s="1862"/>
      <c r="G331" s="1862"/>
      <c r="H331" s="1862"/>
      <c r="I331" s="1866"/>
      <c r="J331" s="1864"/>
      <c r="K331" s="1864"/>
      <c r="L331" s="1864"/>
      <c r="M331" s="1864"/>
      <c r="N331" s="1864"/>
      <c r="O331" s="1864"/>
      <c r="P331" s="1864"/>
      <c r="Q331" s="1754"/>
      <c r="S331" s="3487"/>
    </row>
    <row r="332" spans="1:19" ht="18" customHeight="1">
      <c r="B332" s="1762"/>
      <c r="C332" s="1865" t="s">
        <v>570</v>
      </c>
      <c r="D332" s="1862"/>
      <c r="E332" s="1862"/>
      <c r="F332" s="1862"/>
      <c r="G332" s="1751"/>
      <c r="H332" s="3709" t="s">
        <v>615</v>
      </c>
      <c r="I332" s="3709"/>
      <c r="J332" s="1751"/>
      <c r="K332" s="1751"/>
      <c r="L332" s="1864"/>
      <c r="M332" s="1864"/>
      <c r="N332" s="1864"/>
      <c r="O332" s="1864"/>
      <c r="P332" s="1864"/>
      <c r="Q332" s="1754"/>
      <c r="S332" s="3487"/>
    </row>
    <row r="333" spans="1:19" ht="17.25" customHeight="1" thickBot="1">
      <c r="B333" s="1853"/>
      <c r="C333" s="1787"/>
      <c r="D333" s="1787"/>
      <c r="E333" s="1787"/>
      <c r="F333" s="1787"/>
      <c r="G333" s="1787"/>
      <c r="H333" s="1787"/>
      <c r="I333" s="1787"/>
      <c r="J333" s="1787"/>
      <c r="K333" s="1787"/>
      <c r="L333" s="1787"/>
      <c r="M333" s="1787"/>
      <c r="N333" s="1787"/>
      <c r="O333" s="1787"/>
      <c r="P333" s="1787"/>
      <c r="Q333" s="1854"/>
      <c r="S333" s="3488"/>
    </row>
    <row r="334" spans="1:19" ht="9.75" customHeight="1" thickBot="1">
      <c r="B334" s="683"/>
      <c r="S334" s="614"/>
    </row>
    <row r="335" spans="1:19" ht="22.5" customHeight="1" thickBot="1">
      <c r="A335" s="1187"/>
      <c r="B335" s="1718" t="s">
        <v>616</v>
      </c>
      <c r="C335" s="1718"/>
      <c r="D335" s="1718"/>
      <c r="E335" s="1718"/>
      <c r="F335" s="1718"/>
      <c r="G335" s="1718"/>
      <c r="H335" s="1718"/>
      <c r="I335" s="1718"/>
      <c r="J335" s="1718"/>
      <c r="K335" s="1718"/>
      <c r="L335" s="1723"/>
      <c r="M335" s="1723"/>
      <c r="N335" s="1723"/>
      <c r="O335" s="3700" t="s">
        <v>155</v>
      </c>
      <c r="P335" s="3700"/>
      <c r="Q335" s="3700"/>
      <c r="S335" s="615" t="s">
        <v>521</v>
      </c>
    </row>
    <row r="336" spans="1:19" ht="9.75" customHeight="1" thickBot="1">
      <c r="S336" s="616"/>
    </row>
    <row r="337" spans="2:19" ht="8.25" customHeight="1">
      <c r="B337" s="1791"/>
      <c r="C337" s="1792"/>
      <c r="D337" s="1792"/>
      <c r="E337" s="1793"/>
      <c r="F337" s="1794"/>
      <c r="G337" s="1794"/>
      <c r="H337" s="1794"/>
      <c r="I337" s="1794"/>
      <c r="J337" s="1794"/>
      <c r="K337" s="1794"/>
      <c r="L337" s="1794"/>
      <c r="M337" s="1794"/>
      <c r="N337" s="1794"/>
      <c r="O337" s="1794"/>
      <c r="P337" s="1794"/>
      <c r="Q337" s="1795"/>
      <c r="S337" s="3486"/>
    </row>
    <row r="338" spans="2:19" ht="18" customHeight="1">
      <c r="B338" s="1796"/>
      <c r="C338" s="1797" t="s">
        <v>617</v>
      </c>
      <c r="D338" s="1797"/>
      <c r="E338" s="1856"/>
      <c r="F338" s="1872"/>
      <c r="G338" s="1873"/>
      <c r="H338" s="1874"/>
      <c r="I338" s="1799"/>
      <c r="J338" s="1799"/>
      <c r="K338" s="1799"/>
      <c r="L338" s="1799"/>
      <c r="M338" s="1799"/>
      <c r="N338" s="1846" t="s">
        <v>219</v>
      </c>
      <c r="O338" s="353" t="str">
        <f>IF((COUNTBLANK(B348:B366)=ROWS(B348:B366)),"Complété","À compléter")</f>
        <v>À compléter</v>
      </c>
      <c r="P338" s="1799"/>
      <c r="Q338" s="1800"/>
      <c r="S338" s="3487"/>
    </row>
    <row r="339" spans="2:19" ht="6.75" customHeight="1">
      <c r="B339" s="1796"/>
      <c r="C339" s="1798"/>
      <c r="D339" s="1798"/>
      <c r="E339" s="1798"/>
      <c r="F339" s="1799"/>
      <c r="G339" s="1799"/>
      <c r="H339" s="1799"/>
      <c r="I339" s="1799"/>
      <c r="J339" s="1799"/>
      <c r="K339" s="1799"/>
      <c r="L339" s="1799"/>
      <c r="M339" s="1799"/>
      <c r="N339" s="1799"/>
      <c r="O339" s="1799"/>
      <c r="P339" s="1799"/>
      <c r="Q339" s="1800"/>
      <c r="S339" s="3487"/>
    </row>
    <row r="340" spans="2:19" ht="17.25" customHeight="1">
      <c r="B340" s="1847"/>
      <c r="C340" s="3701" t="s">
        <v>531</v>
      </c>
      <c r="D340" s="3701"/>
      <c r="E340" s="3701"/>
      <c r="F340" s="3701"/>
      <c r="G340" s="3701"/>
      <c r="H340" s="3701"/>
      <c r="I340" s="3701"/>
      <c r="J340" s="3701"/>
      <c r="K340" s="3701"/>
      <c r="L340" s="3701"/>
      <c r="M340" s="3701"/>
      <c r="N340" s="1751"/>
      <c r="O340" s="1751"/>
      <c r="P340" s="1751"/>
      <c r="Q340" s="1851"/>
      <c r="S340" s="3487"/>
    </row>
    <row r="341" spans="2:19" ht="15" customHeight="1">
      <c r="B341" s="1847"/>
      <c r="C341" s="1848"/>
      <c r="D341" s="1848"/>
      <c r="E341" s="1848"/>
      <c r="F341" s="1751"/>
      <c r="G341" s="1751"/>
      <c r="H341" s="1751"/>
      <c r="I341" s="1751"/>
      <c r="J341" s="1751"/>
      <c r="K341" s="1751"/>
      <c r="L341" s="1751"/>
      <c r="M341" s="1751"/>
      <c r="N341" s="1751"/>
      <c r="O341" s="1751"/>
      <c r="P341" s="1751"/>
      <c r="Q341" s="1851"/>
      <c r="S341" s="3487"/>
    </row>
    <row r="342" spans="2:19" ht="19.5" customHeight="1">
      <c r="B342" s="1762"/>
      <c r="C342" s="1875" t="s">
        <v>816</v>
      </c>
      <c r="D342" s="1802"/>
      <c r="E342" s="1751"/>
      <c r="F342" s="1751"/>
      <c r="G342" s="1870" t="s">
        <v>619</v>
      </c>
      <c r="H342" s="1876"/>
      <c r="I342" s="1751"/>
      <c r="J342" s="1753"/>
      <c r="K342" s="1753"/>
      <c r="L342" s="1753"/>
      <c r="M342" s="1753"/>
      <c r="N342" s="1753"/>
      <c r="O342" s="1753"/>
      <c r="P342" s="1753"/>
      <c r="Q342" s="1754"/>
      <c r="S342" s="3487"/>
    </row>
    <row r="343" spans="2:19" ht="23.25" customHeight="1">
      <c r="B343" s="1762"/>
      <c r="C343" s="1849"/>
      <c r="D343" s="1802"/>
      <c r="E343" s="1876"/>
      <c r="F343" s="1751"/>
      <c r="G343" s="1877" t="s">
        <v>817</v>
      </c>
      <c r="H343" s="1751"/>
      <c r="I343" s="1751"/>
      <c r="J343" s="1753"/>
      <c r="K343" s="1753"/>
      <c r="L343" s="1753"/>
      <c r="M343" s="1753"/>
      <c r="N343" s="1753"/>
      <c r="O343" s="1753"/>
      <c r="P343" s="1753"/>
      <c r="Q343" s="1754"/>
      <c r="S343" s="3487"/>
    </row>
    <row r="344" spans="2:19" ht="16.5" customHeight="1">
      <c r="B344" s="1762"/>
      <c r="C344" s="1850" t="s">
        <v>621</v>
      </c>
      <c r="D344" s="1803"/>
      <c r="E344" s="1753"/>
      <c r="F344" s="1753"/>
      <c r="G344" s="1753"/>
      <c r="H344" s="1753"/>
      <c r="I344" s="1753"/>
      <c r="J344" s="1753"/>
      <c r="K344" s="1753"/>
      <c r="L344" s="1753"/>
      <c r="M344" s="1753"/>
      <c r="N344" s="1753"/>
      <c r="O344" s="1753"/>
      <c r="P344" s="1753"/>
      <c r="Q344" s="1754"/>
      <c r="S344" s="3487"/>
    </row>
    <row r="345" spans="2:19" ht="18.75" customHeight="1">
      <c r="B345" s="1762"/>
      <c r="C345" s="1878" t="s">
        <v>622</v>
      </c>
      <c r="D345" s="1803"/>
      <c r="E345" s="1753"/>
      <c r="F345" s="1753"/>
      <c r="G345" s="1753"/>
      <c r="H345" s="1753"/>
      <c r="I345" s="1753"/>
      <c r="J345" s="1753"/>
      <c r="K345" s="1753"/>
      <c r="L345" s="1753"/>
      <c r="M345" s="1753"/>
      <c r="N345" s="1753"/>
      <c r="O345" s="1753"/>
      <c r="P345" s="1753"/>
      <c r="Q345" s="1754"/>
      <c r="S345" s="3487"/>
    </row>
    <row r="346" spans="2:19" ht="17.25" customHeight="1">
      <c r="B346" s="1762"/>
      <c r="C346" s="1879" t="s">
        <v>3466</v>
      </c>
      <c r="D346" s="1802"/>
      <c r="E346" s="1753"/>
      <c r="F346" s="1753"/>
      <c r="G346" s="1753"/>
      <c r="H346" s="1753"/>
      <c r="I346" s="1753"/>
      <c r="J346" s="1753"/>
      <c r="K346" s="1753"/>
      <c r="L346" s="1753"/>
      <c r="M346" s="1753"/>
      <c r="N346" s="1753"/>
      <c r="O346" s="1753"/>
      <c r="P346" s="1753"/>
      <c r="Q346" s="1754"/>
      <c r="S346" s="3487"/>
    </row>
    <row r="347" spans="2:19" ht="20.25" customHeight="1">
      <c r="B347" s="1762"/>
      <c r="C347" s="1802"/>
      <c r="D347" s="1802"/>
      <c r="E347" s="1753"/>
      <c r="F347" s="1753"/>
      <c r="G347" s="1753"/>
      <c r="H347" s="1753"/>
      <c r="I347" s="1753"/>
      <c r="J347" s="1753"/>
      <c r="K347" s="1753"/>
      <c r="L347" s="1753"/>
      <c r="M347" s="1753"/>
      <c r="N347" s="1753"/>
      <c r="O347" s="1753"/>
      <c r="P347" s="1753"/>
      <c r="Q347" s="1754"/>
      <c r="S347" s="3487"/>
    </row>
    <row r="348" spans="2:19" ht="6" customHeight="1">
      <c r="B348" s="1762"/>
      <c r="C348" s="258"/>
      <c r="D348" s="259"/>
      <c r="E348" s="260"/>
      <c r="F348" s="260"/>
      <c r="G348" s="260"/>
      <c r="H348" s="260"/>
      <c r="I348" s="260"/>
      <c r="J348" s="260"/>
      <c r="K348" s="260"/>
      <c r="L348" s="260"/>
      <c r="M348" s="260"/>
      <c r="N348" s="260"/>
      <c r="O348" s="260"/>
      <c r="P348" s="261"/>
      <c r="Q348" s="1754"/>
      <c r="S348" s="3487"/>
    </row>
    <row r="349" spans="2:19" ht="10.5" customHeight="1">
      <c r="B349" s="1762"/>
      <c r="C349" s="3213" t="s">
        <v>807</v>
      </c>
      <c r="D349" s="315"/>
      <c r="E349" s="85"/>
      <c r="F349" s="3179"/>
      <c r="G349" s="3179"/>
      <c r="H349" s="493"/>
      <c r="I349" s="55"/>
      <c r="J349" s="85"/>
      <c r="K349" s="85"/>
      <c r="L349" s="85"/>
      <c r="M349" s="3179"/>
      <c r="N349" s="3179"/>
      <c r="O349" s="493"/>
      <c r="P349" s="604"/>
      <c r="Q349" s="1754"/>
      <c r="S349" s="3487"/>
    </row>
    <row r="350" spans="2:19" ht="8.25" customHeight="1">
      <c r="B350" s="1762"/>
      <c r="C350" s="3213"/>
      <c r="D350" s="315"/>
      <c r="E350" s="85"/>
      <c r="F350" s="85"/>
      <c r="G350" s="85"/>
      <c r="H350" s="85"/>
      <c r="I350" s="55"/>
      <c r="J350" s="85"/>
      <c r="K350" s="85"/>
      <c r="L350" s="85"/>
      <c r="M350" s="85"/>
      <c r="N350" s="85"/>
      <c r="O350" s="85"/>
      <c r="P350" s="266"/>
      <c r="Q350" s="1754"/>
      <c r="S350" s="3487"/>
    </row>
    <row r="351" spans="2:19" ht="17.25" customHeight="1">
      <c r="B351" s="1852" t="str">
        <f>IF(OR(ISBLANK(F351),ISBLANK(H351),ISBLANK(K351),ISBLANK(M351),ISBLANK(O351))=FALSE,"","u")</f>
        <v>u</v>
      </c>
      <c r="C351" s="3213"/>
      <c r="D351" s="315"/>
      <c r="E351" s="645" t="s">
        <v>101</v>
      </c>
      <c r="F351" s="566"/>
      <c r="G351" s="645" t="s">
        <v>102</v>
      </c>
      <c r="H351" s="566"/>
      <c r="I351" s="55"/>
      <c r="J351" s="645" t="s">
        <v>103</v>
      </c>
      <c r="K351" s="566"/>
      <c r="L351" s="645" t="s">
        <v>104</v>
      </c>
      <c r="M351" s="566"/>
      <c r="N351" s="645" t="s">
        <v>105</v>
      </c>
      <c r="O351" s="566"/>
      <c r="P351" s="604"/>
      <c r="Q351" s="1754"/>
      <c r="S351" s="3487"/>
    </row>
    <row r="352" spans="2:19" s="319" customFormat="1" ht="11.25" customHeight="1">
      <c r="B352" s="1762"/>
      <c r="C352" s="3213"/>
      <c r="D352" s="662"/>
      <c r="E352" s="645"/>
      <c r="F352" s="602"/>
      <c r="G352" s="645"/>
      <c r="H352" s="602"/>
      <c r="I352" s="318"/>
      <c r="J352" s="645"/>
      <c r="K352" s="602"/>
      <c r="L352" s="645"/>
      <c r="M352" s="602"/>
      <c r="N352" s="645"/>
      <c r="O352" s="602"/>
      <c r="P352" s="604"/>
      <c r="Q352" s="1754"/>
      <c r="S352" s="3487"/>
    </row>
    <row r="353" spans="2:19" s="319" customFormat="1" ht="17.25" customHeight="1">
      <c r="B353" s="1762"/>
      <c r="C353" s="317"/>
      <c r="D353" s="662"/>
      <c r="E353" s="645"/>
      <c r="F353" s="3179" t="s">
        <v>623</v>
      </c>
      <c r="G353" s="3280"/>
      <c r="H353" s="712">
        <f>F351+H351</f>
        <v>0</v>
      </c>
      <c r="I353" s="318"/>
      <c r="J353" s="645"/>
      <c r="K353" s="602"/>
      <c r="L353" s="645"/>
      <c r="M353" s="3179" t="s">
        <v>624</v>
      </c>
      <c r="N353" s="3280"/>
      <c r="O353" s="712">
        <f>K351+M351+O351</f>
        <v>0</v>
      </c>
      <c r="P353" s="604"/>
      <c r="Q353" s="1754"/>
      <c r="S353" s="3487"/>
    </row>
    <row r="354" spans="2:19" s="319" customFormat="1" ht="11.25" customHeight="1">
      <c r="B354" s="1762"/>
      <c r="C354" s="317"/>
      <c r="D354" s="662"/>
      <c r="E354" s="645"/>
      <c r="F354" s="602"/>
      <c r="G354" s="645"/>
      <c r="H354" s="602"/>
      <c r="I354" s="318"/>
      <c r="J354" s="645"/>
      <c r="K354" s="602"/>
      <c r="L354" s="645"/>
      <c r="M354" s="602"/>
      <c r="N354" s="645"/>
      <c r="O354" s="602"/>
      <c r="P354" s="604"/>
      <c r="Q354" s="1754"/>
      <c r="S354" s="3487"/>
    </row>
    <row r="355" spans="2:19" s="319" customFormat="1" ht="32.25" customHeight="1">
      <c r="B355" s="1762"/>
      <c r="C355" s="317"/>
      <c r="D355" s="662"/>
      <c r="E355" s="320" t="s">
        <v>625</v>
      </c>
      <c r="F355" s="711">
        <f>F351+H351+K351+M351+O351</f>
        <v>0</v>
      </c>
      <c r="G355" s="3291" t="s">
        <v>539</v>
      </c>
      <c r="H355" s="3179"/>
      <c r="I355" s="3090"/>
      <c r="J355" s="3091"/>
      <c r="K355" s="3091"/>
      <c r="L355" s="3091"/>
      <c r="M355" s="3091"/>
      <c r="N355" s="3091"/>
      <c r="O355" s="3092"/>
      <c r="P355" s="604"/>
      <c r="Q355" s="1754"/>
      <c r="S355" s="3487"/>
    </row>
    <row r="356" spans="2:19" s="319" customFormat="1" ht="10.5" customHeight="1">
      <c r="B356" s="1762"/>
      <c r="C356" s="665"/>
      <c r="D356" s="666"/>
      <c r="E356" s="272"/>
      <c r="F356" s="283"/>
      <c r="G356" s="272"/>
      <c r="H356" s="283"/>
      <c r="I356" s="321"/>
      <c r="J356" s="272"/>
      <c r="K356" s="283"/>
      <c r="L356" s="272"/>
      <c r="M356" s="283"/>
      <c r="N356" s="272"/>
      <c r="O356" s="283"/>
      <c r="P356" s="273"/>
      <c r="Q356" s="1754"/>
      <c r="S356" s="3487"/>
    </row>
    <row r="357" spans="2:19" ht="14.25" customHeight="1">
      <c r="B357" s="1762"/>
      <c r="C357" s="1753"/>
      <c r="D357" s="1753"/>
      <c r="E357" s="1753"/>
      <c r="F357" s="1753"/>
      <c r="G357" s="1753"/>
      <c r="H357" s="1753"/>
      <c r="I357" s="1753"/>
      <c r="J357" s="1753"/>
      <c r="K357" s="1753"/>
      <c r="L357" s="1753"/>
      <c r="M357" s="1753"/>
      <c r="N357" s="1753"/>
      <c r="O357" s="1753"/>
      <c r="P357" s="1753"/>
      <c r="Q357" s="1754"/>
      <c r="S357" s="3487"/>
    </row>
    <row r="358" spans="2:19" ht="6" customHeight="1">
      <c r="B358" s="1762"/>
      <c r="C358" s="258"/>
      <c r="D358" s="259"/>
      <c r="E358" s="260"/>
      <c r="F358" s="260"/>
      <c r="G358" s="260"/>
      <c r="H358" s="260"/>
      <c r="I358" s="260"/>
      <c r="J358" s="260"/>
      <c r="K358" s="260"/>
      <c r="L358" s="260"/>
      <c r="M358" s="260"/>
      <c r="N358" s="260"/>
      <c r="O358" s="260"/>
      <c r="P358" s="261"/>
      <c r="Q358" s="1754"/>
      <c r="S358" s="3487"/>
    </row>
    <row r="359" spans="2:19" ht="10.5" customHeight="1">
      <c r="B359" s="1762"/>
      <c r="C359" s="3213" t="s">
        <v>810</v>
      </c>
      <c r="D359" s="315"/>
      <c r="E359" s="85"/>
      <c r="F359" s="3179"/>
      <c r="G359" s="3179"/>
      <c r="H359" s="493"/>
      <c r="I359" s="55"/>
      <c r="J359" s="85"/>
      <c r="K359" s="85"/>
      <c r="L359" s="85"/>
      <c r="M359" s="3179"/>
      <c r="N359" s="3179"/>
      <c r="O359" s="493"/>
      <c r="P359" s="604"/>
      <c r="Q359" s="1754"/>
      <c r="S359" s="3487"/>
    </row>
    <row r="360" spans="2:19" ht="8.25" customHeight="1">
      <c r="B360" s="1762"/>
      <c r="C360" s="3213"/>
      <c r="D360" s="315"/>
      <c r="E360" s="85"/>
      <c r="F360" s="85"/>
      <c r="G360" s="85"/>
      <c r="H360" s="85"/>
      <c r="I360" s="55"/>
      <c r="J360" s="85"/>
      <c r="K360" s="85"/>
      <c r="L360" s="85"/>
      <c r="M360" s="85"/>
      <c r="N360" s="85"/>
      <c r="O360" s="85"/>
      <c r="P360" s="266"/>
      <c r="Q360" s="1754"/>
      <c r="S360" s="3487"/>
    </row>
    <row r="361" spans="2:19" ht="17.25" customHeight="1">
      <c r="B361" s="1852" t="str">
        <f>IF(OR(ISBLANK(F361),ISBLANK(H361),ISBLANK(K361),ISBLANK(M361),ISBLANK(O361))=FALSE,"","u")</f>
        <v>u</v>
      </c>
      <c r="C361" s="3213"/>
      <c r="D361" s="315"/>
      <c r="E361" s="645" t="s">
        <v>101</v>
      </c>
      <c r="F361" s="566"/>
      <c r="G361" s="645" t="s">
        <v>102</v>
      </c>
      <c r="H361" s="566"/>
      <c r="I361" s="55"/>
      <c r="J361" s="645" t="s">
        <v>103</v>
      </c>
      <c r="K361" s="566"/>
      <c r="L361" s="645" t="s">
        <v>104</v>
      </c>
      <c r="M361" s="566"/>
      <c r="N361" s="645" t="s">
        <v>105</v>
      </c>
      <c r="O361" s="566"/>
      <c r="P361" s="604"/>
      <c r="Q361" s="1754"/>
      <c r="S361" s="3487"/>
    </row>
    <row r="362" spans="2:19" s="319" customFormat="1" ht="11.25" customHeight="1">
      <c r="B362" s="1762"/>
      <c r="C362" s="317"/>
      <c r="D362" s="662"/>
      <c r="E362" s="645"/>
      <c r="F362" s="602"/>
      <c r="G362" s="645"/>
      <c r="H362" s="602"/>
      <c r="I362" s="318"/>
      <c r="J362" s="645"/>
      <c r="K362" s="602"/>
      <c r="L362" s="645"/>
      <c r="M362" s="602"/>
      <c r="N362" s="645"/>
      <c r="O362" s="602"/>
      <c r="P362" s="604"/>
      <c r="Q362" s="1754"/>
      <c r="S362" s="3487"/>
    </row>
    <row r="363" spans="2:19" s="319" customFormat="1" ht="17.25" customHeight="1">
      <c r="B363" s="1762"/>
      <c r="C363" s="317"/>
      <c r="D363" s="662"/>
      <c r="E363" s="645"/>
      <c r="F363" s="3179" t="s">
        <v>623</v>
      </c>
      <c r="G363" s="3280"/>
      <c r="H363" s="712">
        <f>F361+H361</f>
        <v>0</v>
      </c>
      <c r="I363" s="318"/>
      <c r="J363" s="645"/>
      <c r="K363" s="602"/>
      <c r="L363" s="645"/>
      <c r="M363" s="3179" t="s">
        <v>624</v>
      </c>
      <c r="N363" s="3280"/>
      <c r="O363" s="712">
        <f>K361+M361+O361</f>
        <v>0</v>
      </c>
      <c r="P363" s="604"/>
      <c r="Q363" s="1754"/>
      <c r="S363" s="3487"/>
    </row>
    <row r="364" spans="2:19" s="319" customFormat="1" ht="11.25" customHeight="1">
      <c r="B364" s="1762"/>
      <c r="C364" s="317"/>
      <c r="D364" s="662"/>
      <c r="E364" s="645"/>
      <c r="F364" s="602"/>
      <c r="G364" s="645"/>
      <c r="H364" s="602"/>
      <c r="I364" s="318"/>
      <c r="J364" s="645"/>
      <c r="K364" s="602"/>
      <c r="L364" s="645"/>
      <c r="M364" s="602"/>
      <c r="N364" s="645"/>
      <c r="O364" s="602"/>
      <c r="P364" s="604"/>
      <c r="Q364" s="1754"/>
      <c r="S364" s="3487"/>
    </row>
    <row r="365" spans="2:19" s="319" customFormat="1" ht="32.25" customHeight="1">
      <c r="B365" s="1762"/>
      <c r="C365" s="317"/>
      <c r="D365" s="662"/>
      <c r="E365" s="320" t="s">
        <v>625</v>
      </c>
      <c r="F365" s="711">
        <f>F361+H361+K361+M361+O361</f>
        <v>0</v>
      </c>
      <c r="G365" s="3291" t="s">
        <v>539</v>
      </c>
      <c r="H365" s="3179"/>
      <c r="I365" s="3090"/>
      <c r="J365" s="3091"/>
      <c r="K365" s="3091"/>
      <c r="L365" s="3091"/>
      <c r="M365" s="3091"/>
      <c r="N365" s="3091"/>
      <c r="O365" s="3092"/>
      <c r="P365" s="604"/>
      <c r="Q365" s="1754"/>
      <c r="S365" s="3487"/>
    </row>
    <row r="366" spans="2:19" ht="12" customHeight="1">
      <c r="B366" s="1762"/>
      <c r="C366" s="276"/>
      <c r="D366" s="277"/>
      <c r="E366" s="272"/>
      <c r="F366" s="283"/>
      <c r="G366" s="272"/>
      <c r="H366" s="283"/>
      <c r="I366" s="271"/>
      <c r="J366" s="272"/>
      <c r="K366" s="283"/>
      <c r="L366" s="272"/>
      <c r="M366" s="283"/>
      <c r="N366" s="272"/>
      <c r="O366" s="283"/>
      <c r="P366" s="273"/>
      <c r="Q366" s="1754"/>
      <c r="S366" s="3487"/>
    </row>
    <row r="367" spans="2:19" ht="15.75" customHeight="1">
      <c r="B367" s="1762"/>
      <c r="C367" s="1859"/>
      <c r="D367" s="1753"/>
      <c r="E367" s="1753"/>
      <c r="F367" s="1753"/>
      <c r="G367" s="1753"/>
      <c r="H367" s="1753"/>
      <c r="I367" s="1753"/>
      <c r="J367" s="1753"/>
      <c r="K367" s="1753"/>
      <c r="L367" s="1753"/>
      <c r="M367" s="1753"/>
      <c r="N367" s="1753"/>
      <c r="O367" s="1753"/>
      <c r="P367" s="1753"/>
      <c r="Q367" s="1754"/>
      <c r="S367" s="3487"/>
    </row>
    <row r="368" spans="2:19" ht="17.25" customHeight="1">
      <c r="B368" s="1762"/>
      <c r="C368" s="1849" t="s">
        <v>567</v>
      </c>
      <c r="D368" s="1753"/>
      <c r="E368" s="1753"/>
      <c r="F368" s="1753"/>
      <c r="G368" s="1753"/>
      <c r="H368" s="1753"/>
      <c r="I368" s="1753"/>
      <c r="J368" s="1753"/>
      <c r="K368" s="1753"/>
      <c r="L368" s="1753"/>
      <c r="M368" s="1753"/>
      <c r="N368" s="1753"/>
      <c r="O368" s="1753"/>
      <c r="P368" s="1753"/>
      <c r="Q368" s="1754"/>
      <c r="S368" s="3487"/>
    </row>
    <row r="369" spans="1:19" ht="18" customHeight="1">
      <c r="B369" s="1762"/>
      <c r="C369" s="1751"/>
      <c r="D369" s="1861"/>
      <c r="E369" s="3706" t="s">
        <v>568</v>
      </c>
      <c r="F369" s="3706"/>
      <c r="G369" s="3706"/>
      <c r="H369" s="3707"/>
      <c r="I369" s="353" t="str">
        <f>IF((OR(ISBLANK(F625),ISBLANK(F630),ISBLANK(K625),ISBLANK(K630))=FALSE),"Complété","À compléter")</f>
        <v>À compléter</v>
      </c>
      <c r="J369" s="3708" t="s">
        <v>3454</v>
      </c>
      <c r="K369" s="3708"/>
      <c r="L369" s="3708"/>
      <c r="M369" s="3708"/>
      <c r="N369" s="3708"/>
      <c r="O369" s="3708"/>
      <c r="P369" s="3708"/>
      <c r="Q369" s="1754"/>
      <c r="S369" s="3487"/>
    </row>
    <row r="370" spans="1:19" ht="6.75" customHeight="1">
      <c r="B370" s="1762"/>
      <c r="C370" s="1753"/>
      <c r="D370" s="1861"/>
      <c r="E370" s="1861"/>
      <c r="F370" s="1861"/>
      <c r="G370" s="1861"/>
      <c r="H370" s="1861"/>
      <c r="I370" s="1753"/>
      <c r="J370" s="1863"/>
      <c r="K370" s="1863"/>
      <c r="L370" s="1863"/>
      <c r="M370" s="1863"/>
      <c r="N370" s="1863"/>
      <c r="O370" s="1863"/>
      <c r="P370" s="1863"/>
      <c r="Q370" s="1754"/>
      <c r="S370" s="3487"/>
    </row>
    <row r="371" spans="1:19" ht="18" customHeight="1">
      <c r="B371" s="1762"/>
      <c r="C371" s="1753"/>
      <c r="D371" s="3706" t="s">
        <v>569</v>
      </c>
      <c r="E371" s="3706"/>
      <c r="F371" s="3706"/>
      <c r="G371" s="3706"/>
      <c r="H371" s="3707"/>
      <c r="I371" s="353" t="str">
        <f>IF((OR(ISBLANK(F685),ISBLANK(F689),ISBLANK(K685),ISBLANK(K689))=FALSE),"Complété","À compléter")</f>
        <v>À compléter</v>
      </c>
      <c r="J371" s="3708" t="s">
        <v>3455</v>
      </c>
      <c r="K371" s="3708"/>
      <c r="L371" s="3708"/>
      <c r="M371" s="3708"/>
      <c r="N371" s="3708"/>
      <c r="O371" s="3708"/>
      <c r="P371" s="3708"/>
      <c r="Q371" s="1754"/>
      <c r="S371" s="3487"/>
    </row>
    <row r="372" spans="1:19" ht="22.5" customHeight="1" thickBot="1">
      <c r="B372" s="1784"/>
      <c r="C372" s="1789"/>
      <c r="D372" s="1789"/>
      <c r="E372" s="1789"/>
      <c r="F372" s="1789"/>
      <c r="G372" s="1789"/>
      <c r="H372" s="1789"/>
      <c r="I372" s="1789"/>
      <c r="J372" s="1789"/>
      <c r="K372" s="1789"/>
      <c r="L372" s="1789"/>
      <c r="M372" s="1789"/>
      <c r="N372" s="1789"/>
      <c r="O372" s="1789"/>
      <c r="P372" s="1789"/>
      <c r="Q372" s="1790"/>
      <c r="S372" s="3487"/>
    </row>
    <row r="373" spans="1:19" ht="9.75" customHeight="1" thickBot="1">
      <c r="B373" s="683"/>
      <c r="S373" s="3487"/>
    </row>
    <row r="374" spans="1:19" ht="8.25" customHeight="1">
      <c r="B374" s="1791"/>
      <c r="C374" s="1792"/>
      <c r="D374" s="1792"/>
      <c r="E374" s="1793"/>
      <c r="F374" s="1794"/>
      <c r="G374" s="1794"/>
      <c r="H374" s="1794"/>
      <c r="I374" s="1794"/>
      <c r="J374" s="1794"/>
      <c r="K374" s="1794"/>
      <c r="L374" s="1794"/>
      <c r="M374" s="1794"/>
      <c r="N374" s="1794"/>
      <c r="O374" s="1794"/>
      <c r="P374" s="1794"/>
      <c r="Q374" s="1795"/>
      <c r="S374" s="3487"/>
    </row>
    <row r="375" spans="1:19" ht="18" customHeight="1">
      <c r="A375" s="1187"/>
      <c r="B375" s="1796"/>
      <c r="C375" s="1797" t="s">
        <v>626</v>
      </c>
      <c r="D375" s="1797"/>
      <c r="E375" s="1798"/>
      <c r="F375" s="1869"/>
      <c r="G375" s="1751"/>
      <c r="H375" s="1869"/>
      <c r="I375" s="1751"/>
      <c r="J375" s="1869"/>
      <c r="K375" s="1799"/>
      <c r="L375" s="1799"/>
      <c r="M375" s="1799"/>
      <c r="N375" s="1846" t="s">
        <v>219</v>
      </c>
      <c r="O375" s="353" t="str">
        <f>IF(COUNTIF(B407:B494,"u")=0,"Complété","À compléter")</f>
        <v>À compléter</v>
      </c>
      <c r="P375" s="1799"/>
      <c r="Q375" s="1800"/>
      <c r="S375" s="3487"/>
    </row>
    <row r="376" spans="1:19" ht="6.75" customHeight="1">
      <c r="B376" s="1796"/>
      <c r="C376" s="1798"/>
      <c r="D376" s="1798"/>
      <c r="E376" s="1798"/>
      <c r="F376" s="1799"/>
      <c r="G376" s="1799"/>
      <c r="H376" s="1799"/>
      <c r="I376" s="1799"/>
      <c r="J376" s="1799"/>
      <c r="K376" s="1799"/>
      <c r="L376" s="1799"/>
      <c r="M376" s="1799"/>
      <c r="N376" s="1799"/>
      <c r="O376" s="1799"/>
      <c r="P376" s="1799"/>
      <c r="Q376" s="1800"/>
      <c r="S376" s="3487"/>
    </row>
    <row r="377" spans="1:19" ht="17.25" customHeight="1">
      <c r="B377" s="1847"/>
      <c r="C377" s="3701" t="s">
        <v>531</v>
      </c>
      <c r="D377" s="3701"/>
      <c r="E377" s="3701"/>
      <c r="F377" s="3701"/>
      <c r="G377" s="3701"/>
      <c r="H377" s="3701"/>
      <c r="I377" s="3701"/>
      <c r="J377" s="3701"/>
      <c r="K377" s="3701"/>
      <c r="L377" s="3701"/>
      <c r="M377" s="3701"/>
      <c r="N377" s="1751"/>
      <c r="O377" s="1751"/>
      <c r="P377" s="1751"/>
      <c r="Q377" s="1851"/>
      <c r="S377" s="3487"/>
    </row>
    <row r="378" spans="1:19" ht="11.25" customHeight="1">
      <c r="B378" s="1847"/>
      <c r="C378" s="1848"/>
      <c r="D378" s="1848"/>
      <c r="E378" s="1848"/>
      <c r="F378" s="1751"/>
      <c r="G378" s="1751"/>
      <c r="H378" s="1751"/>
      <c r="I378" s="1751"/>
      <c r="J378" s="1751"/>
      <c r="K378" s="1751"/>
      <c r="L378" s="1751"/>
      <c r="M378" s="1751"/>
      <c r="N378" s="1751"/>
      <c r="O378" s="1751"/>
      <c r="P378" s="1751"/>
      <c r="Q378" s="1851"/>
      <c r="S378" s="3487"/>
    </row>
    <row r="379" spans="1:19" ht="17.25" customHeight="1">
      <c r="B379" s="1762"/>
      <c r="C379" s="1880" t="s">
        <v>627</v>
      </c>
      <c r="D379" s="1802"/>
      <c r="E379" s="1753"/>
      <c r="F379" s="1753"/>
      <c r="G379" s="1751"/>
      <c r="H379" s="1751" t="s">
        <v>628</v>
      </c>
      <c r="I379" s="1753"/>
      <c r="J379" s="1753"/>
      <c r="K379" s="1753"/>
      <c r="L379" s="1753"/>
      <c r="M379" s="1753"/>
      <c r="N379" s="1753"/>
      <c r="O379" s="1753"/>
      <c r="P379" s="1753"/>
      <c r="Q379" s="1754"/>
      <c r="S379" s="3487"/>
    </row>
    <row r="380" spans="1:19" ht="25.5" customHeight="1">
      <c r="B380" s="1762"/>
      <c r="C380" s="1849"/>
      <c r="D380" s="1802"/>
      <c r="E380" s="1753"/>
      <c r="F380" s="1753"/>
      <c r="G380" s="1751"/>
      <c r="H380" s="1881" t="s">
        <v>817</v>
      </c>
      <c r="I380" s="1753"/>
      <c r="J380" s="1753"/>
      <c r="K380" s="1753"/>
      <c r="L380" s="1753"/>
      <c r="M380" s="1753"/>
      <c r="N380" s="1753"/>
      <c r="O380" s="1753"/>
      <c r="P380" s="1753"/>
      <c r="Q380" s="1754"/>
      <c r="S380" s="3487"/>
    </row>
    <row r="381" spans="1:19" ht="16.5" customHeight="1">
      <c r="B381" s="1762"/>
      <c r="C381" s="1882" t="s">
        <v>629</v>
      </c>
      <c r="D381" s="1803"/>
      <c r="E381" s="1753"/>
      <c r="F381" s="1753"/>
      <c r="G381" s="1753"/>
      <c r="H381" s="1753"/>
      <c r="I381" s="1753"/>
      <c r="J381" s="1753"/>
      <c r="K381" s="1753"/>
      <c r="L381" s="1753"/>
      <c r="M381" s="1753"/>
      <c r="N381" s="1753"/>
      <c r="O381" s="1753"/>
      <c r="P381" s="1753"/>
      <c r="Q381" s="1754"/>
      <c r="S381" s="3487"/>
    </row>
    <row r="382" spans="1:19" ht="18.75" customHeight="1">
      <c r="B382" s="1762"/>
      <c r="C382" s="1883" t="s">
        <v>630</v>
      </c>
      <c r="D382" s="1803"/>
      <c r="E382" s="1753"/>
      <c r="F382" s="1753"/>
      <c r="G382" s="1753"/>
      <c r="H382" s="1753"/>
      <c r="I382" s="1753"/>
      <c r="J382" s="1753"/>
      <c r="K382" s="1753"/>
      <c r="L382" s="1753"/>
      <c r="M382" s="1753"/>
      <c r="N382" s="1753"/>
      <c r="O382" s="1753"/>
      <c r="P382" s="1753"/>
      <c r="Q382" s="1754"/>
      <c r="S382" s="3487"/>
    </row>
    <row r="383" spans="1:19" ht="17.25" customHeight="1">
      <c r="B383" s="1762"/>
      <c r="C383" s="1884"/>
      <c r="D383" s="1803"/>
      <c r="E383" s="1753"/>
      <c r="F383" s="1753"/>
      <c r="G383" s="1753"/>
      <c r="H383" s="1753"/>
      <c r="I383" s="1753"/>
      <c r="J383" s="1753"/>
      <c r="K383" s="1753"/>
      <c r="L383" s="1753"/>
      <c r="M383" s="1753"/>
      <c r="N383" s="1753"/>
      <c r="O383" s="1753"/>
      <c r="P383" s="1753"/>
      <c r="Q383" s="1754"/>
      <c r="S383" s="3487"/>
    </row>
    <row r="384" spans="1:19" ht="12" customHeight="1">
      <c r="B384" s="1762"/>
      <c r="C384" s="322"/>
      <c r="D384" s="323"/>
      <c r="E384" s="260"/>
      <c r="F384" s="260"/>
      <c r="G384" s="260"/>
      <c r="H384" s="260"/>
      <c r="I384" s="260"/>
      <c r="J384" s="260"/>
      <c r="K384" s="260"/>
      <c r="L384" s="260"/>
      <c r="M384" s="260"/>
      <c r="N384" s="260"/>
      <c r="O384" s="260"/>
      <c r="P384" s="261"/>
      <c r="Q384" s="1754"/>
      <c r="S384" s="3487"/>
    </row>
    <row r="385" spans="2:19" ht="20.25" customHeight="1">
      <c r="B385" s="1762"/>
      <c r="C385" s="600" t="s">
        <v>631</v>
      </c>
      <c r="D385" s="488"/>
      <c r="E385" s="488"/>
      <c r="F385" s="488"/>
      <c r="G385" s="488"/>
      <c r="H385" s="488"/>
      <c r="I385" s="488"/>
      <c r="J385" s="488"/>
      <c r="K385" s="488"/>
      <c r="L385" s="488"/>
      <c r="M385" s="488"/>
      <c r="N385" s="488"/>
      <c r="O385" s="488"/>
      <c r="P385" s="266"/>
      <c r="Q385" s="1754"/>
      <c r="S385" s="3487"/>
    </row>
    <row r="386" spans="2:19" ht="20.25" customHeight="1">
      <c r="B386" s="1762"/>
      <c r="C386" s="490" t="s">
        <v>632</v>
      </c>
      <c r="D386" s="599" t="s">
        <v>2289</v>
      </c>
      <c r="E386" s="488"/>
      <c r="F386" s="488"/>
      <c r="G386" s="488"/>
      <c r="H386" s="488"/>
      <c r="I386" s="488"/>
      <c r="J386" s="488"/>
      <c r="K386" s="488"/>
      <c r="L386" s="488"/>
      <c r="M386" s="488"/>
      <c r="N386" s="488"/>
      <c r="O386" s="488"/>
      <c r="P386" s="266"/>
      <c r="Q386" s="1754"/>
      <c r="S386" s="3487"/>
    </row>
    <row r="387" spans="2:19" ht="20.25" customHeight="1">
      <c r="B387" s="1762"/>
      <c r="C387" s="490" t="s">
        <v>632</v>
      </c>
      <c r="D387" s="599" t="s">
        <v>3467</v>
      </c>
      <c r="E387" s="488"/>
      <c r="F387" s="488"/>
      <c r="G387" s="488"/>
      <c r="H387" s="488"/>
      <c r="I387" s="488"/>
      <c r="J387" s="488"/>
      <c r="K387" s="488"/>
      <c r="L387" s="488"/>
      <c r="M387" s="488"/>
      <c r="N387" s="488"/>
      <c r="O387" s="488"/>
      <c r="P387" s="266"/>
      <c r="Q387" s="1754"/>
      <c r="S387" s="3487"/>
    </row>
    <row r="388" spans="2:19" ht="15.75" customHeight="1">
      <c r="B388" s="1762"/>
      <c r="C388" s="490"/>
      <c r="D388" s="489" t="s">
        <v>633</v>
      </c>
      <c r="E388" s="488"/>
      <c r="F388" s="488"/>
      <c r="G388" s="488"/>
      <c r="H388" s="488"/>
      <c r="I388" s="488"/>
      <c r="J388" s="488"/>
      <c r="K388" s="488"/>
      <c r="L388" s="488"/>
      <c r="M388" s="488"/>
      <c r="N388" s="488"/>
      <c r="O388" s="488"/>
      <c r="P388" s="266"/>
      <c r="Q388" s="1754"/>
      <c r="S388" s="3487"/>
    </row>
    <row r="389" spans="2:19" ht="7.5" customHeight="1">
      <c r="B389" s="1762"/>
      <c r="C389" s="490"/>
      <c r="D389" s="489"/>
      <c r="E389" s="488"/>
      <c r="F389" s="488"/>
      <c r="G389" s="488"/>
      <c r="H389" s="488"/>
      <c r="I389" s="488"/>
      <c r="J389" s="488"/>
      <c r="K389" s="488"/>
      <c r="L389" s="488"/>
      <c r="M389" s="488"/>
      <c r="N389" s="488"/>
      <c r="O389" s="488"/>
      <c r="P389" s="266"/>
      <c r="Q389" s="1754"/>
      <c r="S389" s="3487"/>
    </row>
    <row r="390" spans="2:19" ht="15" customHeight="1">
      <c r="B390" s="1762"/>
      <c r="C390" s="104"/>
      <c r="D390" s="671" t="s">
        <v>634</v>
      </c>
      <c r="E390" s="488"/>
      <c r="F390" s="488"/>
      <c r="G390" s="488"/>
      <c r="H390" s="488"/>
      <c r="I390" s="488"/>
      <c r="J390" s="488"/>
      <c r="K390" s="488"/>
      <c r="L390" s="488"/>
      <c r="M390" s="488"/>
      <c r="N390" s="488"/>
      <c r="O390" s="488"/>
      <c r="P390" s="266"/>
      <c r="Q390" s="1754"/>
      <c r="S390" s="3487"/>
    </row>
    <row r="391" spans="2:19" ht="20.25" customHeight="1">
      <c r="B391" s="1762"/>
      <c r="C391" s="104"/>
      <c r="D391" s="671" t="s">
        <v>635</v>
      </c>
      <c r="E391" s="488"/>
      <c r="F391" s="488"/>
      <c r="G391" s="488"/>
      <c r="H391" s="488"/>
      <c r="I391" s="488"/>
      <c r="J391" s="488"/>
      <c r="K391" s="488"/>
      <c r="L391" s="488"/>
      <c r="M391" s="488"/>
      <c r="N391" s="488"/>
      <c r="O391" s="488"/>
      <c r="P391" s="266"/>
      <c r="Q391" s="1754"/>
      <c r="S391" s="3487"/>
    </row>
    <row r="392" spans="2:19" ht="18.75" customHeight="1">
      <c r="B392" s="1762"/>
      <c r="C392" s="104"/>
      <c r="D392" s="669" t="s">
        <v>632</v>
      </c>
      <c r="E392" s="618" t="s">
        <v>636</v>
      </c>
      <c r="F392" s="488"/>
      <c r="G392" s="488"/>
      <c r="H392" s="488"/>
      <c r="I392" s="488"/>
      <c r="J392" s="488"/>
      <c r="K392" s="488"/>
      <c r="L392" s="488"/>
      <c r="M392" s="488"/>
      <c r="N392" s="488"/>
      <c r="O392" s="488"/>
      <c r="P392" s="266"/>
      <c r="Q392" s="1754"/>
      <c r="S392" s="3487"/>
    </row>
    <row r="393" spans="2:19" ht="18.75" customHeight="1">
      <c r="B393" s="1762"/>
      <c r="C393" s="104"/>
      <c r="D393" s="670"/>
      <c r="E393" s="489" t="s">
        <v>637</v>
      </c>
      <c r="F393" s="488"/>
      <c r="G393" s="488"/>
      <c r="H393" s="488"/>
      <c r="I393" s="488"/>
      <c r="J393" s="488"/>
      <c r="K393" s="488"/>
      <c r="L393" s="488"/>
      <c r="M393" s="488"/>
      <c r="N393" s="488"/>
      <c r="O393" s="488"/>
      <c r="P393" s="266"/>
      <c r="Q393" s="1754"/>
      <c r="S393" s="3487"/>
    </row>
    <row r="394" spans="2:19" ht="18.75" customHeight="1">
      <c r="B394" s="1762"/>
      <c r="C394" s="104"/>
      <c r="D394" s="670" t="s">
        <v>632</v>
      </c>
      <c r="E394" s="491" t="s">
        <v>638</v>
      </c>
      <c r="F394" s="488"/>
      <c r="G394" s="488"/>
      <c r="H394" s="488"/>
      <c r="I394" s="488"/>
      <c r="J394" s="488"/>
      <c r="K394" s="488"/>
      <c r="L394" s="488"/>
      <c r="M394" s="488"/>
      <c r="N394" s="488"/>
      <c r="O394" s="488"/>
      <c r="P394" s="266"/>
      <c r="Q394" s="1754"/>
      <c r="S394" s="3487"/>
    </row>
    <row r="395" spans="2:19" ht="18.75" customHeight="1">
      <c r="B395" s="1762"/>
      <c r="C395" s="104"/>
      <c r="D395" s="670" t="s">
        <v>632</v>
      </c>
      <c r="E395" s="491" t="s">
        <v>639</v>
      </c>
      <c r="F395" s="488"/>
      <c r="G395" s="488"/>
      <c r="H395" s="488"/>
      <c r="I395" s="488"/>
      <c r="J395" s="488"/>
      <c r="K395" s="488"/>
      <c r="L395" s="488"/>
      <c r="M395" s="488"/>
      <c r="N395" s="488"/>
      <c r="O395" s="488"/>
      <c r="P395" s="266"/>
      <c r="Q395" s="1754"/>
      <c r="S395" s="3487"/>
    </row>
    <row r="396" spans="2:19" ht="9" customHeight="1">
      <c r="B396" s="1762"/>
      <c r="C396" s="104"/>
      <c r="D396" s="670"/>
      <c r="E396" s="491"/>
      <c r="F396" s="488"/>
      <c r="G396" s="488"/>
      <c r="H396" s="488"/>
      <c r="I396" s="488"/>
      <c r="J396" s="488"/>
      <c r="K396" s="488"/>
      <c r="L396" s="488"/>
      <c r="M396" s="488"/>
      <c r="N396" s="488"/>
      <c r="O396" s="488"/>
      <c r="P396" s="266"/>
      <c r="Q396" s="1754"/>
      <c r="S396" s="3487"/>
    </row>
    <row r="397" spans="2:19" ht="20.25" customHeight="1">
      <c r="B397" s="1762"/>
      <c r="C397" s="600" t="s">
        <v>640</v>
      </c>
      <c r="D397" s="488"/>
      <c r="E397" s="488"/>
      <c r="F397" s="488"/>
      <c r="G397" s="488"/>
      <c r="H397" s="488"/>
      <c r="I397" s="488"/>
      <c r="J397" s="488"/>
      <c r="K397" s="488"/>
      <c r="L397" s="488"/>
      <c r="M397" s="488"/>
      <c r="N397" s="488"/>
      <c r="O397" s="488"/>
      <c r="P397" s="266"/>
      <c r="Q397" s="1754"/>
      <c r="S397" s="3487"/>
    </row>
    <row r="398" spans="2:19" ht="20.25" customHeight="1">
      <c r="B398" s="1762"/>
      <c r="C398" s="490" t="s">
        <v>632</v>
      </c>
      <c r="D398" s="599" t="s">
        <v>641</v>
      </c>
      <c r="E398" s="488"/>
      <c r="F398" s="488"/>
      <c r="G398" s="488"/>
      <c r="H398" s="488"/>
      <c r="I398" s="488"/>
      <c r="J398" s="488"/>
      <c r="K398" s="488"/>
      <c r="L398" s="488"/>
      <c r="M398" s="488"/>
      <c r="N398" s="488"/>
      <c r="O398" s="488"/>
      <c r="P398" s="266"/>
      <c r="Q398" s="1754"/>
      <c r="S398" s="3487"/>
    </row>
    <row r="399" spans="2:19" ht="6" customHeight="1">
      <c r="B399" s="1762"/>
      <c r="C399" s="490"/>
      <c r="D399" s="491"/>
      <c r="E399" s="488"/>
      <c r="F399" s="488"/>
      <c r="G399" s="488"/>
      <c r="H399" s="488"/>
      <c r="I399" s="488"/>
      <c r="J399" s="488"/>
      <c r="K399" s="488"/>
      <c r="L399" s="488"/>
      <c r="M399" s="488"/>
      <c r="N399" s="488"/>
      <c r="O399" s="488"/>
      <c r="P399" s="266"/>
      <c r="Q399" s="1754"/>
      <c r="S399" s="3487"/>
    </row>
    <row r="400" spans="2:19" ht="26.25" customHeight="1">
      <c r="B400" s="1762"/>
      <c r="C400" s="916" t="s">
        <v>642</v>
      </c>
      <c r="D400" s="489"/>
      <c r="E400" s="488"/>
      <c r="F400" s="488"/>
      <c r="G400" s="488"/>
      <c r="H400" s="488"/>
      <c r="I400" s="488"/>
      <c r="J400" s="488"/>
      <c r="K400" s="488"/>
      <c r="L400" s="488"/>
      <c r="M400" s="488"/>
      <c r="N400" s="488"/>
      <c r="O400" s="488"/>
      <c r="P400" s="266"/>
      <c r="Q400" s="1754"/>
      <c r="S400" s="3487"/>
    </row>
    <row r="401" spans="2:34" ht="21.75" customHeight="1">
      <c r="B401" s="1762"/>
      <c r="C401" s="757" t="s">
        <v>643</v>
      </c>
      <c r="D401" s="489"/>
      <c r="E401" s="488"/>
      <c r="F401" s="488"/>
      <c r="G401" s="488"/>
      <c r="H401" s="488"/>
      <c r="I401" s="488"/>
      <c r="J401" s="488"/>
      <c r="K401" s="488"/>
      <c r="L401" s="488"/>
      <c r="M401" s="488"/>
      <c r="N401" s="488"/>
      <c r="O401" s="488"/>
      <c r="P401" s="266"/>
      <c r="Q401" s="1754"/>
      <c r="S401" s="3487"/>
    </row>
    <row r="402" spans="2:34" ht="16.5" customHeight="1">
      <c r="B402" s="1762"/>
      <c r="C402" s="917" t="s">
        <v>644</v>
      </c>
      <c r="D402" s="489"/>
      <c r="E402" s="488"/>
      <c r="F402" s="488"/>
      <c r="G402" s="488"/>
      <c r="H402" s="488"/>
      <c r="I402" s="488"/>
      <c r="J402" s="488"/>
      <c r="K402" s="488"/>
      <c r="L402" s="488"/>
      <c r="M402" s="488"/>
      <c r="N402" s="488"/>
      <c r="O402" s="488"/>
      <c r="P402" s="266"/>
      <c r="Q402" s="1754"/>
      <c r="S402" s="3487"/>
    </row>
    <row r="403" spans="2:34" ht="23.25" customHeight="1">
      <c r="B403" s="1762"/>
      <c r="C403" s="918" t="s">
        <v>645</v>
      </c>
      <c r="D403" s="489"/>
      <c r="E403" s="488"/>
      <c r="F403" s="488"/>
      <c r="G403" s="488"/>
      <c r="H403" s="488"/>
      <c r="I403" s="488"/>
      <c r="J403" s="488"/>
      <c r="K403" s="488"/>
      <c r="L403" s="488"/>
      <c r="M403" s="488"/>
      <c r="N403" s="488"/>
      <c r="O403" s="488"/>
      <c r="P403" s="266"/>
      <c r="Q403" s="1754"/>
      <c r="S403" s="3487"/>
    </row>
    <row r="404" spans="2:34" ht="13.5" customHeight="1">
      <c r="B404" s="1762"/>
      <c r="C404" s="324"/>
      <c r="D404" s="325"/>
      <c r="E404" s="306"/>
      <c r="F404" s="306"/>
      <c r="G404" s="306"/>
      <c r="H404" s="306"/>
      <c r="I404" s="306"/>
      <c r="J404" s="306"/>
      <c r="K404" s="306"/>
      <c r="L404" s="306"/>
      <c r="M404" s="306"/>
      <c r="N404" s="306"/>
      <c r="O404" s="306"/>
      <c r="P404" s="307"/>
      <c r="Q404" s="1754"/>
      <c r="S404" s="3487"/>
    </row>
    <row r="405" spans="2:34" ht="16.5" customHeight="1">
      <c r="B405" s="1762"/>
      <c r="C405" s="3710"/>
      <c r="D405" s="3710"/>
      <c r="E405" s="3710"/>
      <c r="F405" s="3710"/>
      <c r="G405" s="3710"/>
      <c r="H405" s="1885"/>
      <c r="I405" s="1885"/>
      <c r="J405" s="3711"/>
      <c r="K405" s="3711"/>
      <c r="L405" s="1885"/>
      <c r="M405" s="3711"/>
      <c r="N405" s="3711"/>
      <c r="O405" s="1885"/>
      <c r="P405" s="1885"/>
      <c r="Q405" s="1754"/>
      <c r="S405" s="3487"/>
    </row>
    <row r="406" spans="2:34" ht="18" customHeight="1" thickBot="1">
      <c r="B406" s="1762"/>
      <c r="C406" s="1802"/>
      <c r="D406" s="1802"/>
      <c r="E406" s="1753"/>
      <c r="F406" s="1753"/>
      <c r="G406" s="1753"/>
      <c r="H406" s="1753"/>
      <c r="I406" s="1753"/>
      <c r="J406" s="1753"/>
      <c r="K406" s="1753"/>
      <c r="L406" s="1753"/>
      <c r="M406" s="1753"/>
      <c r="N406" s="1753"/>
      <c r="O406" s="1753"/>
      <c r="P406" s="1753"/>
      <c r="Q406" s="1754"/>
      <c r="S406" s="3487"/>
    </row>
    <row r="407" spans="2:34" ht="30" customHeight="1">
      <c r="B407" s="1762"/>
      <c r="C407" s="3214" t="s">
        <v>818</v>
      </c>
      <c r="D407" s="3215"/>
      <c r="E407" s="3215"/>
      <c r="F407" s="3216"/>
      <c r="G407" s="1889"/>
      <c r="H407" s="1889"/>
      <c r="I407" s="1889"/>
      <c r="J407" s="1889"/>
      <c r="K407" s="1889"/>
      <c r="L407" s="1889"/>
      <c r="M407" s="1889"/>
      <c r="N407" s="1889"/>
      <c r="O407" s="1890"/>
      <c r="P407" s="1889"/>
      <c r="Q407" s="1754"/>
      <c r="S407" s="3487"/>
    </row>
    <row r="408" spans="2:34" ht="3" customHeight="1" thickBot="1">
      <c r="B408" s="1762"/>
      <c r="C408" s="1064"/>
      <c r="D408" s="1063"/>
      <c r="E408" s="1063"/>
      <c r="F408" s="1065"/>
      <c r="G408" s="1789"/>
      <c r="H408" s="1789"/>
      <c r="I408" s="1789"/>
      <c r="J408" s="1789"/>
      <c r="K408" s="1789"/>
      <c r="L408" s="1789"/>
      <c r="M408" s="1789"/>
      <c r="N408" s="1789"/>
      <c r="O408" s="1789"/>
      <c r="P408" s="1789"/>
      <c r="Q408" s="1754"/>
      <c r="S408" s="3487"/>
    </row>
    <row r="409" spans="2:34" ht="19.5" customHeight="1">
      <c r="B409" s="1762"/>
      <c r="C409" s="3239" t="s">
        <v>647</v>
      </c>
      <c r="D409" s="3240"/>
      <c r="E409" s="3236" t="s">
        <v>648</v>
      </c>
      <c r="F409" s="3237"/>
      <c r="G409" s="3237"/>
      <c r="H409" s="3237"/>
      <c r="I409" s="3237"/>
      <c r="J409" s="3237"/>
      <c r="K409" s="3237"/>
      <c r="L409" s="3237"/>
      <c r="M409" s="3237"/>
      <c r="N409" s="3238"/>
      <c r="O409" s="3232" t="s">
        <v>649</v>
      </c>
      <c r="P409" s="3233"/>
      <c r="Q409" s="1754"/>
      <c r="S409" s="3487"/>
      <c r="T409" s="3358"/>
      <c r="U409" s="3359"/>
      <c r="V409" s="3359"/>
      <c r="W409" s="3359"/>
      <c r="X409" s="3359"/>
      <c r="Y409" s="3359"/>
      <c r="Z409" s="3359"/>
      <c r="AA409" s="3359"/>
      <c r="AB409" s="3359"/>
      <c r="AC409" s="3359"/>
      <c r="AD409" s="3359"/>
      <c r="AE409" s="3358"/>
      <c r="AF409" s="3358"/>
      <c r="AG409" s="3358"/>
      <c r="AH409" s="3358"/>
    </row>
    <row r="410" spans="2:34" ht="19.5" customHeight="1" thickBot="1">
      <c r="B410" s="1762"/>
      <c r="C410" s="3362"/>
      <c r="D410" s="3363"/>
      <c r="E410" s="481">
        <f>IF(E51="",0,E51)</f>
        <v>0</v>
      </c>
      <c r="F410" s="312">
        <f t="shared" ref="F410:N410" si="0">E410+1</f>
        <v>1</v>
      </c>
      <c r="G410" s="312">
        <f t="shared" si="0"/>
        <v>2</v>
      </c>
      <c r="H410" s="312">
        <f t="shared" si="0"/>
        <v>3</v>
      </c>
      <c r="I410" s="312">
        <f t="shared" si="0"/>
        <v>4</v>
      </c>
      <c r="J410" s="312">
        <f t="shared" si="0"/>
        <v>5</v>
      </c>
      <c r="K410" s="312">
        <f t="shared" si="0"/>
        <v>6</v>
      </c>
      <c r="L410" s="312">
        <f t="shared" si="0"/>
        <v>7</v>
      </c>
      <c r="M410" s="312">
        <f t="shared" si="0"/>
        <v>8</v>
      </c>
      <c r="N410" s="312">
        <f t="shared" si="0"/>
        <v>9</v>
      </c>
      <c r="O410" s="3342"/>
      <c r="P410" s="3360"/>
      <c r="Q410" s="1754"/>
      <c r="S410" s="3487"/>
      <c r="T410" s="3358"/>
      <c r="U410" s="326"/>
      <c r="V410" s="327"/>
      <c r="W410" s="327"/>
      <c r="X410" s="327"/>
      <c r="Y410" s="327"/>
      <c r="Z410" s="327"/>
      <c r="AA410" s="327"/>
      <c r="AB410" s="327"/>
      <c r="AC410" s="327"/>
      <c r="AD410" s="327"/>
      <c r="AE410" s="3358"/>
      <c r="AF410" s="3358"/>
      <c r="AG410" s="3358"/>
      <c r="AH410" s="3358"/>
    </row>
    <row r="411" spans="2:34" ht="22.5" customHeight="1" thickTop="1" thickBot="1">
      <c r="B411" s="1762"/>
      <c r="C411" s="1066" t="s">
        <v>477</v>
      </c>
      <c r="D411" s="744" t="s">
        <v>467</v>
      </c>
      <c r="E411" s="745">
        <f t="shared" ref="E411:N411" si="1">E412+E419</f>
        <v>0</v>
      </c>
      <c r="F411" s="746">
        <f t="shared" si="1"/>
        <v>0</v>
      </c>
      <c r="G411" s="746">
        <f t="shared" si="1"/>
        <v>0</v>
      </c>
      <c r="H411" s="746">
        <f t="shared" si="1"/>
        <v>0</v>
      </c>
      <c r="I411" s="746">
        <f t="shared" si="1"/>
        <v>0</v>
      </c>
      <c r="J411" s="746">
        <f t="shared" si="1"/>
        <v>0</v>
      </c>
      <c r="K411" s="746">
        <f t="shared" si="1"/>
        <v>0</v>
      </c>
      <c r="L411" s="746">
        <f t="shared" si="1"/>
        <v>0</v>
      </c>
      <c r="M411" s="746">
        <f t="shared" si="1"/>
        <v>0</v>
      </c>
      <c r="N411" s="747">
        <f t="shared" si="1"/>
        <v>0</v>
      </c>
      <c r="O411" s="3230">
        <f t="shared" ref="O411:O425" si="2">SUM(E411:N411)</f>
        <v>0</v>
      </c>
      <c r="P411" s="3231"/>
      <c r="Q411" s="1754"/>
      <c r="S411" s="3487"/>
      <c r="T411" s="662"/>
      <c r="U411" s="326"/>
      <c r="V411" s="327"/>
      <c r="W411" s="327"/>
      <c r="X411" s="327"/>
      <c r="Y411" s="327"/>
      <c r="Z411" s="327"/>
      <c r="AA411" s="327"/>
      <c r="AB411" s="327"/>
      <c r="AC411" s="327"/>
      <c r="AD411" s="327"/>
      <c r="AE411" s="662"/>
      <c r="AF411" s="662"/>
      <c r="AG411" s="662"/>
      <c r="AH411" s="662"/>
    </row>
    <row r="412" spans="2:34" ht="22.5" customHeight="1">
      <c r="B412" s="1762"/>
      <c r="C412" s="1069" t="s">
        <v>101</v>
      </c>
      <c r="D412" s="738" t="s">
        <v>650</v>
      </c>
      <c r="E412" s="739">
        <f>SUM(E413:E414)</f>
        <v>0</v>
      </c>
      <c r="F412" s="740">
        <f t="shared" ref="F412:N412" si="3">SUM(F413:F414)</f>
        <v>0</v>
      </c>
      <c r="G412" s="740">
        <f t="shared" si="3"/>
        <v>0</v>
      </c>
      <c r="H412" s="740">
        <f t="shared" si="3"/>
        <v>0</v>
      </c>
      <c r="I412" s="740">
        <f t="shared" si="3"/>
        <v>0</v>
      </c>
      <c r="J412" s="740">
        <f t="shared" si="3"/>
        <v>0</v>
      </c>
      <c r="K412" s="740">
        <f t="shared" si="3"/>
        <v>0</v>
      </c>
      <c r="L412" s="740">
        <f t="shared" si="3"/>
        <v>0</v>
      </c>
      <c r="M412" s="740">
        <f t="shared" si="3"/>
        <v>0</v>
      </c>
      <c r="N412" s="740">
        <f t="shared" si="3"/>
        <v>0</v>
      </c>
      <c r="O412" s="3274">
        <f t="shared" si="2"/>
        <v>0</v>
      </c>
      <c r="P412" s="3275"/>
      <c r="Q412" s="1754"/>
      <c r="S412" s="3487"/>
      <c r="T412" s="662"/>
      <c r="U412" s="326"/>
      <c r="V412" s="327"/>
      <c r="W412" s="327"/>
      <c r="X412" s="327"/>
      <c r="Y412" s="327"/>
      <c r="Z412" s="327"/>
      <c r="AA412" s="327"/>
      <c r="AB412" s="327"/>
      <c r="AC412" s="327"/>
      <c r="AD412" s="327"/>
      <c r="AE412" s="662"/>
      <c r="AF412" s="662"/>
      <c r="AG412" s="662"/>
      <c r="AH412" s="662"/>
    </row>
    <row r="413" spans="2:34" ht="18" customHeight="1">
      <c r="B413" s="1852" t="str">
        <f>IF(COUNTBLANK(E413:N413)&lt;10,"","u")</f>
        <v>u</v>
      </c>
      <c r="C413" s="1140" t="s">
        <v>2287</v>
      </c>
      <c r="D413" s="596"/>
      <c r="E413" s="594"/>
      <c r="F413" s="595"/>
      <c r="G413" s="595"/>
      <c r="H413" s="595"/>
      <c r="I413" s="595"/>
      <c r="J413" s="595"/>
      <c r="K413" s="595"/>
      <c r="L413" s="595"/>
      <c r="M413" s="595"/>
      <c r="N413" s="595"/>
      <c r="O413" s="3272">
        <f t="shared" si="2"/>
        <v>0</v>
      </c>
      <c r="P413" s="3273"/>
      <c r="Q413" s="1754"/>
      <c r="S413" s="3487"/>
      <c r="T413" s="328"/>
      <c r="U413" s="234"/>
      <c r="V413" s="234"/>
      <c r="W413" s="234"/>
      <c r="X413" s="234"/>
      <c r="Y413" s="234"/>
      <c r="Z413" s="234"/>
      <c r="AA413" s="234"/>
      <c r="AB413" s="234"/>
      <c r="AC413" s="234"/>
      <c r="AD413" s="234"/>
      <c r="AE413" s="234"/>
      <c r="AF413" s="234"/>
      <c r="AG413" s="234"/>
      <c r="AH413" s="234"/>
    </row>
    <row r="414" spans="2:34" ht="18" customHeight="1">
      <c r="B414" s="1852" t="str">
        <f>IF(COUNTBLANK(E414:N414)&lt;10,"","u")</f>
        <v>u</v>
      </c>
      <c r="C414" s="1068" t="s">
        <v>651</v>
      </c>
      <c r="D414" s="724" t="s">
        <v>237</v>
      </c>
      <c r="E414" s="725"/>
      <c r="F414" s="726"/>
      <c r="G414" s="726"/>
      <c r="H414" s="726"/>
      <c r="I414" s="726"/>
      <c r="J414" s="726"/>
      <c r="K414" s="726"/>
      <c r="L414" s="726"/>
      <c r="M414" s="726"/>
      <c r="N414" s="726"/>
      <c r="O414" s="3276">
        <f t="shared" si="2"/>
        <v>0</v>
      </c>
      <c r="P414" s="3277"/>
      <c r="Q414" s="1754"/>
      <c r="S414" s="3487"/>
      <c r="T414" s="328"/>
      <c r="U414" s="234"/>
      <c r="V414" s="234"/>
      <c r="W414" s="234"/>
      <c r="X414" s="234"/>
      <c r="Y414" s="234"/>
      <c r="Z414" s="234"/>
      <c r="AA414" s="234"/>
      <c r="AB414" s="234"/>
      <c r="AC414" s="234"/>
      <c r="AD414" s="234"/>
      <c r="AE414" s="234"/>
      <c r="AF414" s="234"/>
      <c r="AG414" s="234"/>
      <c r="AH414" s="234"/>
    </row>
    <row r="415" spans="2:34" ht="18" customHeight="1">
      <c r="B415" s="1852" t="str">
        <f>IF(COUNTBLANK(E415:N415)&lt;10,"","w")</f>
        <v>w</v>
      </c>
      <c r="C415" s="3201" t="s">
        <v>652</v>
      </c>
      <c r="D415" s="3202"/>
      <c r="E415" s="728"/>
      <c r="F415" s="729"/>
      <c r="G415" s="729"/>
      <c r="H415" s="729"/>
      <c r="I415" s="729"/>
      <c r="J415" s="729"/>
      <c r="K415" s="729"/>
      <c r="L415" s="729"/>
      <c r="M415" s="729"/>
      <c r="N415" s="730"/>
      <c r="O415" s="3228">
        <f t="shared" si="2"/>
        <v>0</v>
      </c>
      <c r="P415" s="3229"/>
      <c r="Q415" s="1754"/>
      <c r="S415" s="3487"/>
      <c r="T415" s="328"/>
      <c r="U415" s="234"/>
      <c r="V415" s="234"/>
      <c r="W415" s="234"/>
      <c r="X415" s="234"/>
      <c r="Y415" s="234"/>
      <c r="Z415" s="234"/>
      <c r="AA415" s="234"/>
      <c r="AB415" s="234"/>
      <c r="AC415" s="234"/>
      <c r="AD415" s="234"/>
      <c r="AE415" s="234"/>
      <c r="AF415" s="234"/>
      <c r="AG415" s="234"/>
      <c r="AH415" s="234"/>
    </row>
    <row r="416" spans="2:34" ht="18" customHeight="1">
      <c r="B416" s="1852" t="str">
        <f>IF(COUNTBLANK(E416:N416)&lt;10,"","w")</f>
        <v>w</v>
      </c>
      <c r="C416" s="3266" t="s">
        <v>653</v>
      </c>
      <c r="D416" s="3267"/>
      <c r="E416" s="716"/>
      <c r="F416" s="717"/>
      <c r="G416" s="717"/>
      <c r="H416" s="717"/>
      <c r="I416" s="717"/>
      <c r="J416" s="717"/>
      <c r="K416" s="717"/>
      <c r="L416" s="717"/>
      <c r="M416" s="717"/>
      <c r="N416" s="718"/>
      <c r="O416" s="3268">
        <f t="shared" si="2"/>
        <v>0</v>
      </c>
      <c r="P416" s="3269"/>
      <c r="Q416" s="1754"/>
      <c r="S416" s="3487"/>
    </row>
    <row r="417" spans="2:34" ht="18" customHeight="1">
      <c r="B417" s="1852" t="str">
        <f>IF(COUNTBLANK(E417:N417)&lt;10,"","w")</f>
        <v>w</v>
      </c>
      <c r="C417" s="3205" t="s">
        <v>654</v>
      </c>
      <c r="D417" s="3206"/>
      <c r="E417" s="735"/>
      <c r="F417" s="736"/>
      <c r="G417" s="736"/>
      <c r="H417" s="736"/>
      <c r="I417" s="736"/>
      <c r="J417" s="736"/>
      <c r="K417" s="736"/>
      <c r="L417" s="736"/>
      <c r="M417" s="736"/>
      <c r="N417" s="737"/>
      <c r="O417" s="3224">
        <f t="shared" si="2"/>
        <v>0</v>
      </c>
      <c r="P417" s="3225"/>
      <c r="Q417" s="1754"/>
      <c r="S417" s="3487"/>
    </row>
    <row r="418" spans="2:34" ht="18" customHeight="1" thickBot="1">
      <c r="B418" s="1852" t="str">
        <f>IF(COUNTBLANK(E418:N418)&lt;10,"","w")</f>
        <v>w</v>
      </c>
      <c r="C418" s="3203" t="s">
        <v>655</v>
      </c>
      <c r="D418" s="3204"/>
      <c r="E418" s="752"/>
      <c r="F418" s="753"/>
      <c r="G418" s="753"/>
      <c r="H418" s="753"/>
      <c r="I418" s="753"/>
      <c r="J418" s="753"/>
      <c r="K418" s="753"/>
      <c r="L418" s="753"/>
      <c r="M418" s="753"/>
      <c r="N418" s="754"/>
      <c r="O418" s="3364">
        <f t="shared" si="2"/>
        <v>0</v>
      </c>
      <c r="P418" s="3365"/>
      <c r="Q418" s="1754"/>
      <c r="S418" s="3487"/>
    </row>
    <row r="419" spans="2:34" ht="22.5" customHeight="1">
      <c r="B419" s="1762"/>
      <c r="C419" s="1067" t="s">
        <v>102</v>
      </c>
      <c r="D419" s="734" t="s">
        <v>650</v>
      </c>
      <c r="E419" s="732">
        <f>SUM(E420:E421)</f>
        <v>0</v>
      </c>
      <c r="F419" s="733">
        <f t="shared" ref="F419:N419" si="4">SUM(F420:F421)</f>
        <v>0</v>
      </c>
      <c r="G419" s="733">
        <f t="shared" si="4"/>
        <v>0</v>
      </c>
      <c r="H419" s="733">
        <f t="shared" si="4"/>
        <v>0</v>
      </c>
      <c r="I419" s="733">
        <f t="shared" si="4"/>
        <v>0</v>
      </c>
      <c r="J419" s="733">
        <f t="shared" si="4"/>
        <v>0</v>
      </c>
      <c r="K419" s="733">
        <f t="shared" si="4"/>
        <v>0</v>
      </c>
      <c r="L419" s="733">
        <f t="shared" si="4"/>
        <v>0</v>
      </c>
      <c r="M419" s="733">
        <f t="shared" si="4"/>
        <v>0</v>
      </c>
      <c r="N419" s="733">
        <f t="shared" si="4"/>
        <v>0</v>
      </c>
      <c r="O419" s="3174">
        <f t="shared" si="2"/>
        <v>0</v>
      </c>
      <c r="P419" s="3175"/>
      <c r="Q419" s="1754"/>
      <c r="S419" s="3487"/>
      <c r="T419" s="662"/>
      <c r="U419" s="326"/>
      <c r="V419" s="327"/>
      <c r="W419" s="327"/>
      <c r="X419" s="327"/>
      <c r="Y419" s="327"/>
      <c r="Z419" s="327"/>
      <c r="AA419" s="327"/>
      <c r="AB419" s="327"/>
      <c r="AC419" s="327"/>
      <c r="AD419" s="327"/>
      <c r="AE419" s="662"/>
      <c r="AF419" s="662"/>
      <c r="AG419" s="662"/>
      <c r="AH419" s="662"/>
    </row>
    <row r="420" spans="2:34" ht="18" customHeight="1">
      <c r="B420" s="1852" t="str">
        <f>IF(COUNTBLANK(E420:N420)&lt;10,"","u")</f>
        <v>u</v>
      </c>
      <c r="C420" s="1140" t="s">
        <v>2287</v>
      </c>
      <c r="D420" s="352"/>
      <c r="E420" s="570"/>
      <c r="F420" s="571"/>
      <c r="G420" s="571"/>
      <c r="H420" s="571"/>
      <c r="I420" s="571"/>
      <c r="J420" s="571"/>
      <c r="K420" s="571"/>
      <c r="L420" s="571"/>
      <c r="M420" s="571"/>
      <c r="N420" s="571"/>
      <c r="O420" s="3289">
        <f t="shared" si="2"/>
        <v>0</v>
      </c>
      <c r="P420" s="3290"/>
      <c r="Q420" s="1754"/>
      <c r="S420" s="3487"/>
      <c r="T420" s="328"/>
      <c r="U420" s="234"/>
      <c r="V420" s="234"/>
      <c r="W420" s="234"/>
      <c r="X420" s="234"/>
      <c r="Y420" s="234"/>
      <c r="Z420" s="234"/>
      <c r="AA420" s="234"/>
      <c r="AB420" s="234"/>
      <c r="AC420" s="234"/>
      <c r="AD420" s="234"/>
      <c r="AE420" s="234"/>
      <c r="AF420" s="234"/>
      <c r="AG420" s="234"/>
      <c r="AH420" s="234"/>
    </row>
    <row r="421" spans="2:34" ht="18" customHeight="1">
      <c r="B421" s="1852" t="str">
        <f>IF(COUNTBLANK(E421:N421)&lt;10,"","u")</f>
        <v>u</v>
      </c>
      <c r="C421" s="1144" t="s">
        <v>651</v>
      </c>
      <c r="D421" s="974" t="s">
        <v>237</v>
      </c>
      <c r="E421" s="973"/>
      <c r="F421" s="722"/>
      <c r="G421" s="722"/>
      <c r="H421" s="722"/>
      <c r="I421" s="722"/>
      <c r="J421" s="722"/>
      <c r="K421" s="722"/>
      <c r="L421" s="722"/>
      <c r="M421" s="722"/>
      <c r="N421" s="722"/>
      <c r="O421" s="3366">
        <f t="shared" si="2"/>
        <v>0</v>
      </c>
      <c r="P421" s="3367"/>
      <c r="Q421" s="1754"/>
      <c r="S421" s="3487"/>
      <c r="T421" s="328"/>
      <c r="U421" s="234"/>
      <c r="V421" s="234"/>
      <c r="W421" s="234"/>
      <c r="X421" s="234"/>
      <c r="Y421" s="234"/>
      <c r="Z421" s="234"/>
      <c r="AA421" s="234"/>
      <c r="AB421" s="234"/>
      <c r="AC421" s="234"/>
      <c r="AD421" s="234"/>
      <c r="AE421" s="234"/>
      <c r="AF421" s="234"/>
      <c r="AG421" s="234"/>
      <c r="AH421" s="234"/>
    </row>
    <row r="422" spans="2:34" ht="18" customHeight="1">
      <c r="B422" s="1852" t="str">
        <f>IF(COUNTBLANK(E422:N422)&lt;10,"","w")</f>
        <v>w</v>
      </c>
      <c r="C422" s="3282" t="s">
        <v>652</v>
      </c>
      <c r="D422" s="3283"/>
      <c r="E422" s="719"/>
      <c r="F422" s="720"/>
      <c r="G422" s="720"/>
      <c r="H422" s="720"/>
      <c r="I422" s="720"/>
      <c r="J422" s="720"/>
      <c r="K422" s="720"/>
      <c r="L422" s="720"/>
      <c r="M422" s="720"/>
      <c r="N422" s="721"/>
      <c r="O422" s="3246">
        <f t="shared" si="2"/>
        <v>0</v>
      </c>
      <c r="P422" s="3247"/>
      <c r="Q422" s="1754"/>
      <c r="S422" s="3487"/>
      <c r="T422" s="328"/>
      <c r="U422" s="234"/>
      <c r="V422" s="234"/>
      <c r="W422" s="234"/>
      <c r="X422" s="234"/>
      <c r="Y422" s="234"/>
      <c r="Z422" s="234"/>
      <c r="AA422" s="234"/>
      <c r="AB422" s="234"/>
      <c r="AC422" s="234"/>
      <c r="AD422" s="234"/>
      <c r="AE422" s="234"/>
      <c r="AF422" s="234"/>
      <c r="AG422" s="234"/>
      <c r="AH422" s="234"/>
    </row>
    <row r="423" spans="2:34" ht="18" customHeight="1">
      <c r="B423" s="1852" t="str">
        <f>IF(COUNTBLANK(E423:N423)&lt;10,"","w")</f>
        <v>w</v>
      </c>
      <c r="C423" s="3284" t="s">
        <v>653</v>
      </c>
      <c r="D423" s="3285"/>
      <c r="E423" s="716"/>
      <c r="F423" s="717"/>
      <c r="G423" s="717"/>
      <c r="H423" s="717"/>
      <c r="I423" s="717"/>
      <c r="J423" s="717"/>
      <c r="K423" s="717"/>
      <c r="L423" s="717"/>
      <c r="M423" s="717"/>
      <c r="N423" s="718"/>
      <c r="O423" s="3268">
        <f t="shared" si="2"/>
        <v>0</v>
      </c>
      <c r="P423" s="3269"/>
      <c r="Q423" s="1754"/>
      <c r="S423" s="3487"/>
    </row>
    <row r="424" spans="2:34" ht="18" customHeight="1">
      <c r="B424" s="1852" t="str">
        <f>IF(COUNTBLANK(E424:N424)&lt;10,"","w")</f>
        <v>w</v>
      </c>
      <c r="C424" s="3199" t="s">
        <v>654</v>
      </c>
      <c r="D424" s="3200"/>
      <c r="E424" s="735"/>
      <c r="F424" s="736"/>
      <c r="G424" s="736"/>
      <c r="H424" s="736"/>
      <c r="I424" s="736"/>
      <c r="J424" s="736"/>
      <c r="K424" s="736"/>
      <c r="L424" s="736"/>
      <c r="M424" s="736"/>
      <c r="N424" s="737"/>
      <c r="O424" s="3224">
        <f t="shared" si="2"/>
        <v>0</v>
      </c>
      <c r="P424" s="3225"/>
      <c r="Q424" s="1754"/>
      <c r="S424" s="3487"/>
    </row>
    <row r="425" spans="2:34" ht="18" customHeight="1" thickBot="1">
      <c r="B425" s="1852" t="str">
        <f>IF(COUNTBLANK(E425:N425)&lt;10,"","w")</f>
        <v>w</v>
      </c>
      <c r="C425" s="3199" t="s">
        <v>655</v>
      </c>
      <c r="D425" s="3200"/>
      <c r="E425" s="735"/>
      <c r="F425" s="736"/>
      <c r="G425" s="736"/>
      <c r="H425" s="736"/>
      <c r="I425" s="736"/>
      <c r="J425" s="736"/>
      <c r="K425" s="736"/>
      <c r="L425" s="736"/>
      <c r="M425" s="736"/>
      <c r="N425" s="737"/>
      <c r="O425" s="3224">
        <f t="shared" si="2"/>
        <v>0</v>
      </c>
      <c r="P425" s="3225"/>
      <c r="Q425" s="1754"/>
      <c r="S425" s="3487"/>
    </row>
    <row r="426" spans="2:34" ht="37.5" customHeight="1" thickBot="1">
      <c r="B426" s="1762"/>
      <c r="C426" s="3209" t="s">
        <v>539</v>
      </c>
      <c r="D426" s="3210"/>
      <c r="E426" s="3217"/>
      <c r="F426" s="3218"/>
      <c r="G426" s="3218"/>
      <c r="H426" s="3218"/>
      <c r="I426" s="3218"/>
      <c r="J426" s="3218"/>
      <c r="K426" s="3218"/>
      <c r="L426" s="3218"/>
      <c r="M426" s="3218"/>
      <c r="N426" s="3218"/>
      <c r="O426" s="3218"/>
      <c r="P426" s="3219"/>
      <c r="Q426" s="1754"/>
      <c r="S426" s="3487"/>
    </row>
    <row r="427" spans="2:34" ht="22.5" customHeight="1" thickBot="1">
      <c r="B427" s="1886"/>
      <c r="C427" s="1142" t="s">
        <v>482</v>
      </c>
      <c r="D427" s="1143" t="s">
        <v>467</v>
      </c>
      <c r="E427" s="1071">
        <f t="shared" ref="E427:N427" si="5">E428+E430+E429</f>
        <v>0</v>
      </c>
      <c r="F427" s="1072">
        <f t="shared" si="5"/>
        <v>0</v>
      </c>
      <c r="G427" s="1072">
        <f t="shared" si="5"/>
        <v>0</v>
      </c>
      <c r="H427" s="1072">
        <f t="shared" si="5"/>
        <v>0</v>
      </c>
      <c r="I427" s="1072">
        <f t="shared" si="5"/>
        <v>0</v>
      </c>
      <c r="J427" s="1072">
        <f t="shared" si="5"/>
        <v>0</v>
      </c>
      <c r="K427" s="1072">
        <f t="shared" si="5"/>
        <v>0</v>
      </c>
      <c r="L427" s="1072">
        <f t="shared" si="5"/>
        <v>0</v>
      </c>
      <c r="M427" s="1072">
        <f t="shared" si="5"/>
        <v>0</v>
      </c>
      <c r="N427" s="1073">
        <f t="shared" si="5"/>
        <v>0</v>
      </c>
      <c r="O427" s="3278">
        <f t="shared" ref="O427:O433" si="6">SUM(E427:N427)</f>
        <v>0</v>
      </c>
      <c r="P427" s="3279"/>
      <c r="Q427" s="1888"/>
      <c r="S427" s="3487"/>
      <c r="T427" s="328"/>
      <c r="U427" s="234"/>
      <c r="V427" s="234"/>
      <c r="W427" s="234"/>
      <c r="X427" s="234"/>
      <c r="Y427" s="234"/>
      <c r="Z427" s="234"/>
      <c r="AA427" s="234"/>
      <c r="AB427" s="234"/>
      <c r="AC427" s="234"/>
      <c r="AD427" s="234"/>
      <c r="AE427" s="234"/>
      <c r="AF427" s="234"/>
      <c r="AG427" s="234"/>
      <c r="AH427" s="234"/>
    </row>
    <row r="428" spans="2:34" ht="18" customHeight="1">
      <c r="B428" s="1852" t="str">
        <f>IF(COUNTBLANK(E428:N428)&lt;10,"","u")</f>
        <v>u</v>
      </c>
      <c r="C428" s="3211" t="s">
        <v>2287</v>
      </c>
      <c r="D428" s="3212"/>
      <c r="E428" s="1082"/>
      <c r="F428" s="1083"/>
      <c r="G428" s="1083"/>
      <c r="H428" s="1083"/>
      <c r="I428" s="1083"/>
      <c r="J428" s="1083"/>
      <c r="K428" s="1083"/>
      <c r="L428" s="1083"/>
      <c r="M428" s="1083"/>
      <c r="N428" s="1084"/>
      <c r="O428" s="3292">
        <f t="shared" si="6"/>
        <v>0</v>
      </c>
      <c r="P428" s="3293"/>
      <c r="Q428" s="1888"/>
      <c r="S428" s="3487"/>
      <c r="T428" s="328"/>
      <c r="U428" s="234"/>
      <c r="V428" s="234"/>
      <c r="W428" s="234"/>
      <c r="X428" s="234"/>
      <c r="Y428" s="234"/>
      <c r="Z428" s="234"/>
      <c r="AA428" s="234"/>
      <c r="AB428" s="234"/>
      <c r="AC428" s="234"/>
      <c r="AD428" s="234"/>
      <c r="AE428" s="234"/>
      <c r="AF428" s="234"/>
      <c r="AG428" s="234"/>
      <c r="AH428" s="234"/>
    </row>
    <row r="429" spans="2:34" ht="18" customHeight="1">
      <c r="B429" s="1852" t="str">
        <f>IF(COUNTBLANK(E429:N429)&lt;10,"","u")</f>
        <v>u</v>
      </c>
      <c r="C429" s="1138" t="s">
        <v>656</v>
      </c>
      <c r="D429" s="1139"/>
      <c r="E429" s="570"/>
      <c r="F429" s="571"/>
      <c r="G429" s="571"/>
      <c r="H429" s="571"/>
      <c r="I429" s="571"/>
      <c r="J429" s="571"/>
      <c r="K429" s="571"/>
      <c r="L429" s="571"/>
      <c r="M429" s="571"/>
      <c r="N429" s="572"/>
      <c r="O429" s="3289">
        <f t="shared" si="6"/>
        <v>0</v>
      </c>
      <c r="P429" s="3290"/>
      <c r="Q429" s="1888"/>
      <c r="S429" s="3487"/>
      <c r="T429" s="328"/>
      <c r="U429" s="234"/>
      <c r="V429" s="234"/>
      <c r="W429" s="234"/>
      <c r="X429" s="234"/>
      <c r="Y429" s="234"/>
      <c r="Z429" s="234"/>
      <c r="AA429" s="234"/>
      <c r="AB429" s="234"/>
      <c r="AC429" s="234"/>
      <c r="AD429" s="234"/>
      <c r="AE429" s="234"/>
      <c r="AF429" s="234"/>
      <c r="AG429" s="234"/>
      <c r="AH429" s="234"/>
    </row>
    <row r="430" spans="2:34" ht="18" customHeight="1">
      <c r="B430" s="1852" t="str">
        <f>IF(COUNTBLANK(E430:N430)&lt;10,"","u")</f>
        <v>u</v>
      </c>
      <c r="C430" s="1145" t="s">
        <v>651</v>
      </c>
      <c r="D430" s="974" t="s">
        <v>237</v>
      </c>
      <c r="E430" s="1085"/>
      <c r="F430" s="1086"/>
      <c r="G430" s="1086"/>
      <c r="H430" s="1086"/>
      <c r="I430" s="1086"/>
      <c r="J430" s="1086"/>
      <c r="K430" s="1086"/>
      <c r="L430" s="1086"/>
      <c r="M430" s="1086"/>
      <c r="N430" s="1087"/>
      <c r="O430" s="3276">
        <f t="shared" si="6"/>
        <v>0</v>
      </c>
      <c r="P430" s="3277"/>
      <c r="Q430" s="1754"/>
      <c r="S430" s="3487"/>
      <c r="T430" s="328"/>
      <c r="U430" s="234"/>
      <c r="V430" s="234"/>
      <c r="W430" s="234"/>
      <c r="X430" s="234"/>
      <c r="Y430" s="234"/>
      <c r="Z430" s="234"/>
      <c r="AA430" s="234"/>
      <c r="AB430" s="234"/>
      <c r="AC430" s="234"/>
      <c r="AD430" s="234"/>
      <c r="AE430" s="234"/>
      <c r="AF430" s="234"/>
      <c r="AG430" s="234"/>
      <c r="AH430" s="234"/>
    </row>
    <row r="431" spans="2:34" ht="18" customHeight="1">
      <c r="B431" s="1852" t="str">
        <f>IF(COUNTBLANK(E431:N431)&lt;10,"","w")</f>
        <v>w</v>
      </c>
      <c r="C431" s="3201" t="s">
        <v>653</v>
      </c>
      <c r="D431" s="3202"/>
      <c r="E431" s="728"/>
      <c r="F431" s="729"/>
      <c r="G431" s="729"/>
      <c r="H431" s="729"/>
      <c r="I431" s="729"/>
      <c r="J431" s="729"/>
      <c r="K431" s="729"/>
      <c r="L431" s="729"/>
      <c r="M431" s="729"/>
      <c r="N431" s="730"/>
      <c r="O431" s="3228">
        <f t="shared" si="6"/>
        <v>0</v>
      </c>
      <c r="P431" s="3229"/>
      <c r="Q431" s="1888"/>
      <c r="S431" s="3487"/>
    </row>
    <row r="432" spans="2:34" ht="18" customHeight="1">
      <c r="B432" s="1852" t="str">
        <f>IF(COUNTBLANK(E432:N432)&lt;10,"","w")</f>
        <v>w</v>
      </c>
      <c r="C432" s="3205" t="s">
        <v>654</v>
      </c>
      <c r="D432" s="3206"/>
      <c r="E432" s="735"/>
      <c r="F432" s="736"/>
      <c r="G432" s="736"/>
      <c r="H432" s="736"/>
      <c r="I432" s="736"/>
      <c r="J432" s="736"/>
      <c r="K432" s="736"/>
      <c r="L432" s="736"/>
      <c r="M432" s="736"/>
      <c r="N432" s="737"/>
      <c r="O432" s="3224">
        <f t="shared" si="6"/>
        <v>0</v>
      </c>
      <c r="P432" s="3225"/>
      <c r="Q432" s="1888"/>
      <c r="S432" s="3487"/>
    </row>
    <row r="433" spans="1:34" ht="18" customHeight="1" thickBot="1">
      <c r="B433" s="1852" t="str">
        <f>IF(COUNTBLANK(E433:N433)&lt;10,"","w")</f>
        <v>w</v>
      </c>
      <c r="C433" s="3205" t="s">
        <v>655</v>
      </c>
      <c r="D433" s="3206"/>
      <c r="E433" s="735"/>
      <c r="F433" s="736"/>
      <c r="G433" s="736"/>
      <c r="H433" s="736"/>
      <c r="I433" s="736"/>
      <c r="J433" s="736"/>
      <c r="K433" s="736"/>
      <c r="L433" s="736"/>
      <c r="M433" s="736"/>
      <c r="N433" s="737"/>
      <c r="O433" s="3224">
        <f t="shared" si="6"/>
        <v>0</v>
      </c>
      <c r="P433" s="3225"/>
      <c r="Q433" s="1888"/>
      <c r="S433" s="3487"/>
    </row>
    <row r="434" spans="1:34" ht="37.5" customHeight="1" thickBot="1">
      <c r="B434" s="1762"/>
      <c r="C434" s="3209" t="s">
        <v>539</v>
      </c>
      <c r="D434" s="3210"/>
      <c r="E434" s="3217"/>
      <c r="F434" s="3218"/>
      <c r="G434" s="3218"/>
      <c r="H434" s="3218"/>
      <c r="I434" s="3218"/>
      <c r="J434" s="3218"/>
      <c r="K434" s="3218"/>
      <c r="L434" s="3218"/>
      <c r="M434" s="3218"/>
      <c r="N434" s="3218"/>
      <c r="O434" s="3218"/>
      <c r="P434" s="3219"/>
      <c r="Q434" s="1754"/>
      <c r="S434" s="3487"/>
    </row>
    <row r="435" spans="1:34" ht="22.5" customHeight="1" thickBot="1">
      <c r="B435" s="1762"/>
      <c r="C435" s="1142" t="s">
        <v>657</v>
      </c>
      <c r="D435" s="1143" t="s">
        <v>467</v>
      </c>
      <c r="E435" s="1071">
        <f t="shared" ref="E435:N435" si="7">E436+E442</f>
        <v>0</v>
      </c>
      <c r="F435" s="1072">
        <f t="shared" si="7"/>
        <v>0</v>
      </c>
      <c r="G435" s="1072">
        <f t="shared" si="7"/>
        <v>0</v>
      </c>
      <c r="H435" s="1072">
        <f t="shared" si="7"/>
        <v>0</v>
      </c>
      <c r="I435" s="1072">
        <f t="shared" si="7"/>
        <v>0</v>
      </c>
      <c r="J435" s="1072">
        <f t="shared" si="7"/>
        <v>0</v>
      </c>
      <c r="K435" s="1072">
        <f t="shared" si="7"/>
        <v>0</v>
      </c>
      <c r="L435" s="1072">
        <f t="shared" si="7"/>
        <v>0</v>
      </c>
      <c r="M435" s="1072">
        <f t="shared" si="7"/>
        <v>0</v>
      </c>
      <c r="N435" s="1073">
        <f t="shared" si="7"/>
        <v>0</v>
      </c>
      <c r="O435" s="3278">
        <f t="shared" ref="O435:O447" si="8">SUM(E435:N435)</f>
        <v>0</v>
      </c>
      <c r="P435" s="3279"/>
      <c r="Q435" s="1754"/>
      <c r="S435" s="3487"/>
      <c r="T435" s="663"/>
      <c r="U435" s="11"/>
      <c r="V435" s="11"/>
      <c r="W435" s="11"/>
      <c r="X435" s="11"/>
      <c r="Y435" s="11"/>
      <c r="Z435" s="11"/>
      <c r="AA435" s="11"/>
      <c r="AB435" s="11"/>
      <c r="AC435" s="11"/>
      <c r="AD435" s="11"/>
      <c r="AE435" s="11"/>
    </row>
    <row r="436" spans="1:34" ht="22.5" customHeight="1">
      <c r="B436" s="1762"/>
      <c r="C436" s="1069" t="s">
        <v>104</v>
      </c>
      <c r="D436" s="738" t="s">
        <v>650</v>
      </c>
      <c r="E436" s="739">
        <f>SUM(E437:E438)</f>
        <v>0</v>
      </c>
      <c r="F436" s="740">
        <f t="shared" ref="F436:N436" si="9">SUM(F437:F438)</f>
        <v>0</v>
      </c>
      <c r="G436" s="740">
        <f t="shared" si="9"/>
        <v>0</v>
      </c>
      <c r="H436" s="740">
        <f t="shared" si="9"/>
        <v>0</v>
      </c>
      <c r="I436" s="740">
        <f t="shared" si="9"/>
        <v>0</v>
      </c>
      <c r="J436" s="740">
        <f t="shared" si="9"/>
        <v>0</v>
      </c>
      <c r="K436" s="740">
        <f t="shared" si="9"/>
        <v>0</v>
      </c>
      <c r="L436" s="740">
        <f t="shared" si="9"/>
        <v>0</v>
      </c>
      <c r="M436" s="740">
        <f t="shared" si="9"/>
        <v>0</v>
      </c>
      <c r="N436" s="740">
        <f t="shared" si="9"/>
        <v>0</v>
      </c>
      <c r="O436" s="3274">
        <f t="shared" si="8"/>
        <v>0</v>
      </c>
      <c r="P436" s="3275"/>
      <c r="Q436" s="1754"/>
      <c r="S436" s="3487"/>
      <c r="T436" s="662"/>
      <c r="U436" s="326"/>
      <c r="V436" s="327"/>
      <c r="W436" s="327"/>
      <c r="X436" s="327"/>
      <c r="Y436" s="327"/>
      <c r="Z436" s="327"/>
      <c r="AA436" s="327"/>
      <c r="AB436" s="327"/>
      <c r="AC436" s="327"/>
      <c r="AD436" s="327"/>
      <c r="AE436" s="662"/>
      <c r="AF436" s="662"/>
      <c r="AG436" s="662"/>
      <c r="AH436" s="662"/>
    </row>
    <row r="437" spans="1:34" ht="18" customHeight="1">
      <c r="B437" s="1852" t="str">
        <f>IF(COUNTBLANK(E437:N437)&lt;10,"","u")</f>
        <v>u</v>
      </c>
      <c r="C437" s="3211" t="s">
        <v>2287</v>
      </c>
      <c r="D437" s="3212"/>
      <c r="E437" s="570"/>
      <c r="F437" s="571"/>
      <c r="G437" s="571"/>
      <c r="H437" s="571"/>
      <c r="I437" s="571"/>
      <c r="J437" s="571"/>
      <c r="K437" s="571"/>
      <c r="L437" s="571"/>
      <c r="M437" s="571"/>
      <c r="N437" s="572"/>
      <c r="O437" s="3226">
        <f t="shared" si="8"/>
        <v>0</v>
      </c>
      <c r="P437" s="3227"/>
      <c r="Q437" s="1754"/>
      <c r="S437" s="3487"/>
      <c r="T437" s="328"/>
      <c r="U437" s="234"/>
      <c r="V437" s="234"/>
      <c r="W437" s="234"/>
      <c r="X437" s="234"/>
      <c r="Y437" s="234"/>
      <c r="Z437" s="234"/>
      <c r="AA437" s="234"/>
      <c r="AB437" s="234"/>
      <c r="AC437" s="234"/>
      <c r="AD437" s="234"/>
      <c r="AE437" s="234"/>
      <c r="AF437" s="234"/>
      <c r="AG437" s="234"/>
      <c r="AH437" s="234"/>
    </row>
    <row r="438" spans="1:34" ht="18" customHeight="1">
      <c r="B438" s="1852" t="str">
        <f>IF(COUNTBLANK(E438:N438)&lt;10,"","u")</f>
        <v>u</v>
      </c>
      <c r="C438" s="1068" t="s">
        <v>651</v>
      </c>
      <c r="D438" s="974" t="s">
        <v>237</v>
      </c>
      <c r="E438" s="1088"/>
      <c r="F438" s="722"/>
      <c r="G438" s="722"/>
      <c r="H438" s="722"/>
      <c r="I438" s="722"/>
      <c r="J438" s="722"/>
      <c r="K438" s="722"/>
      <c r="L438" s="722"/>
      <c r="M438" s="722"/>
      <c r="N438" s="723"/>
      <c r="O438" s="3226">
        <f t="shared" si="8"/>
        <v>0</v>
      </c>
      <c r="P438" s="3227"/>
      <c r="Q438" s="1754"/>
      <c r="S438" s="3487"/>
      <c r="T438" s="328"/>
      <c r="U438" s="234"/>
      <c r="V438" s="234"/>
      <c r="W438" s="234"/>
      <c r="X438" s="234"/>
      <c r="Y438" s="234"/>
      <c r="Z438" s="234"/>
      <c r="AA438" s="234"/>
      <c r="AB438" s="234"/>
      <c r="AC438" s="234"/>
      <c r="AD438" s="234"/>
      <c r="AE438" s="234"/>
      <c r="AF438" s="234"/>
      <c r="AG438" s="234"/>
      <c r="AH438" s="234"/>
    </row>
    <row r="439" spans="1:34" ht="18" customHeight="1">
      <c r="B439" s="1852" t="str">
        <f>IF(COUNTBLANK(E439:N439)&lt;10,"","w")</f>
        <v>w</v>
      </c>
      <c r="C439" s="3201" t="s">
        <v>653</v>
      </c>
      <c r="D439" s="3202"/>
      <c r="E439" s="731"/>
      <c r="F439" s="729"/>
      <c r="G439" s="729"/>
      <c r="H439" s="729"/>
      <c r="I439" s="729"/>
      <c r="J439" s="729"/>
      <c r="K439" s="729"/>
      <c r="L439" s="729"/>
      <c r="M439" s="729"/>
      <c r="N439" s="730"/>
      <c r="O439" s="3228">
        <f t="shared" si="8"/>
        <v>0</v>
      </c>
      <c r="P439" s="3229"/>
      <c r="Q439" s="1754"/>
      <c r="S439" s="3487"/>
    </row>
    <row r="440" spans="1:34" ht="18" customHeight="1">
      <c r="A440" s="28" t="s">
        <v>552</v>
      </c>
      <c r="B440" s="1852" t="str">
        <f>IF(COUNTBLANK(E440:N440)&lt;10,"","w")</f>
        <v>w</v>
      </c>
      <c r="C440" s="3205" t="s">
        <v>654</v>
      </c>
      <c r="D440" s="3206"/>
      <c r="E440" s="735"/>
      <c r="F440" s="736"/>
      <c r="G440" s="736"/>
      <c r="H440" s="736"/>
      <c r="I440" s="736"/>
      <c r="J440" s="736"/>
      <c r="K440" s="736"/>
      <c r="L440" s="736"/>
      <c r="M440" s="736"/>
      <c r="N440" s="737"/>
      <c r="O440" s="3224">
        <f t="shared" si="8"/>
        <v>0</v>
      </c>
      <c r="P440" s="3225"/>
      <c r="Q440" s="1754"/>
      <c r="S440" s="3487"/>
    </row>
    <row r="441" spans="1:34" ht="18" customHeight="1" thickBot="1">
      <c r="B441" s="1852" t="str">
        <f>IF(COUNTBLANK(E441:N441)&lt;10,"","w")</f>
        <v>w</v>
      </c>
      <c r="C441" s="3203" t="s">
        <v>655</v>
      </c>
      <c r="D441" s="3204"/>
      <c r="E441" s="752"/>
      <c r="F441" s="753"/>
      <c r="G441" s="753"/>
      <c r="H441" s="753"/>
      <c r="I441" s="753"/>
      <c r="J441" s="753"/>
      <c r="K441" s="753"/>
      <c r="L441" s="753"/>
      <c r="M441" s="753"/>
      <c r="N441" s="754"/>
      <c r="O441" s="3364">
        <f t="shared" si="8"/>
        <v>0</v>
      </c>
      <c r="P441" s="3365"/>
      <c r="Q441" s="1754"/>
      <c r="S441" s="3487"/>
    </row>
    <row r="442" spans="1:34" ht="22.5" customHeight="1">
      <c r="B442" s="1762"/>
      <c r="C442" s="1067" t="s">
        <v>105</v>
      </c>
      <c r="D442" s="734" t="s">
        <v>650</v>
      </c>
      <c r="E442" s="732">
        <f>SUM(E443:E444)</f>
        <v>0</v>
      </c>
      <c r="F442" s="733">
        <f t="shared" ref="F442:N442" si="10">SUM(F443:F444)</f>
        <v>0</v>
      </c>
      <c r="G442" s="733">
        <f t="shared" si="10"/>
        <v>0</v>
      </c>
      <c r="H442" s="733">
        <f t="shared" si="10"/>
        <v>0</v>
      </c>
      <c r="I442" s="733">
        <f t="shared" si="10"/>
        <v>0</v>
      </c>
      <c r="J442" s="733">
        <f t="shared" si="10"/>
        <v>0</v>
      </c>
      <c r="K442" s="733">
        <f t="shared" si="10"/>
        <v>0</v>
      </c>
      <c r="L442" s="733">
        <f t="shared" si="10"/>
        <v>0</v>
      </c>
      <c r="M442" s="733">
        <f t="shared" si="10"/>
        <v>0</v>
      </c>
      <c r="N442" s="733">
        <f t="shared" si="10"/>
        <v>0</v>
      </c>
      <c r="O442" s="3174">
        <f t="shared" si="8"/>
        <v>0</v>
      </c>
      <c r="P442" s="3175"/>
      <c r="Q442" s="1754"/>
      <c r="S442" s="3487"/>
      <c r="T442" s="662"/>
      <c r="U442" s="326"/>
      <c r="V442" s="327"/>
      <c r="W442" s="327"/>
      <c r="X442" s="327"/>
      <c r="Y442" s="327"/>
      <c r="Z442" s="327"/>
      <c r="AA442" s="327"/>
      <c r="AB442" s="327"/>
      <c r="AC442" s="327"/>
      <c r="AD442" s="327"/>
      <c r="AE442" s="662"/>
      <c r="AF442" s="662"/>
      <c r="AG442" s="662"/>
      <c r="AH442" s="662"/>
    </row>
    <row r="443" spans="1:34" ht="18" customHeight="1">
      <c r="B443" s="1852" t="str">
        <f>IF(COUNTBLANK(E443:N443)&lt;10,"","u")</f>
        <v>u</v>
      </c>
      <c r="C443" s="3197" t="s">
        <v>2287</v>
      </c>
      <c r="D443" s="3198"/>
      <c r="E443" s="570"/>
      <c r="F443" s="571"/>
      <c r="G443" s="571"/>
      <c r="H443" s="571"/>
      <c r="I443" s="571"/>
      <c r="J443" s="571"/>
      <c r="K443" s="571"/>
      <c r="L443" s="571"/>
      <c r="M443" s="571"/>
      <c r="N443" s="572"/>
      <c r="O443" s="3226">
        <f t="shared" si="8"/>
        <v>0</v>
      </c>
      <c r="P443" s="3227"/>
      <c r="Q443" s="1754"/>
      <c r="S443" s="3487"/>
      <c r="T443" s="328"/>
      <c r="U443" s="234"/>
      <c r="V443" s="234"/>
      <c r="W443" s="234"/>
      <c r="X443" s="234"/>
      <c r="Y443" s="234"/>
      <c r="Z443" s="234"/>
      <c r="AA443" s="234"/>
      <c r="AB443" s="234"/>
      <c r="AC443" s="234"/>
      <c r="AD443" s="234"/>
      <c r="AE443" s="234"/>
      <c r="AF443" s="234"/>
      <c r="AG443" s="234"/>
      <c r="AH443" s="234"/>
    </row>
    <row r="444" spans="1:34" ht="18" customHeight="1">
      <c r="B444" s="1852" t="str">
        <f>IF(COUNTBLANK(E444:N444)&lt;10,"","u")</f>
        <v>u</v>
      </c>
      <c r="C444" s="1068" t="s">
        <v>651</v>
      </c>
      <c r="D444" s="974" t="s">
        <v>237</v>
      </c>
      <c r="E444" s="1088"/>
      <c r="F444" s="722"/>
      <c r="G444" s="722"/>
      <c r="H444" s="722"/>
      <c r="I444" s="722"/>
      <c r="J444" s="722"/>
      <c r="K444" s="722"/>
      <c r="L444" s="722"/>
      <c r="M444" s="722"/>
      <c r="N444" s="723"/>
      <c r="O444" s="3226">
        <f t="shared" si="8"/>
        <v>0</v>
      </c>
      <c r="P444" s="3227"/>
      <c r="Q444" s="1754"/>
      <c r="S444" s="3487"/>
      <c r="T444" s="328"/>
      <c r="U444" s="234"/>
      <c r="V444" s="234"/>
      <c r="W444" s="234"/>
      <c r="X444" s="234"/>
      <c r="Y444" s="234"/>
      <c r="Z444" s="234"/>
      <c r="AA444" s="234"/>
      <c r="AB444" s="234"/>
      <c r="AC444" s="234"/>
      <c r="AD444" s="234"/>
      <c r="AE444" s="234"/>
      <c r="AF444" s="234"/>
      <c r="AG444" s="234"/>
      <c r="AH444" s="234"/>
    </row>
    <row r="445" spans="1:34" ht="18" customHeight="1">
      <c r="B445" s="1852" t="str">
        <f>IF(COUNTBLANK(E445:N445)&lt;10,"","w")</f>
        <v>w</v>
      </c>
      <c r="C445" s="3201" t="s">
        <v>653</v>
      </c>
      <c r="D445" s="3202"/>
      <c r="E445" s="728"/>
      <c r="F445" s="729"/>
      <c r="G445" s="729"/>
      <c r="H445" s="729"/>
      <c r="I445" s="729"/>
      <c r="J445" s="729"/>
      <c r="K445" s="729"/>
      <c r="L445" s="729"/>
      <c r="M445" s="729"/>
      <c r="N445" s="730"/>
      <c r="O445" s="3228">
        <f t="shared" si="8"/>
        <v>0</v>
      </c>
      <c r="P445" s="3229"/>
      <c r="Q445" s="1754"/>
      <c r="S445" s="3487"/>
    </row>
    <row r="446" spans="1:34" ht="18" customHeight="1">
      <c r="B446" s="1852" t="str">
        <f>IF(COUNTBLANK(E446:N446)&lt;10,"","w")</f>
        <v>w</v>
      </c>
      <c r="C446" s="3205" t="s">
        <v>654</v>
      </c>
      <c r="D446" s="3206"/>
      <c r="E446" s="735"/>
      <c r="F446" s="736"/>
      <c r="G446" s="736"/>
      <c r="H446" s="736"/>
      <c r="I446" s="736"/>
      <c r="J446" s="736"/>
      <c r="K446" s="736"/>
      <c r="L446" s="736"/>
      <c r="M446" s="736"/>
      <c r="N446" s="737"/>
      <c r="O446" s="3224">
        <f t="shared" si="8"/>
        <v>0</v>
      </c>
      <c r="P446" s="3225"/>
      <c r="Q446" s="1754"/>
      <c r="S446" s="3487"/>
    </row>
    <row r="447" spans="1:34" ht="18" customHeight="1" thickBot="1">
      <c r="B447" s="1852" t="str">
        <f>IF(COUNTBLANK(E447:N447)&lt;10,"","w")</f>
        <v>w</v>
      </c>
      <c r="C447" s="3205" t="s">
        <v>655</v>
      </c>
      <c r="D447" s="3206"/>
      <c r="E447" s="735"/>
      <c r="F447" s="736"/>
      <c r="G447" s="736"/>
      <c r="H447" s="736"/>
      <c r="I447" s="736"/>
      <c r="J447" s="736"/>
      <c r="K447" s="736"/>
      <c r="L447" s="736"/>
      <c r="M447" s="736"/>
      <c r="N447" s="737"/>
      <c r="O447" s="3224">
        <f t="shared" si="8"/>
        <v>0</v>
      </c>
      <c r="P447" s="3225"/>
      <c r="Q447" s="1754"/>
      <c r="S447" s="3487"/>
    </row>
    <row r="448" spans="1:34" ht="37.5" customHeight="1" thickBot="1">
      <c r="B448" s="1762"/>
      <c r="C448" s="3209" t="s">
        <v>539</v>
      </c>
      <c r="D448" s="3210"/>
      <c r="E448" s="3217"/>
      <c r="F448" s="3218"/>
      <c r="G448" s="3218"/>
      <c r="H448" s="3218"/>
      <c r="I448" s="3218"/>
      <c r="J448" s="3218"/>
      <c r="K448" s="3218"/>
      <c r="L448" s="3218"/>
      <c r="M448" s="3218"/>
      <c r="N448" s="3218"/>
      <c r="O448" s="3218"/>
      <c r="P448" s="3219"/>
      <c r="Q448" s="1754"/>
      <c r="S448" s="3487"/>
    </row>
    <row r="449" spans="2:34" ht="30" customHeight="1" thickBot="1">
      <c r="B449" s="1762"/>
      <c r="C449" s="3220" t="s">
        <v>819</v>
      </c>
      <c r="D449" s="3221"/>
      <c r="E449" s="1146">
        <f t="shared" ref="E449:N449" si="11">E411+E427+E435</f>
        <v>0</v>
      </c>
      <c r="F449" s="1147">
        <f t="shared" si="11"/>
        <v>0</v>
      </c>
      <c r="G449" s="1147">
        <f t="shared" si="11"/>
        <v>0</v>
      </c>
      <c r="H449" s="1147">
        <f t="shared" si="11"/>
        <v>0</v>
      </c>
      <c r="I449" s="1147">
        <f t="shared" si="11"/>
        <v>0</v>
      </c>
      <c r="J449" s="1147">
        <f t="shared" si="11"/>
        <v>0</v>
      </c>
      <c r="K449" s="1147">
        <f t="shared" si="11"/>
        <v>0</v>
      </c>
      <c r="L449" s="1147">
        <f t="shared" si="11"/>
        <v>0</v>
      </c>
      <c r="M449" s="1147">
        <f t="shared" si="11"/>
        <v>0</v>
      </c>
      <c r="N449" s="1148">
        <f t="shared" si="11"/>
        <v>0</v>
      </c>
      <c r="O449" s="3243">
        <f>SUM(E449:N449)</f>
        <v>0</v>
      </c>
      <c r="P449" s="3244"/>
      <c r="Q449" s="1754"/>
      <c r="S449" s="3487"/>
      <c r="T449" s="329"/>
      <c r="U449" s="11"/>
      <c r="V449" s="11"/>
      <c r="W449" s="11"/>
      <c r="X449" s="11"/>
      <c r="Y449" s="11"/>
      <c r="Z449" s="11"/>
      <c r="AA449" s="11"/>
      <c r="AB449" s="11"/>
      <c r="AC449" s="11"/>
      <c r="AD449" s="11"/>
      <c r="AE449" s="11"/>
    </row>
    <row r="450" spans="2:34">
      <c r="B450" s="1762"/>
      <c r="C450" s="1753"/>
      <c r="D450" s="1753"/>
      <c r="E450" s="1753"/>
      <c r="F450" s="1887"/>
      <c r="G450" s="1887"/>
      <c r="H450" s="1753"/>
      <c r="I450" s="1887"/>
      <c r="J450" s="1887"/>
      <c r="K450" s="1753"/>
      <c r="L450" s="1887"/>
      <c r="M450" s="1753"/>
      <c r="N450" s="1887"/>
      <c r="O450" s="1887"/>
      <c r="P450" s="1887"/>
      <c r="Q450" s="1754"/>
      <c r="S450" s="3487"/>
    </row>
    <row r="451" spans="2:34" ht="15" thickBot="1">
      <c r="B451" s="1762"/>
      <c r="C451" s="1753"/>
      <c r="D451" s="1753"/>
      <c r="E451" s="1753"/>
      <c r="F451" s="1887"/>
      <c r="G451" s="1887"/>
      <c r="H451" s="1753"/>
      <c r="I451" s="1887"/>
      <c r="J451" s="1887"/>
      <c r="K451" s="1753"/>
      <c r="L451" s="1887"/>
      <c r="M451" s="1753"/>
      <c r="N451" s="1887"/>
      <c r="O451" s="1887"/>
      <c r="P451" s="1887"/>
      <c r="Q451" s="1754"/>
      <c r="S451" s="1053"/>
    </row>
    <row r="452" spans="2:34" ht="30" customHeight="1">
      <c r="B452" s="1762"/>
      <c r="C452" s="3214" t="s">
        <v>820</v>
      </c>
      <c r="D452" s="3215"/>
      <c r="E452" s="3215"/>
      <c r="F452" s="3216"/>
      <c r="G452" s="1889"/>
      <c r="H452" s="1889"/>
      <c r="I452" s="1889"/>
      <c r="J452" s="1889"/>
      <c r="K452" s="1889"/>
      <c r="L452" s="1889"/>
      <c r="M452" s="1889"/>
      <c r="N452" s="1889"/>
      <c r="O452" s="1890"/>
      <c r="P452" s="1889"/>
      <c r="Q452" s="1754"/>
      <c r="S452" s="3487"/>
    </row>
    <row r="453" spans="2:34" ht="3" customHeight="1" thickBot="1">
      <c r="B453" s="1762"/>
      <c r="C453" s="1064"/>
      <c r="D453" s="1063"/>
      <c r="E453" s="1063"/>
      <c r="F453" s="1065"/>
      <c r="G453" s="1789"/>
      <c r="H453" s="1789"/>
      <c r="I453" s="1789"/>
      <c r="J453" s="1789"/>
      <c r="K453" s="1789"/>
      <c r="L453" s="1789"/>
      <c r="M453" s="1789"/>
      <c r="N453" s="1789"/>
      <c r="O453" s="1789"/>
      <c r="P453" s="1789"/>
      <c r="Q453" s="1754"/>
      <c r="S453" s="3487"/>
    </row>
    <row r="454" spans="2:34" ht="19.5" customHeight="1">
      <c r="B454" s="1762"/>
      <c r="C454" s="3239" t="s">
        <v>647</v>
      </c>
      <c r="D454" s="3240"/>
      <c r="E454" s="3236" t="s">
        <v>660</v>
      </c>
      <c r="F454" s="3237"/>
      <c r="G454" s="3237"/>
      <c r="H454" s="3237"/>
      <c r="I454" s="3237"/>
      <c r="J454" s="3237"/>
      <c r="K454" s="3237"/>
      <c r="L454" s="3237"/>
      <c r="M454" s="3237"/>
      <c r="N454" s="3238"/>
      <c r="O454" s="3232" t="s">
        <v>649</v>
      </c>
      <c r="P454" s="3233"/>
      <c r="Q454" s="1754"/>
      <c r="S454" s="3487"/>
    </row>
    <row r="455" spans="2:34" ht="19.5" customHeight="1" thickBot="1">
      <c r="B455" s="1762"/>
      <c r="C455" s="3241"/>
      <c r="D455" s="3242"/>
      <c r="E455" s="741">
        <f>IF(E51="",0,E51)</f>
        <v>0</v>
      </c>
      <c r="F455" s="742">
        <f t="shared" ref="F455:N455" si="12">E455+1</f>
        <v>1</v>
      </c>
      <c r="G455" s="742">
        <f t="shared" si="12"/>
        <v>2</v>
      </c>
      <c r="H455" s="742">
        <f t="shared" si="12"/>
        <v>3</v>
      </c>
      <c r="I455" s="742">
        <f t="shared" si="12"/>
        <v>4</v>
      </c>
      <c r="J455" s="742">
        <f t="shared" si="12"/>
        <v>5</v>
      </c>
      <c r="K455" s="742">
        <f t="shared" si="12"/>
        <v>6</v>
      </c>
      <c r="L455" s="742">
        <f t="shared" si="12"/>
        <v>7</v>
      </c>
      <c r="M455" s="742">
        <f t="shared" si="12"/>
        <v>8</v>
      </c>
      <c r="N455" s="743">
        <f t="shared" si="12"/>
        <v>9</v>
      </c>
      <c r="O455" s="3234"/>
      <c r="P455" s="3235"/>
      <c r="Q455" s="1754"/>
      <c r="S455" s="3487"/>
    </row>
    <row r="456" spans="2:34" ht="22.5" customHeight="1" thickBot="1">
      <c r="B456" s="1762"/>
      <c r="C456" s="1066" t="s">
        <v>477</v>
      </c>
      <c r="D456" s="744" t="s">
        <v>467</v>
      </c>
      <c r="E456" s="745">
        <f t="shared" ref="E456:N456" si="13">E457+E464</f>
        <v>0</v>
      </c>
      <c r="F456" s="746">
        <f t="shared" si="13"/>
        <v>0</v>
      </c>
      <c r="G456" s="746">
        <f t="shared" si="13"/>
        <v>0</v>
      </c>
      <c r="H456" s="746">
        <f t="shared" si="13"/>
        <v>0</v>
      </c>
      <c r="I456" s="746">
        <f t="shared" si="13"/>
        <v>0</v>
      </c>
      <c r="J456" s="746">
        <f t="shared" si="13"/>
        <v>0</v>
      </c>
      <c r="K456" s="746">
        <f t="shared" si="13"/>
        <v>0</v>
      </c>
      <c r="L456" s="746">
        <f t="shared" si="13"/>
        <v>0</v>
      </c>
      <c r="M456" s="746">
        <f t="shared" si="13"/>
        <v>0</v>
      </c>
      <c r="N456" s="747">
        <f t="shared" si="13"/>
        <v>0</v>
      </c>
      <c r="O456" s="3230">
        <f t="shared" ref="O456:O470" si="14">SUM(E456:N456)</f>
        <v>0</v>
      </c>
      <c r="P456" s="3231"/>
      <c r="Q456" s="1754"/>
      <c r="S456" s="3487"/>
      <c r="T456" s="662"/>
      <c r="U456" s="326"/>
      <c r="V456" s="327"/>
      <c r="W456" s="327"/>
      <c r="X456" s="327"/>
      <c r="Y456" s="327"/>
      <c r="Z456" s="327"/>
      <c r="AA456" s="327"/>
      <c r="AB456" s="327"/>
      <c r="AC456" s="327"/>
      <c r="AD456" s="327"/>
      <c r="AE456" s="662"/>
      <c r="AF456" s="662"/>
      <c r="AG456" s="662"/>
      <c r="AH456" s="662"/>
    </row>
    <row r="457" spans="2:34" ht="22.5" customHeight="1">
      <c r="B457" s="1762"/>
      <c r="C457" s="1067" t="s">
        <v>101</v>
      </c>
      <c r="D457" s="734" t="s">
        <v>650</v>
      </c>
      <c r="E457" s="732">
        <f>SUM(E458:E459)</f>
        <v>0</v>
      </c>
      <c r="F457" s="733">
        <f t="shared" ref="F457:N457" si="15">SUM(F458:F459)</f>
        <v>0</v>
      </c>
      <c r="G457" s="733">
        <f t="shared" si="15"/>
        <v>0</v>
      </c>
      <c r="H457" s="733">
        <f t="shared" si="15"/>
        <v>0</v>
      </c>
      <c r="I457" s="733">
        <f t="shared" si="15"/>
        <v>0</v>
      </c>
      <c r="J457" s="733">
        <f t="shared" si="15"/>
        <v>0</v>
      </c>
      <c r="K457" s="733">
        <f t="shared" si="15"/>
        <v>0</v>
      </c>
      <c r="L457" s="733">
        <f t="shared" si="15"/>
        <v>0</v>
      </c>
      <c r="M457" s="733">
        <f t="shared" si="15"/>
        <v>0</v>
      </c>
      <c r="N457" s="733">
        <f t="shared" si="15"/>
        <v>0</v>
      </c>
      <c r="O457" s="3174">
        <f t="shared" si="14"/>
        <v>0</v>
      </c>
      <c r="P457" s="3175"/>
      <c r="Q457" s="1754"/>
      <c r="S457" s="3487"/>
      <c r="T457" s="662"/>
      <c r="U457" s="326"/>
      <c r="V457" s="327"/>
      <c r="W457" s="327"/>
      <c r="X457" s="327"/>
      <c r="Y457" s="327"/>
      <c r="Z457" s="327"/>
      <c r="AA457" s="327"/>
      <c r="AB457" s="327"/>
      <c r="AC457" s="327"/>
      <c r="AD457" s="327"/>
      <c r="AE457" s="662"/>
      <c r="AF457" s="662"/>
      <c r="AG457" s="662"/>
      <c r="AH457" s="662"/>
    </row>
    <row r="458" spans="2:34" ht="18" customHeight="1">
      <c r="B458" s="1852" t="str">
        <f>IF(COUNTBLANK(E458:N458)&lt;10,"","u")</f>
        <v>u</v>
      </c>
      <c r="C458" s="3197" t="s">
        <v>2287</v>
      </c>
      <c r="D458" s="3198"/>
      <c r="E458" s="576"/>
      <c r="F458" s="577"/>
      <c r="G458" s="577"/>
      <c r="H458" s="577"/>
      <c r="I458" s="577"/>
      <c r="J458" s="577"/>
      <c r="K458" s="577"/>
      <c r="L458" s="577"/>
      <c r="M458" s="577"/>
      <c r="N458" s="578"/>
      <c r="O458" s="3226">
        <f t="shared" si="14"/>
        <v>0</v>
      </c>
      <c r="P458" s="3227"/>
      <c r="Q458" s="1754"/>
      <c r="S458" s="3487"/>
    </row>
    <row r="459" spans="2:34" ht="18" customHeight="1">
      <c r="B459" s="1852" t="str">
        <f>IF(COUNTBLANK(E459:N459)&lt;10,"","u")</f>
        <v>u</v>
      </c>
      <c r="C459" s="1068" t="s">
        <v>651</v>
      </c>
      <c r="D459" s="974" t="s">
        <v>237</v>
      </c>
      <c r="E459" s="725"/>
      <c r="F459" s="726"/>
      <c r="G459" s="726"/>
      <c r="H459" s="726"/>
      <c r="I459" s="726"/>
      <c r="J459" s="726"/>
      <c r="K459" s="726"/>
      <c r="L459" s="726"/>
      <c r="M459" s="726"/>
      <c r="N459" s="727"/>
      <c r="O459" s="3226">
        <f t="shared" si="14"/>
        <v>0</v>
      </c>
      <c r="P459" s="3227"/>
      <c r="Q459" s="1754"/>
      <c r="S459" s="3487"/>
      <c r="T459" s="328"/>
      <c r="U459" s="234"/>
      <c r="V459" s="234"/>
      <c r="W459" s="234"/>
      <c r="X459" s="234"/>
      <c r="Y459" s="234"/>
      <c r="Z459" s="234"/>
      <c r="AA459" s="234"/>
      <c r="AB459" s="234"/>
      <c r="AC459" s="234"/>
      <c r="AD459" s="234"/>
      <c r="AE459" s="234"/>
      <c r="AF459" s="234"/>
      <c r="AG459" s="234"/>
      <c r="AH459" s="234"/>
    </row>
    <row r="460" spans="2:34" ht="18" customHeight="1">
      <c r="B460" s="1852" t="str">
        <f>IF(COUNTBLANK(E460:N460)&lt;10,"","w")</f>
        <v>w</v>
      </c>
      <c r="C460" s="3201" t="s">
        <v>652</v>
      </c>
      <c r="D460" s="3202"/>
      <c r="E460" s="728"/>
      <c r="F460" s="729"/>
      <c r="G460" s="729"/>
      <c r="H460" s="729"/>
      <c r="I460" s="729"/>
      <c r="J460" s="729"/>
      <c r="K460" s="729"/>
      <c r="L460" s="729"/>
      <c r="M460" s="729"/>
      <c r="N460" s="730"/>
      <c r="O460" s="3228">
        <f t="shared" si="14"/>
        <v>0</v>
      </c>
      <c r="P460" s="3229"/>
      <c r="Q460" s="1754"/>
      <c r="S460" s="3487"/>
      <c r="T460" s="328"/>
      <c r="U460" s="234"/>
      <c r="V460" s="234"/>
      <c r="W460" s="234"/>
      <c r="X460" s="234"/>
      <c r="Y460" s="234"/>
      <c r="Z460" s="234"/>
      <c r="AA460" s="234"/>
      <c r="AB460" s="234"/>
      <c r="AC460" s="234"/>
      <c r="AD460" s="234"/>
      <c r="AE460" s="234"/>
      <c r="AF460" s="234"/>
      <c r="AG460" s="234"/>
      <c r="AH460" s="234"/>
    </row>
    <row r="461" spans="2:34" ht="18" customHeight="1">
      <c r="B461" s="1852" t="str">
        <f>IF(COUNTBLANK(E461:N461)&lt;10,"","w")</f>
        <v>w</v>
      </c>
      <c r="C461" s="3266" t="s">
        <v>653</v>
      </c>
      <c r="D461" s="3267"/>
      <c r="E461" s="716"/>
      <c r="F461" s="717"/>
      <c r="G461" s="717"/>
      <c r="H461" s="717"/>
      <c r="I461" s="717"/>
      <c r="J461" s="717"/>
      <c r="K461" s="717"/>
      <c r="L461" s="717"/>
      <c r="M461" s="717"/>
      <c r="N461" s="718"/>
      <c r="O461" s="3268">
        <f t="shared" si="14"/>
        <v>0</v>
      </c>
      <c r="P461" s="3269"/>
      <c r="Q461" s="1754"/>
      <c r="S461" s="3487"/>
    </row>
    <row r="462" spans="2:34" ht="18" customHeight="1">
      <c r="B462" s="1852" t="str">
        <f>IF(COUNTBLANK(E462:N462)&lt;10,"","w")</f>
        <v>w</v>
      </c>
      <c r="C462" s="3205" t="s">
        <v>654</v>
      </c>
      <c r="D462" s="3206"/>
      <c r="E462" s="735"/>
      <c r="F462" s="736"/>
      <c r="G462" s="736"/>
      <c r="H462" s="736"/>
      <c r="I462" s="736"/>
      <c r="J462" s="736"/>
      <c r="K462" s="736"/>
      <c r="L462" s="736"/>
      <c r="M462" s="736"/>
      <c r="N462" s="737"/>
      <c r="O462" s="3224">
        <f t="shared" si="14"/>
        <v>0</v>
      </c>
      <c r="P462" s="3225"/>
      <c r="Q462" s="1754"/>
      <c r="S462" s="3487"/>
    </row>
    <row r="463" spans="2:34" ht="18" customHeight="1" thickBot="1">
      <c r="B463" s="1852" t="str">
        <f>IF(COUNTBLANK(E463:N463)&lt;10,"","w")</f>
        <v>w</v>
      </c>
      <c r="C463" s="3266" t="s">
        <v>655</v>
      </c>
      <c r="D463" s="3267"/>
      <c r="E463" s="716"/>
      <c r="F463" s="717"/>
      <c r="G463" s="717"/>
      <c r="H463" s="717"/>
      <c r="I463" s="717"/>
      <c r="J463" s="717"/>
      <c r="K463" s="717"/>
      <c r="L463" s="717"/>
      <c r="M463" s="717"/>
      <c r="N463" s="718"/>
      <c r="O463" s="3268">
        <f t="shared" si="14"/>
        <v>0</v>
      </c>
      <c r="P463" s="3269"/>
      <c r="Q463" s="1754"/>
      <c r="S463" s="3487"/>
    </row>
    <row r="464" spans="2:34" ht="22.5" customHeight="1">
      <c r="B464" s="1762"/>
      <c r="C464" s="1069" t="s">
        <v>102</v>
      </c>
      <c r="D464" s="738" t="s">
        <v>650</v>
      </c>
      <c r="E464" s="739">
        <f>SUM(E465:E466)</f>
        <v>0</v>
      </c>
      <c r="F464" s="740">
        <f t="shared" ref="F464:N464" si="16">SUM(F465:F466)</f>
        <v>0</v>
      </c>
      <c r="G464" s="740">
        <f t="shared" si="16"/>
        <v>0</v>
      </c>
      <c r="H464" s="740">
        <f t="shared" si="16"/>
        <v>0</v>
      </c>
      <c r="I464" s="740">
        <f t="shared" si="16"/>
        <v>0</v>
      </c>
      <c r="J464" s="740">
        <f t="shared" si="16"/>
        <v>0</v>
      </c>
      <c r="K464" s="740">
        <f t="shared" si="16"/>
        <v>0</v>
      </c>
      <c r="L464" s="740">
        <f t="shared" si="16"/>
        <v>0</v>
      </c>
      <c r="M464" s="740">
        <f t="shared" si="16"/>
        <v>0</v>
      </c>
      <c r="N464" s="740">
        <f t="shared" si="16"/>
        <v>0</v>
      </c>
      <c r="O464" s="3274">
        <f t="shared" si="14"/>
        <v>0</v>
      </c>
      <c r="P464" s="3275"/>
      <c r="Q464" s="1754"/>
      <c r="S464" s="3487"/>
      <c r="T464" s="662"/>
      <c r="U464" s="326"/>
      <c r="V464" s="327"/>
      <c r="W464" s="327"/>
      <c r="X464" s="327"/>
      <c r="Y464" s="327"/>
      <c r="Z464" s="327"/>
      <c r="AA464" s="327"/>
      <c r="AB464" s="327"/>
      <c r="AC464" s="327"/>
      <c r="AD464" s="327"/>
      <c r="AE464" s="662"/>
      <c r="AF464" s="662"/>
      <c r="AG464" s="662"/>
      <c r="AH464" s="662"/>
    </row>
    <row r="465" spans="2:34" ht="18" customHeight="1">
      <c r="B465" s="1852" t="str">
        <f>IF(COUNTBLANK(E465:N465)&lt;10,"","u")</f>
        <v>u</v>
      </c>
      <c r="C465" s="3197" t="s">
        <v>2287</v>
      </c>
      <c r="D465" s="3198"/>
      <c r="E465" s="576"/>
      <c r="F465" s="577"/>
      <c r="G465" s="577"/>
      <c r="H465" s="577"/>
      <c r="I465" s="577"/>
      <c r="J465" s="577"/>
      <c r="K465" s="577"/>
      <c r="L465" s="577"/>
      <c r="M465" s="577"/>
      <c r="N465" s="578"/>
      <c r="O465" s="3226">
        <f t="shared" si="14"/>
        <v>0</v>
      </c>
      <c r="P465" s="3227"/>
      <c r="Q465" s="1754"/>
      <c r="S465" s="3487"/>
    </row>
    <row r="466" spans="2:34" ht="18" customHeight="1">
      <c r="B466" s="1852" t="str">
        <f>IF(COUNTBLANK(E466:N466)&lt;10,"","u")</f>
        <v>u</v>
      </c>
      <c r="C466" s="1068" t="s">
        <v>651</v>
      </c>
      <c r="D466" s="974" t="s">
        <v>237</v>
      </c>
      <c r="E466" s="725"/>
      <c r="F466" s="726"/>
      <c r="G466" s="726"/>
      <c r="H466" s="726"/>
      <c r="I466" s="726"/>
      <c r="J466" s="726"/>
      <c r="K466" s="726"/>
      <c r="L466" s="726"/>
      <c r="M466" s="726"/>
      <c r="N466" s="727"/>
      <c r="O466" s="3226">
        <f t="shared" si="14"/>
        <v>0</v>
      </c>
      <c r="P466" s="3227"/>
      <c r="Q466" s="1754"/>
      <c r="S466" s="3487"/>
      <c r="T466" s="328"/>
      <c r="U466" s="234"/>
      <c r="V466" s="234"/>
      <c r="W466" s="234"/>
      <c r="X466" s="234"/>
      <c r="Y466" s="234"/>
      <c r="Z466" s="234"/>
      <c r="AA466" s="234"/>
      <c r="AB466" s="234"/>
      <c r="AC466" s="234"/>
      <c r="AD466" s="234"/>
      <c r="AE466" s="234"/>
      <c r="AF466" s="234"/>
      <c r="AG466" s="234"/>
      <c r="AH466" s="234"/>
    </row>
    <row r="467" spans="2:34" ht="18" customHeight="1">
      <c r="B467" s="1852" t="str">
        <f>IF(COUNTBLANK(E467:N467)&lt;10,"","w")</f>
        <v>w</v>
      </c>
      <c r="C467" s="3201" t="s">
        <v>652</v>
      </c>
      <c r="D467" s="3202"/>
      <c r="E467" s="728"/>
      <c r="F467" s="729"/>
      <c r="G467" s="729"/>
      <c r="H467" s="729"/>
      <c r="I467" s="729"/>
      <c r="J467" s="729"/>
      <c r="K467" s="729"/>
      <c r="L467" s="729"/>
      <c r="M467" s="729"/>
      <c r="N467" s="730"/>
      <c r="O467" s="3228">
        <f t="shared" si="14"/>
        <v>0</v>
      </c>
      <c r="P467" s="3229"/>
      <c r="Q467" s="1754"/>
      <c r="S467" s="3487"/>
      <c r="T467" s="328"/>
      <c r="U467" s="234"/>
      <c r="V467" s="234"/>
      <c r="W467" s="234"/>
      <c r="X467" s="234"/>
      <c r="Y467" s="234"/>
      <c r="Z467" s="234"/>
      <c r="AA467" s="234"/>
      <c r="AB467" s="234"/>
      <c r="AC467" s="234"/>
      <c r="AD467" s="234"/>
      <c r="AE467" s="234"/>
      <c r="AF467" s="234"/>
      <c r="AG467" s="234"/>
      <c r="AH467" s="234"/>
    </row>
    <row r="468" spans="2:34" ht="18" customHeight="1">
      <c r="B468" s="1852" t="str">
        <f>IF(COUNTBLANK(E468:N468)&lt;10,"","w")</f>
        <v>w</v>
      </c>
      <c r="C468" s="3266" t="s">
        <v>653</v>
      </c>
      <c r="D468" s="3267"/>
      <c r="E468" s="716"/>
      <c r="F468" s="717"/>
      <c r="G468" s="717"/>
      <c r="H468" s="717"/>
      <c r="I468" s="717"/>
      <c r="J468" s="717"/>
      <c r="K468" s="717"/>
      <c r="L468" s="717"/>
      <c r="M468" s="717"/>
      <c r="N468" s="718"/>
      <c r="O468" s="3268">
        <f t="shared" si="14"/>
        <v>0</v>
      </c>
      <c r="P468" s="3269"/>
      <c r="Q468" s="1754"/>
      <c r="S468" s="3487"/>
    </row>
    <row r="469" spans="2:34" ht="18" customHeight="1">
      <c r="B469" s="1852" t="str">
        <f>IF(COUNTBLANK(E469:N469)&lt;10,"","w")</f>
        <v>w</v>
      </c>
      <c r="C469" s="3205" t="s">
        <v>654</v>
      </c>
      <c r="D469" s="3206"/>
      <c r="E469" s="735"/>
      <c r="F469" s="736"/>
      <c r="G469" s="736"/>
      <c r="H469" s="736"/>
      <c r="I469" s="736"/>
      <c r="J469" s="736"/>
      <c r="K469" s="736"/>
      <c r="L469" s="736"/>
      <c r="M469" s="736"/>
      <c r="N469" s="737"/>
      <c r="O469" s="3224">
        <f t="shared" si="14"/>
        <v>0</v>
      </c>
      <c r="P469" s="3225"/>
      <c r="Q469" s="1754"/>
      <c r="S469" s="3487"/>
    </row>
    <row r="470" spans="2:34" ht="18" customHeight="1" thickBot="1">
      <c r="B470" s="1852" t="str">
        <f>IF(COUNTBLANK(E470:N470)&lt;10,"","w")</f>
        <v>w</v>
      </c>
      <c r="C470" s="3266" t="s">
        <v>655</v>
      </c>
      <c r="D470" s="3267"/>
      <c r="E470" s="716"/>
      <c r="F470" s="717"/>
      <c r="G470" s="717"/>
      <c r="H470" s="717"/>
      <c r="I470" s="717"/>
      <c r="J470" s="717"/>
      <c r="K470" s="717"/>
      <c r="L470" s="717"/>
      <c r="M470" s="717"/>
      <c r="N470" s="718"/>
      <c r="O470" s="3268">
        <f t="shared" si="14"/>
        <v>0</v>
      </c>
      <c r="P470" s="3269"/>
      <c r="Q470" s="1754"/>
      <c r="S470" s="3487"/>
    </row>
    <row r="471" spans="2:34" ht="37.5" customHeight="1" thickBot="1">
      <c r="B471" s="1762"/>
      <c r="C471" s="3209" t="s">
        <v>539</v>
      </c>
      <c r="D471" s="3210"/>
      <c r="E471" s="3217"/>
      <c r="F471" s="3218"/>
      <c r="G471" s="3218"/>
      <c r="H471" s="3218"/>
      <c r="I471" s="3218"/>
      <c r="J471" s="3218"/>
      <c r="K471" s="3218"/>
      <c r="L471" s="3218"/>
      <c r="M471" s="3218"/>
      <c r="N471" s="3218"/>
      <c r="O471" s="3218"/>
      <c r="P471" s="3219"/>
      <c r="Q471" s="1754"/>
      <c r="S471" s="3487"/>
    </row>
    <row r="472" spans="2:34" ht="22.5" customHeight="1" thickBot="1">
      <c r="B472" s="1852"/>
      <c r="C472" s="1066" t="s">
        <v>482</v>
      </c>
      <c r="D472" s="744" t="s">
        <v>467</v>
      </c>
      <c r="E472" s="745">
        <f t="shared" ref="E472" si="17">E473+E475+E474</f>
        <v>0</v>
      </c>
      <c r="F472" s="746">
        <f t="shared" ref="F472:N472" si="18">F473+F475+F474</f>
        <v>0</v>
      </c>
      <c r="G472" s="746">
        <f t="shared" si="18"/>
        <v>0</v>
      </c>
      <c r="H472" s="746">
        <f t="shared" si="18"/>
        <v>0</v>
      </c>
      <c r="I472" s="746">
        <f t="shared" si="18"/>
        <v>0</v>
      </c>
      <c r="J472" s="746">
        <f t="shared" si="18"/>
        <v>0</v>
      </c>
      <c r="K472" s="746">
        <f t="shared" si="18"/>
        <v>0</v>
      </c>
      <c r="L472" s="746">
        <f t="shared" si="18"/>
        <v>0</v>
      </c>
      <c r="M472" s="746">
        <f t="shared" si="18"/>
        <v>0</v>
      </c>
      <c r="N472" s="747">
        <f t="shared" si="18"/>
        <v>0</v>
      </c>
      <c r="O472" s="3230">
        <f t="shared" ref="O472:O478" si="19">SUM(E472:N472)</f>
        <v>0</v>
      </c>
      <c r="P472" s="3231"/>
      <c r="Q472" s="1888"/>
      <c r="S472" s="3487"/>
    </row>
    <row r="473" spans="2:34" ht="18" customHeight="1">
      <c r="B473" s="1852" t="str">
        <f>IF(COUNTBLANK(E473:N473)&lt;10,"","u")</f>
        <v>u</v>
      </c>
      <c r="C473" s="3211" t="s">
        <v>2287</v>
      </c>
      <c r="D473" s="3212"/>
      <c r="E473" s="576"/>
      <c r="F473" s="577"/>
      <c r="G473" s="577"/>
      <c r="H473" s="577"/>
      <c r="I473" s="577"/>
      <c r="J473" s="577"/>
      <c r="K473" s="577"/>
      <c r="L473" s="577"/>
      <c r="M473" s="577"/>
      <c r="N473" s="578"/>
      <c r="O473" s="3272">
        <f>SUM(E473:N473)</f>
        <v>0</v>
      </c>
      <c r="P473" s="3273"/>
      <c r="Q473" s="1888"/>
      <c r="S473" s="3487"/>
    </row>
    <row r="474" spans="2:34" ht="18" customHeight="1">
      <c r="B474" s="1852" t="str">
        <f>IF(COUNTBLANK(E474:N474)&lt;10,"","u")</f>
        <v>u</v>
      </c>
      <c r="C474" s="3432" t="s">
        <v>656</v>
      </c>
      <c r="D474" s="3433"/>
      <c r="E474" s="725"/>
      <c r="F474" s="726"/>
      <c r="G474" s="726"/>
      <c r="H474" s="726"/>
      <c r="I474" s="726"/>
      <c r="J474" s="726"/>
      <c r="K474" s="726"/>
      <c r="L474" s="726"/>
      <c r="M474" s="726"/>
      <c r="N474" s="727"/>
      <c r="O474" s="3226">
        <f t="shared" si="19"/>
        <v>0</v>
      </c>
      <c r="P474" s="3227"/>
      <c r="Q474" s="1888"/>
      <c r="S474" s="3487"/>
    </row>
    <row r="475" spans="2:34" ht="18" customHeight="1">
      <c r="B475" s="1852" t="str">
        <f>IF(COUNTBLANK(E475:N475)&lt;10,"","u")</f>
        <v>u</v>
      </c>
      <c r="C475" s="1068" t="s">
        <v>651</v>
      </c>
      <c r="D475" s="974" t="s">
        <v>237</v>
      </c>
      <c r="E475" s="725"/>
      <c r="F475" s="726"/>
      <c r="G475" s="726"/>
      <c r="H475" s="726"/>
      <c r="I475" s="726"/>
      <c r="J475" s="726"/>
      <c r="K475" s="726"/>
      <c r="L475" s="726"/>
      <c r="M475" s="726"/>
      <c r="N475" s="727"/>
      <c r="O475" s="3226">
        <f t="shared" si="19"/>
        <v>0</v>
      </c>
      <c r="P475" s="3227"/>
      <c r="Q475" s="1754"/>
      <c r="S475" s="3487"/>
      <c r="T475" s="328"/>
      <c r="U475" s="234"/>
      <c r="V475" s="234"/>
      <c r="W475" s="234"/>
      <c r="X475" s="234"/>
      <c r="Y475" s="234"/>
      <c r="Z475" s="234"/>
      <c r="AA475" s="234"/>
      <c r="AB475" s="234"/>
      <c r="AC475" s="234"/>
      <c r="AD475" s="234"/>
      <c r="AE475" s="234"/>
      <c r="AF475" s="234"/>
      <c r="AG475" s="234"/>
      <c r="AH475" s="234"/>
    </row>
    <row r="476" spans="2:34" ht="18" customHeight="1">
      <c r="B476" s="1852" t="str">
        <f>IF(COUNTBLANK(E476:N476)&lt;10,"","w")</f>
        <v>w</v>
      </c>
      <c r="C476" s="3201" t="s">
        <v>653</v>
      </c>
      <c r="D476" s="3202"/>
      <c r="E476" s="728"/>
      <c r="F476" s="729"/>
      <c r="G476" s="729"/>
      <c r="H476" s="729"/>
      <c r="I476" s="729"/>
      <c r="J476" s="729"/>
      <c r="K476" s="729"/>
      <c r="L476" s="729"/>
      <c r="M476" s="729"/>
      <c r="N476" s="730"/>
      <c r="O476" s="3228">
        <f t="shared" si="19"/>
        <v>0</v>
      </c>
      <c r="P476" s="3229"/>
      <c r="Q476" s="1888"/>
      <c r="S476" s="3487"/>
    </row>
    <row r="477" spans="2:34" ht="18" customHeight="1">
      <c r="B477" s="1852" t="str">
        <f>IF(COUNTBLANK(E477:N477)&lt;10,"","w")</f>
        <v>w</v>
      </c>
      <c r="C477" s="3205" t="s">
        <v>654</v>
      </c>
      <c r="D477" s="3206"/>
      <c r="E477" s="735"/>
      <c r="F477" s="736"/>
      <c r="G477" s="736"/>
      <c r="H477" s="736"/>
      <c r="I477" s="736"/>
      <c r="J477" s="736"/>
      <c r="K477" s="736"/>
      <c r="L477" s="736"/>
      <c r="M477" s="736"/>
      <c r="N477" s="737"/>
      <c r="O477" s="3224">
        <f t="shared" si="19"/>
        <v>0</v>
      </c>
      <c r="P477" s="3225"/>
      <c r="Q477" s="1888"/>
      <c r="S477" s="3487"/>
    </row>
    <row r="478" spans="2:34" ht="18" customHeight="1" thickBot="1">
      <c r="B478" s="1852" t="str">
        <f>IF(COUNTBLANK(E478:N478)&lt;10,"","w")</f>
        <v>w</v>
      </c>
      <c r="C478" s="3266" t="s">
        <v>655</v>
      </c>
      <c r="D478" s="3267"/>
      <c r="E478" s="716"/>
      <c r="F478" s="717"/>
      <c r="G478" s="717"/>
      <c r="H478" s="717"/>
      <c r="I478" s="717"/>
      <c r="J478" s="717"/>
      <c r="K478" s="717"/>
      <c r="L478" s="717"/>
      <c r="M478" s="717"/>
      <c r="N478" s="718"/>
      <c r="O478" s="3268">
        <f t="shared" si="19"/>
        <v>0</v>
      </c>
      <c r="P478" s="3269"/>
      <c r="Q478" s="1888"/>
      <c r="S478" s="3487"/>
    </row>
    <row r="479" spans="2:34" ht="37.5" customHeight="1" thickBot="1">
      <c r="B479" s="1762"/>
      <c r="C479" s="3209" t="s">
        <v>539</v>
      </c>
      <c r="D479" s="3210"/>
      <c r="E479" s="3217"/>
      <c r="F479" s="3218"/>
      <c r="G479" s="3218"/>
      <c r="H479" s="3218"/>
      <c r="I479" s="3218"/>
      <c r="J479" s="3218"/>
      <c r="K479" s="3218"/>
      <c r="L479" s="3218"/>
      <c r="M479" s="3218"/>
      <c r="N479" s="3218"/>
      <c r="O479" s="3218"/>
      <c r="P479" s="3219"/>
      <c r="Q479" s="1754"/>
      <c r="S479" s="3487"/>
    </row>
    <row r="480" spans="2:34" ht="22.5" customHeight="1" thickBot="1">
      <c r="B480" s="1762"/>
      <c r="C480" s="1070" t="s">
        <v>657</v>
      </c>
      <c r="D480" s="748" t="s">
        <v>467</v>
      </c>
      <c r="E480" s="749">
        <f t="shared" ref="E480:N480" si="20">E481+E487</f>
        <v>0</v>
      </c>
      <c r="F480" s="750">
        <f t="shared" si="20"/>
        <v>0</v>
      </c>
      <c r="G480" s="750">
        <f t="shared" si="20"/>
        <v>0</v>
      </c>
      <c r="H480" s="750">
        <f t="shared" si="20"/>
        <v>0</v>
      </c>
      <c r="I480" s="750">
        <f t="shared" si="20"/>
        <v>0</v>
      </c>
      <c r="J480" s="750">
        <f t="shared" si="20"/>
        <v>0</v>
      </c>
      <c r="K480" s="750">
        <f t="shared" si="20"/>
        <v>0</v>
      </c>
      <c r="L480" s="750">
        <f t="shared" si="20"/>
        <v>0</v>
      </c>
      <c r="M480" s="750">
        <f t="shared" si="20"/>
        <v>0</v>
      </c>
      <c r="N480" s="751">
        <f t="shared" si="20"/>
        <v>0</v>
      </c>
      <c r="O480" s="3434">
        <f t="shared" ref="O480:O492" si="21">SUM(E480:N480)</f>
        <v>0</v>
      </c>
      <c r="P480" s="3435"/>
      <c r="Q480" s="1754"/>
      <c r="S480" s="3487"/>
      <c r="T480" s="663"/>
      <c r="U480" s="11"/>
      <c r="V480" s="11"/>
      <c r="W480" s="11"/>
      <c r="X480" s="11"/>
      <c r="Y480" s="11"/>
      <c r="Z480" s="11"/>
      <c r="AA480" s="11"/>
      <c r="AB480" s="11"/>
      <c r="AC480" s="11"/>
      <c r="AD480" s="11"/>
      <c r="AE480" s="11"/>
    </row>
    <row r="481" spans="2:34" ht="22.5" customHeight="1">
      <c r="B481" s="1762"/>
      <c r="C481" s="1069" t="s">
        <v>104</v>
      </c>
      <c r="D481" s="738" t="s">
        <v>650</v>
      </c>
      <c r="E481" s="739">
        <f>SUM(E482:E483)</f>
        <v>0</v>
      </c>
      <c r="F481" s="740">
        <f t="shared" ref="F481:N481" si="22">SUM(F482:F483)</f>
        <v>0</v>
      </c>
      <c r="G481" s="740">
        <f t="shared" si="22"/>
        <v>0</v>
      </c>
      <c r="H481" s="740">
        <f t="shared" si="22"/>
        <v>0</v>
      </c>
      <c r="I481" s="740">
        <f t="shared" si="22"/>
        <v>0</v>
      </c>
      <c r="J481" s="740">
        <f t="shared" si="22"/>
        <v>0</v>
      </c>
      <c r="K481" s="740">
        <f t="shared" si="22"/>
        <v>0</v>
      </c>
      <c r="L481" s="740">
        <f t="shared" si="22"/>
        <v>0</v>
      </c>
      <c r="M481" s="740">
        <f t="shared" si="22"/>
        <v>0</v>
      </c>
      <c r="N481" s="740">
        <f t="shared" si="22"/>
        <v>0</v>
      </c>
      <c r="O481" s="3274">
        <f t="shared" si="21"/>
        <v>0</v>
      </c>
      <c r="P481" s="3275"/>
      <c r="Q481" s="1754"/>
      <c r="S481" s="3487"/>
      <c r="T481" s="662"/>
      <c r="U481" s="326"/>
      <c r="V481" s="327"/>
      <c r="W481" s="327"/>
      <c r="X481" s="327"/>
      <c r="Y481" s="327"/>
      <c r="Z481" s="327"/>
      <c r="AA481" s="327"/>
      <c r="AB481" s="327"/>
      <c r="AC481" s="327"/>
      <c r="AD481" s="327"/>
      <c r="AE481" s="662"/>
      <c r="AF481" s="662"/>
      <c r="AG481" s="662"/>
      <c r="AH481" s="662"/>
    </row>
    <row r="482" spans="2:34" ht="18" customHeight="1">
      <c r="B482" s="1852" t="str">
        <f>IF(COUNTBLANK(E482:N482)&lt;10,"","u")</f>
        <v>u</v>
      </c>
      <c r="C482" s="3211" t="s">
        <v>2287</v>
      </c>
      <c r="D482" s="3212"/>
      <c r="E482" s="576"/>
      <c r="F482" s="577"/>
      <c r="G482" s="577"/>
      <c r="H482" s="577"/>
      <c r="I482" s="577"/>
      <c r="J482" s="577"/>
      <c r="K482" s="577"/>
      <c r="L482" s="577"/>
      <c r="M482" s="577"/>
      <c r="N482" s="578"/>
      <c r="O482" s="3226">
        <f t="shared" si="21"/>
        <v>0</v>
      </c>
      <c r="P482" s="3227"/>
      <c r="Q482" s="1754"/>
      <c r="S482" s="3487"/>
    </row>
    <row r="483" spans="2:34" ht="18" customHeight="1">
      <c r="B483" s="1852" t="str">
        <f>IF(COUNTBLANK(E483:N483)&lt;10,"","u")</f>
        <v>u</v>
      </c>
      <c r="C483" s="1068" t="s">
        <v>651</v>
      </c>
      <c r="D483" s="974" t="s">
        <v>237</v>
      </c>
      <c r="E483" s="725"/>
      <c r="F483" s="726"/>
      <c r="G483" s="726"/>
      <c r="H483" s="726"/>
      <c r="I483" s="726"/>
      <c r="J483" s="726"/>
      <c r="K483" s="726"/>
      <c r="L483" s="726"/>
      <c r="M483" s="726"/>
      <c r="N483" s="727"/>
      <c r="O483" s="3226">
        <f t="shared" si="21"/>
        <v>0</v>
      </c>
      <c r="P483" s="3227"/>
      <c r="Q483" s="1754"/>
      <c r="S483" s="3487"/>
      <c r="T483" s="328"/>
      <c r="U483" s="234"/>
      <c r="V483" s="234"/>
      <c r="W483" s="234"/>
      <c r="X483" s="234"/>
      <c r="Y483" s="234"/>
      <c r="Z483" s="234"/>
      <c r="AA483" s="234"/>
      <c r="AB483" s="234"/>
      <c r="AC483" s="234"/>
      <c r="AD483" s="234"/>
      <c r="AE483" s="234"/>
      <c r="AF483" s="234"/>
      <c r="AG483" s="234"/>
      <c r="AH483" s="234"/>
    </row>
    <row r="484" spans="2:34" ht="18" customHeight="1">
      <c r="B484" s="1852" t="str">
        <f>IF(COUNTBLANK(E484:N484)&lt;10,"","w")</f>
        <v>w</v>
      </c>
      <c r="C484" s="3201" t="s">
        <v>653</v>
      </c>
      <c r="D484" s="3202"/>
      <c r="E484" s="728"/>
      <c r="F484" s="729"/>
      <c r="G484" s="729"/>
      <c r="H484" s="729"/>
      <c r="I484" s="729"/>
      <c r="J484" s="729"/>
      <c r="K484" s="729"/>
      <c r="L484" s="729"/>
      <c r="M484" s="729"/>
      <c r="N484" s="730"/>
      <c r="O484" s="3228">
        <f t="shared" si="21"/>
        <v>0</v>
      </c>
      <c r="P484" s="3229"/>
      <c r="Q484" s="1754"/>
      <c r="S484" s="3487"/>
    </row>
    <row r="485" spans="2:34" ht="18" customHeight="1">
      <c r="B485" s="1852" t="str">
        <f>IF(COUNTBLANK(E485:N485)&lt;10,"","w")</f>
        <v>w</v>
      </c>
      <c r="C485" s="3205" t="s">
        <v>654</v>
      </c>
      <c r="D485" s="3206"/>
      <c r="E485" s="735"/>
      <c r="F485" s="736"/>
      <c r="G485" s="736"/>
      <c r="H485" s="736"/>
      <c r="I485" s="736"/>
      <c r="J485" s="736"/>
      <c r="K485" s="736"/>
      <c r="L485" s="736"/>
      <c r="M485" s="736"/>
      <c r="N485" s="737"/>
      <c r="O485" s="3224">
        <f t="shared" si="21"/>
        <v>0</v>
      </c>
      <c r="P485" s="3225"/>
      <c r="Q485" s="1754"/>
      <c r="S485" s="3487"/>
    </row>
    <row r="486" spans="2:34" ht="18" customHeight="1" thickBot="1">
      <c r="B486" s="1852" t="str">
        <f>IF(COUNTBLANK(E486:N486)&lt;10,"","w")</f>
        <v>w</v>
      </c>
      <c r="C486" s="3203" t="s">
        <v>655</v>
      </c>
      <c r="D486" s="3204"/>
      <c r="E486" s="752"/>
      <c r="F486" s="753"/>
      <c r="G486" s="753"/>
      <c r="H486" s="753"/>
      <c r="I486" s="753"/>
      <c r="J486" s="753"/>
      <c r="K486" s="753"/>
      <c r="L486" s="753"/>
      <c r="M486" s="753"/>
      <c r="N486" s="754"/>
      <c r="O486" s="3364">
        <f t="shared" si="21"/>
        <v>0</v>
      </c>
      <c r="P486" s="3365"/>
      <c r="Q486" s="1754"/>
      <c r="S486" s="3487"/>
    </row>
    <row r="487" spans="2:34" ht="22.5" customHeight="1">
      <c r="B487" s="1762"/>
      <c r="C487" s="1067" t="s">
        <v>105</v>
      </c>
      <c r="D487" s="734" t="s">
        <v>650</v>
      </c>
      <c r="E487" s="732">
        <f>SUM(E488:E489)</f>
        <v>0</v>
      </c>
      <c r="F487" s="733">
        <f t="shared" ref="F487:N487" si="23">SUM(F488:F489)</f>
        <v>0</v>
      </c>
      <c r="G487" s="733">
        <f t="shared" si="23"/>
        <v>0</v>
      </c>
      <c r="H487" s="733">
        <f t="shared" si="23"/>
        <v>0</v>
      </c>
      <c r="I487" s="733">
        <f t="shared" si="23"/>
        <v>0</v>
      </c>
      <c r="J487" s="733">
        <f t="shared" si="23"/>
        <v>0</v>
      </c>
      <c r="K487" s="733">
        <f t="shared" si="23"/>
        <v>0</v>
      </c>
      <c r="L487" s="733">
        <f t="shared" si="23"/>
        <v>0</v>
      </c>
      <c r="M487" s="733">
        <f t="shared" si="23"/>
        <v>0</v>
      </c>
      <c r="N487" s="733">
        <f t="shared" si="23"/>
        <v>0</v>
      </c>
      <c r="O487" s="3174">
        <f t="shared" si="21"/>
        <v>0</v>
      </c>
      <c r="P487" s="3175"/>
      <c r="Q487" s="1754"/>
      <c r="S487" s="3487"/>
      <c r="T487" s="662"/>
      <c r="U487" s="326"/>
      <c r="V487" s="327"/>
      <c r="W487" s="327"/>
      <c r="X487" s="327"/>
      <c r="Y487" s="327"/>
      <c r="Z487" s="327"/>
      <c r="AA487" s="327"/>
      <c r="AB487" s="327"/>
      <c r="AC487" s="327"/>
      <c r="AD487" s="327"/>
      <c r="AE487" s="662"/>
      <c r="AF487" s="662"/>
      <c r="AG487" s="662"/>
      <c r="AH487" s="662"/>
    </row>
    <row r="488" spans="2:34" ht="18" customHeight="1">
      <c r="B488" s="1852" t="str">
        <f>IF(COUNTBLANK(E488:N488)&lt;10,"","u")</f>
        <v>u</v>
      </c>
      <c r="C488" s="3211" t="s">
        <v>2287</v>
      </c>
      <c r="D488" s="3212"/>
      <c r="E488" s="576"/>
      <c r="F488" s="577"/>
      <c r="G488" s="577"/>
      <c r="H488" s="577"/>
      <c r="I488" s="577"/>
      <c r="J488" s="577"/>
      <c r="K488" s="577"/>
      <c r="L488" s="577"/>
      <c r="M488" s="577"/>
      <c r="N488" s="578"/>
      <c r="O488" s="3226">
        <f t="shared" si="21"/>
        <v>0</v>
      </c>
      <c r="P488" s="3227"/>
      <c r="Q488" s="1754"/>
      <c r="S488" s="3487"/>
    </row>
    <row r="489" spans="2:34" ht="18" customHeight="1">
      <c r="B489" s="1852" t="str">
        <f>IF(COUNTBLANK(E489:N489)&lt;10,"","u")</f>
        <v>u</v>
      </c>
      <c r="C489" s="1068" t="s">
        <v>651</v>
      </c>
      <c r="D489" s="974" t="s">
        <v>237</v>
      </c>
      <c r="E489" s="725"/>
      <c r="F489" s="726"/>
      <c r="G489" s="726"/>
      <c r="H489" s="726"/>
      <c r="I489" s="726"/>
      <c r="J489" s="726"/>
      <c r="K489" s="726"/>
      <c r="L489" s="726"/>
      <c r="M489" s="726"/>
      <c r="N489" s="727"/>
      <c r="O489" s="3226">
        <f t="shared" si="21"/>
        <v>0</v>
      </c>
      <c r="P489" s="3227"/>
      <c r="Q489" s="1754"/>
      <c r="S489" s="3487"/>
      <c r="T489" s="328"/>
      <c r="U489" s="234"/>
      <c r="V489" s="234"/>
      <c r="W489" s="234"/>
      <c r="X489" s="234"/>
      <c r="Y489" s="234"/>
      <c r="Z489" s="234"/>
      <c r="AA489" s="234"/>
      <c r="AB489" s="234"/>
      <c r="AC489" s="234"/>
      <c r="AD489" s="234"/>
      <c r="AE489" s="234"/>
      <c r="AF489" s="234"/>
      <c r="AG489" s="234"/>
      <c r="AH489" s="234"/>
    </row>
    <row r="490" spans="2:34" ht="18" customHeight="1">
      <c r="B490" s="1852" t="str">
        <f>IF(COUNTBLANK(E490:N490)&lt;10,"","w")</f>
        <v>w</v>
      </c>
      <c r="C490" s="3201" t="s">
        <v>653</v>
      </c>
      <c r="D490" s="3202"/>
      <c r="E490" s="728"/>
      <c r="F490" s="729"/>
      <c r="G490" s="729"/>
      <c r="H490" s="729"/>
      <c r="I490" s="729"/>
      <c r="J490" s="729"/>
      <c r="K490" s="729"/>
      <c r="L490" s="729"/>
      <c r="M490" s="729"/>
      <c r="N490" s="730"/>
      <c r="O490" s="3228">
        <f t="shared" si="21"/>
        <v>0</v>
      </c>
      <c r="P490" s="3229"/>
      <c r="Q490" s="1754"/>
      <c r="S490" s="3487"/>
    </row>
    <row r="491" spans="2:34" ht="18" customHeight="1">
      <c r="B491" s="1852" t="str">
        <f>IF(COUNTBLANK(E491:N491)&lt;10,"","w")</f>
        <v>w</v>
      </c>
      <c r="C491" s="3205" t="s">
        <v>654</v>
      </c>
      <c r="D491" s="3206"/>
      <c r="E491" s="735"/>
      <c r="F491" s="736"/>
      <c r="G491" s="736"/>
      <c r="H491" s="736"/>
      <c r="I491" s="736"/>
      <c r="J491" s="736"/>
      <c r="K491" s="736"/>
      <c r="L491" s="736"/>
      <c r="M491" s="736"/>
      <c r="N491" s="737"/>
      <c r="O491" s="3224">
        <f t="shared" si="21"/>
        <v>0</v>
      </c>
      <c r="P491" s="3225"/>
      <c r="Q491" s="1754"/>
      <c r="S491" s="3487"/>
    </row>
    <row r="492" spans="2:34" ht="18" customHeight="1" thickBot="1">
      <c r="B492" s="1852" t="str">
        <f>IF(COUNTBLANK(E492:N492)&lt;10,"","w")</f>
        <v>w</v>
      </c>
      <c r="C492" s="3205" t="s">
        <v>655</v>
      </c>
      <c r="D492" s="3206"/>
      <c r="E492" s="716"/>
      <c r="F492" s="717"/>
      <c r="G492" s="717"/>
      <c r="H492" s="717"/>
      <c r="I492" s="717"/>
      <c r="J492" s="717"/>
      <c r="K492" s="717"/>
      <c r="L492" s="717"/>
      <c r="M492" s="717"/>
      <c r="N492" s="718"/>
      <c r="O492" s="3268">
        <f t="shared" si="21"/>
        <v>0</v>
      </c>
      <c r="P492" s="3269"/>
      <c r="Q492" s="1754"/>
      <c r="S492" s="3487"/>
    </row>
    <row r="493" spans="2:34" ht="37.5" customHeight="1" thickBot="1">
      <c r="B493" s="1762"/>
      <c r="C493" s="3209" t="s">
        <v>539</v>
      </c>
      <c r="D493" s="3210"/>
      <c r="E493" s="3217"/>
      <c r="F493" s="3218"/>
      <c r="G493" s="3218"/>
      <c r="H493" s="3218"/>
      <c r="I493" s="3218"/>
      <c r="J493" s="3218"/>
      <c r="K493" s="3218"/>
      <c r="L493" s="3218"/>
      <c r="M493" s="3218"/>
      <c r="N493" s="3218"/>
      <c r="O493" s="3218"/>
      <c r="P493" s="3219"/>
      <c r="Q493" s="1754"/>
      <c r="S493" s="3487"/>
    </row>
    <row r="494" spans="2:34" ht="30" customHeight="1" thickBot="1">
      <c r="B494" s="1762"/>
      <c r="C494" s="3220" t="s">
        <v>821</v>
      </c>
      <c r="D494" s="3221"/>
      <c r="E494" s="1146">
        <f t="shared" ref="E494:N494" si="24">E456+E472+E480</f>
        <v>0</v>
      </c>
      <c r="F494" s="1147">
        <f t="shared" si="24"/>
        <v>0</v>
      </c>
      <c r="G494" s="1147">
        <f t="shared" si="24"/>
        <v>0</v>
      </c>
      <c r="H494" s="1147">
        <f t="shared" si="24"/>
        <v>0</v>
      </c>
      <c r="I494" s="1147">
        <f t="shared" si="24"/>
        <v>0</v>
      </c>
      <c r="J494" s="1147">
        <f t="shared" si="24"/>
        <v>0</v>
      </c>
      <c r="K494" s="1147">
        <f t="shared" si="24"/>
        <v>0</v>
      </c>
      <c r="L494" s="1147">
        <f t="shared" si="24"/>
        <v>0</v>
      </c>
      <c r="M494" s="1147">
        <f t="shared" si="24"/>
        <v>0</v>
      </c>
      <c r="N494" s="1148">
        <f t="shared" si="24"/>
        <v>0</v>
      </c>
      <c r="O494" s="3243">
        <f>SUM(E494:N494)</f>
        <v>0</v>
      </c>
      <c r="P494" s="3244"/>
      <c r="Q494" s="1754"/>
      <c r="S494" s="3487"/>
    </row>
    <row r="495" spans="2:34" ht="16.5" customHeight="1">
      <c r="B495" s="1762"/>
      <c r="C495" s="1859"/>
      <c r="D495" s="1753"/>
      <c r="E495" s="1753"/>
      <c r="F495" s="1753"/>
      <c r="G495" s="1753"/>
      <c r="H495" s="1753"/>
      <c r="I495" s="1753"/>
      <c r="J495" s="1753"/>
      <c r="K495" s="1753"/>
      <c r="L495" s="1753"/>
      <c r="M495" s="1753"/>
      <c r="N495" s="1753"/>
      <c r="O495" s="1753"/>
      <c r="P495" s="1753"/>
      <c r="Q495" s="1754"/>
      <c r="S495" s="3487"/>
    </row>
    <row r="496" spans="2:34" ht="17.25" customHeight="1">
      <c r="B496" s="1762"/>
      <c r="C496" s="1860" t="s">
        <v>567</v>
      </c>
      <c r="D496" s="1753"/>
      <c r="E496" s="1753"/>
      <c r="F496" s="1753"/>
      <c r="G496" s="1753"/>
      <c r="H496" s="1753"/>
      <c r="I496" s="1753"/>
      <c r="J496" s="1753"/>
      <c r="K496" s="1753"/>
      <c r="L496" s="1753"/>
      <c r="M496" s="1753"/>
      <c r="N496" s="1753"/>
      <c r="O496" s="1753"/>
      <c r="P496" s="1753"/>
      <c r="Q496" s="1754"/>
      <c r="S496" s="3487"/>
    </row>
    <row r="497" spans="1:19" ht="18" customHeight="1">
      <c r="B497" s="1762"/>
      <c r="C497" s="1751"/>
      <c r="D497" s="1861"/>
      <c r="E497" s="3706" t="s">
        <v>568</v>
      </c>
      <c r="F497" s="3706"/>
      <c r="G497" s="3706"/>
      <c r="H497" s="3707"/>
      <c r="I497" s="353" t="str">
        <f>IF((OR(ISBLANK(F626),ISBLANK(F627),ISBLANK(F631),ISBLANK(#REF!),ISBLANK(K626),ISBLANK(K627),ISBLANK(K631),ISBLANK(#REF!))=FALSE),"Complété","À compléter")</f>
        <v>À compléter</v>
      </c>
      <c r="J497" s="3708" t="s">
        <v>3454</v>
      </c>
      <c r="K497" s="3708"/>
      <c r="L497" s="3708"/>
      <c r="M497" s="3708"/>
      <c r="N497" s="3708"/>
      <c r="O497" s="3708"/>
      <c r="P497" s="3708"/>
      <c r="Q497" s="1754"/>
      <c r="S497" s="3487"/>
    </row>
    <row r="498" spans="1:19" ht="6.75" customHeight="1">
      <c r="B498" s="1762"/>
      <c r="C498" s="1753"/>
      <c r="D498" s="1861"/>
      <c r="E498" s="1861"/>
      <c r="F498" s="1861"/>
      <c r="G498" s="1861"/>
      <c r="H498" s="1861"/>
      <c r="I498" s="1753"/>
      <c r="J498" s="1863"/>
      <c r="K498" s="1863"/>
      <c r="L498" s="1863"/>
      <c r="M498" s="1863"/>
      <c r="N498" s="1863"/>
      <c r="O498" s="1863"/>
      <c r="P498" s="1863"/>
      <c r="Q498" s="1754"/>
      <c r="S498" s="3487"/>
    </row>
    <row r="499" spans="1:19" ht="18" customHeight="1">
      <c r="B499" s="1762"/>
      <c r="C499" s="1753"/>
      <c r="D499" s="3706" t="s">
        <v>569</v>
      </c>
      <c r="E499" s="3706"/>
      <c r="F499" s="3706"/>
      <c r="G499" s="3706"/>
      <c r="H499" s="3707"/>
      <c r="I499" s="353" t="str">
        <f>IF((OR(ISBLANK(F686),ISBLANK(F690),ISBLANK(K686),ISBLANK(K690))=FALSE),"Complété","À compléter")</f>
        <v>À compléter</v>
      </c>
      <c r="J499" s="3708" t="s">
        <v>3455</v>
      </c>
      <c r="K499" s="3708"/>
      <c r="L499" s="3708"/>
      <c r="M499" s="3708"/>
      <c r="N499" s="3708"/>
      <c r="O499" s="3708"/>
      <c r="P499" s="3708"/>
      <c r="Q499" s="1754"/>
      <c r="S499" s="3487"/>
    </row>
    <row r="500" spans="1:19" ht="17.25" customHeight="1">
      <c r="B500" s="1762"/>
      <c r="C500" s="1753"/>
      <c r="D500" s="1862"/>
      <c r="E500" s="1862"/>
      <c r="F500" s="1862"/>
      <c r="G500" s="1862"/>
      <c r="H500" s="1862"/>
      <c r="I500" s="1866"/>
      <c r="J500" s="1864"/>
      <c r="K500" s="1864"/>
      <c r="L500" s="1864"/>
      <c r="M500" s="1864"/>
      <c r="N500" s="1864"/>
      <c r="O500" s="1864"/>
      <c r="P500" s="1864"/>
      <c r="Q500" s="1754"/>
      <c r="S500" s="3487"/>
    </row>
    <row r="501" spans="1:19" ht="18" customHeight="1">
      <c r="B501" s="1762"/>
      <c r="C501" s="1865" t="s">
        <v>570</v>
      </c>
      <c r="D501" s="1862"/>
      <c r="E501" s="1862"/>
      <c r="F501" s="1862"/>
      <c r="G501" s="1751"/>
      <c r="H501" s="3709" t="s">
        <v>662</v>
      </c>
      <c r="I501" s="3709"/>
      <c r="J501" s="1751"/>
      <c r="K501" s="1751"/>
      <c r="L501" s="1864"/>
      <c r="M501" s="1864"/>
      <c r="N501" s="1864"/>
      <c r="O501" s="1864"/>
      <c r="P501" s="1864"/>
      <c r="Q501" s="1754"/>
      <c r="S501" s="3487"/>
    </row>
    <row r="502" spans="1:19" ht="15" thickBot="1">
      <c r="B502" s="1784"/>
      <c r="C502" s="1789"/>
      <c r="D502" s="1789"/>
      <c r="E502" s="1789"/>
      <c r="F502" s="1891"/>
      <c r="G502" s="1891"/>
      <c r="H502" s="1789"/>
      <c r="I502" s="1891"/>
      <c r="J502" s="1891"/>
      <c r="K502" s="1789"/>
      <c r="L502" s="1891"/>
      <c r="M502" s="1789"/>
      <c r="N502" s="1891"/>
      <c r="O502" s="1891"/>
      <c r="P502" s="1891"/>
      <c r="Q502" s="1790"/>
      <c r="S502" s="3488"/>
    </row>
    <row r="503" spans="1:19" ht="15" thickBot="1">
      <c r="B503" s="683"/>
      <c r="S503" s="614"/>
    </row>
    <row r="504" spans="1:19" ht="22.5" customHeight="1" thickBot="1">
      <c r="A504" s="1187"/>
      <c r="B504" s="1718" t="s">
        <v>663</v>
      </c>
      <c r="C504" s="1718"/>
      <c r="D504" s="1718"/>
      <c r="E504" s="1718"/>
      <c r="F504" s="1718"/>
      <c r="G504" s="1718"/>
      <c r="H504" s="1718"/>
      <c r="I504" s="1718"/>
      <c r="J504" s="1718"/>
      <c r="K504" s="1718"/>
      <c r="L504" s="1723"/>
      <c r="M504" s="1723"/>
      <c r="N504" s="1723"/>
      <c r="O504" s="3700" t="s">
        <v>155</v>
      </c>
      <c r="P504" s="3700"/>
      <c r="Q504" s="3700"/>
      <c r="S504" s="615" t="s">
        <v>521</v>
      </c>
    </row>
    <row r="505" spans="1:19" ht="9.75" customHeight="1" thickBot="1">
      <c r="S505" s="616"/>
    </row>
    <row r="506" spans="1:19" ht="8.25" customHeight="1">
      <c r="B506" s="1791"/>
      <c r="C506" s="1792"/>
      <c r="D506" s="1792"/>
      <c r="E506" s="1793"/>
      <c r="F506" s="1794"/>
      <c r="G506" s="1794"/>
      <c r="H506" s="1794"/>
      <c r="I506" s="1794"/>
      <c r="J506" s="1794"/>
      <c r="K506" s="1794"/>
      <c r="L506" s="1794"/>
      <c r="M506" s="1794"/>
      <c r="N506" s="1794"/>
      <c r="O506" s="1794"/>
      <c r="P506" s="1794"/>
      <c r="Q506" s="1795"/>
      <c r="S506" s="3486"/>
    </row>
    <row r="507" spans="1:19" ht="18" customHeight="1">
      <c r="B507" s="1796"/>
      <c r="C507" s="1797" t="s">
        <v>664</v>
      </c>
      <c r="D507" s="1797"/>
      <c r="E507" s="1798"/>
      <c r="F507" s="1799"/>
      <c r="G507" s="1799"/>
      <c r="H507" s="1799"/>
      <c r="I507" s="1799"/>
      <c r="J507" s="1799"/>
      <c r="K507" s="1799"/>
      <c r="L507" s="1799"/>
      <c r="M507" s="1799"/>
      <c r="N507" s="1846" t="s">
        <v>219</v>
      </c>
      <c r="O507" s="353" t="str">
        <f>IF((COUNTBLANK(B515:B567)=ROWS(B515:B567)),"Complété","À compléter")</f>
        <v>À compléter</v>
      </c>
      <c r="P507" s="1799"/>
      <c r="Q507" s="1800"/>
      <c r="S507" s="3487"/>
    </row>
    <row r="508" spans="1:19" ht="6.75" customHeight="1">
      <c r="B508" s="1796"/>
      <c r="C508" s="1798"/>
      <c r="D508" s="1798"/>
      <c r="E508" s="1798"/>
      <c r="F508" s="1799"/>
      <c r="G508" s="1799"/>
      <c r="H508" s="1799"/>
      <c r="I508" s="1799"/>
      <c r="J508" s="1799"/>
      <c r="K508" s="1799"/>
      <c r="L508" s="1799"/>
      <c r="M508" s="1799"/>
      <c r="N508" s="1799"/>
      <c r="O508" s="1799"/>
      <c r="P508" s="1799"/>
      <c r="Q508" s="1800"/>
      <c r="S508" s="3487"/>
    </row>
    <row r="509" spans="1:19" ht="17.25" customHeight="1">
      <c r="B509" s="1847"/>
      <c r="C509" s="3701" t="s">
        <v>531</v>
      </c>
      <c r="D509" s="3701"/>
      <c r="E509" s="3701"/>
      <c r="F509" s="3701"/>
      <c r="G509" s="3701"/>
      <c r="H509" s="3701"/>
      <c r="I509" s="3701"/>
      <c r="J509" s="3701"/>
      <c r="K509" s="3701"/>
      <c r="L509" s="3701"/>
      <c r="M509" s="3701"/>
      <c r="N509" s="1751"/>
      <c r="O509" s="1751"/>
      <c r="P509" s="1751"/>
      <c r="Q509" s="1851"/>
      <c r="S509" s="3487"/>
    </row>
    <row r="510" spans="1:19" ht="15" customHeight="1">
      <c r="B510" s="1847"/>
      <c r="C510" s="1848"/>
      <c r="D510" s="1848"/>
      <c r="E510" s="1848"/>
      <c r="F510" s="1751"/>
      <c r="G510" s="1751"/>
      <c r="H510" s="1751"/>
      <c r="I510" s="1751"/>
      <c r="J510" s="1751"/>
      <c r="K510" s="1751"/>
      <c r="L510" s="1751"/>
      <c r="M510" s="1751"/>
      <c r="N510" s="1751"/>
      <c r="O510" s="1751"/>
      <c r="P510" s="1751"/>
      <c r="Q510" s="1851"/>
      <c r="S510" s="3487"/>
    </row>
    <row r="511" spans="1:19" ht="17.25" customHeight="1">
      <c r="B511" s="1762"/>
      <c r="C511" s="1848" t="s">
        <v>822</v>
      </c>
      <c r="D511" s="1802"/>
      <c r="E511" s="1753"/>
      <c r="F511" s="1753"/>
      <c r="G511" s="1753"/>
      <c r="H511" s="1753"/>
      <c r="I511" s="1753"/>
      <c r="J511" s="1753"/>
      <c r="K511" s="1753"/>
      <c r="L511" s="1753"/>
      <c r="M511" s="1753"/>
      <c r="N511" s="1753"/>
      <c r="O511" s="1753"/>
      <c r="P511" s="1753"/>
      <c r="Q511" s="1754"/>
      <c r="S511" s="3487"/>
    </row>
    <row r="512" spans="1:19" ht="23.25" customHeight="1">
      <c r="B512" s="1762"/>
      <c r="C512" s="1877" t="s">
        <v>666</v>
      </c>
      <c r="D512" s="1802"/>
      <c r="E512" s="1753"/>
      <c r="F512" s="1753"/>
      <c r="G512" s="1753"/>
      <c r="H512" s="1753"/>
      <c r="I512" s="1753"/>
      <c r="J512" s="1753"/>
      <c r="K512" s="1753"/>
      <c r="L512" s="1753"/>
      <c r="M512" s="1753"/>
      <c r="N512" s="1753"/>
      <c r="O512" s="1753"/>
      <c r="P512" s="1753"/>
      <c r="Q512" s="1754"/>
      <c r="S512" s="3487"/>
    </row>
    <row r="513" spans="2:19" ht="16.5" customHeight="1">
      <c r="B513" s="1762"/>
      <c r="C513" s="1882" t="s">
        <v>667</v>
      </c>
      <c r="D513" s="1803"/>
      <c r="E513" s="1753"/>
      <c r="F513" s="1753"/>
      <c r="G513" s="1753"/>
      <c r="H513" s="1753"/>
      <c r="I513" s="1753"/>
      <c r="J513" s="1753"/>
      <c r="K513" s="1753"/>
      <c r="L513" s="1753"/>
      <c r="M513" s="1753"/>
      <c r="N513" s="1753"/>
      <c r="O513" s="1753"/>
      <c r="P513" s="1753"/>
      <c r="Q513" s="1754"/>
      <c r="S513" s="3487"/>
    </row>
    <row r="514" spans="2:19" ht="16.5" customHeight="1" thickBot="1">
      <c r="B514" s="1762"/>
      <c r="C514" s="1802"/>
      <c r="D514" s="1802"/>
      <c r="E514" s="1753"/>
      <c r="F514" s="1753"/>
      <c r="G514" s="1753"/>
      <c r="H514" s="1753"/>
      <c r="I514" s="1753"/>
      <c r="J514" s="1753"/>
      <c r="K514" s="1753"/>
      <c r="L514" s="1753"/>
      <c r="M514" s="1753"/>
      <c r="N514" s="1753"/>
      <c r="O514" s="1753"/>
      <c r="P514" s="1753"/>
      <c r="Q514" s="1754"/>
      <c r="S514" s="3487"/>
    </row>
    <row r="515" spans="2:19" ht="30" customHeight="1">
      <c r="B515" s="1762"/>
      <c r="C515" s="3214" t="s">
        <v>818</v>
      </c>
      <c r="D515" s="3215"/>
      <c r="E515" s="3215"/>
      <c r="F515" s="3216"/>
      <c r="G515" s="1889"/>
      <c r="H515" s="1889"/>
      <c r="I515" s="1889"/>
      <c r="J515" s="1889"/>
      <c r="K515" s="1889"/>
      <c r="L515" s="1889"/>
      <c r="M515" s="1889"/>
      <c r="N515" s="1889"/>
      <c r="O515" s="1890"/>
      <c r="P515" s="1889"/>
      <c r="Q515" s="1754"/>
      <c r="S515" s="3487"/>
    </row>
    <row r="516" spans="2:19" ht="3" customHeight="1" thickBot="1">
      <c r="B516" s="1762"/>
      <c r="C516" s="1064"/>
      <c r="D516" s="1063"/>
      <c r="E516" s="1063"/>
      <c r="F516" s="1065"/>
      <c r="G516" s="1789"/>
      <c r="H516" s="1789"/>
      <c r="I516" s="1789"/>
      <c r="J516" s="1789"/>
      <c r="K516" s="1789"/>
      <c r="L516" s="1789"/>
      <c r="M516" s="1789"/>
      <c r="N516" s="1789"/>
      <c r="O516" s="1789"/>
      <c r="P516" s="1789"/>
      <c r="Q516" s="1754"/>
      <c r="S516" s="3487"/>
    </row>
    <row r="517" spans="2:19" ht="19.5" customHeight="1">
      <c r="B517" s="1762"/>
      <c r="C517" s="3239" t="s">
        <v>668</v>
      </c>
      <c r="D517" s="3240"/>
      <c r="E517" s="3236" t="s">
        <v>669</v>
      </c>
      <c r="F517" s="3237"/>
      <c r="G517" s="3237"/>
      <c r="H517" s="3237"/>
      <c r="I517" s="3237"/>
      <c r="J517" s="3237"/>
      <c r="K517" s="3237"/>
      <c r="L517" s="3237"/>
      <c r="M517" s="3237"/>
      <c r="N517" s="3237"/>
      <c r="O517" s="3232" t="s">
        <v>649</v>
      </c>
      <c r="P517" s="3233"/>
      <c r="Q517" s="1754"/>
      <c r="S517" s="3487"/>
    </row>
    <row r="518" spans="2:19" ht="19.5" customHeight="1" thickBot="1">
      <c r="B518" s="1762"/>
      <c r="C518" s="3241"/>
      <c r="D518" s="3242"/>
      <c r="E518" s="741">
        <f>IF(E51="",0,E51)</f>
        <v>0</v>
      </c>
      <c r="F518" s="742">
        <f t="shared" ref="F518:N518" si="25">E518+1</f>
        <v>1</v>
      </c>
      <c r="G518" s="742">
        <f t="shared" si="25"/>
        <v>2</v>
      </c>
      <c r="H518" s="742">
        <f t="shared" si="25"/>
        <v>3</v>
      </c>
      <c r="I518" s="742">
        <f t="shared" si="25"/>
        <v>4</v>
      </c>
      <c r="J518" s="742">
        <f t="shared" si="25"/>
        <v>5</v>
      </c>
      <c r="K518" s="742">
        <f t="shared" si="25"/>
        <v>6</v>
      </c>
      <c r="L518" s="742">
        <f t="shared" si="25"/>
        <v>7</v>
      </c>
      <c r="M518" s="742">
        <f t="shared" si="25"/>
        <v>8</v>
      </c>
      <c r="N518" s="1149">
        <f t="shared" si="25"/>
        <v>9</v>
      </c>
      <c r="O518" s="3234"/>
      <c r="P518" s="3235"/>
      <c r="Q518" s="1754"/>
      <c r="S518" s="3487"/>
    </row>
    <row r="519" spans="2:19" ht="18" customHeight="1" thickBot="1">
      <c r="B519" s="1796"/>
      <c r="C519" s="1066" t="s">
        <v>477</v>
      </c>
      <c r="D519" s="1150"/>
      <c r="E519" s="1150"/>
      <c r="F519" s="1150"/>
      <c r="G519" s="1150"/>
      <c r="H519" s="1150"/>
      <c r="I519" s="1150"/>
      <c r="J519" s="1150"/>
      <c r="K519" s="1150"/>
      <c r="L519" s="1150"/>
      <c r="M519" s="1150"/>
      <c r="N519" s="1150"/>
      <c r="O519" s="1150"/>
      <c r="P519" s="1151"/>
      <c r="Q519" s="1754"/>
      <c r="S519" s="3487"/>
    </row>
    <row r="520" spans="2:19" ht="18" customHeight="1">
      <c r="B520" s="1796"/>
      <c r="C520" s="3436" t="s">
        <v>79</v>
      </c>
      <c r="D520" s="3437"/>
      <c r="E520" s="699">
        <f t="shared" ref="E520:N520" si="26">E411</f>
        <v>0</v>
      </c>
      <c r="F520" s="700">
        <f t="shared" si="26"/>
        <v>0</v>
      </c>
      <c r="G520" s="700">
        <f t="shared" si="26"/>
        <v>0</v>
      </c>
      <c r="H520" s="700">
        <f t="shared" si="26"/>
        <v>0</v>
      </c>
      <c r="I520" s="700">
        <f t="shared" si="26"/>
        <v>0</v>
      </c>
      <c r="J520" s="700">
        <f t="shared" si="26"/>
        <v>0</v>
      </c>
      <c r="K520" s="700">
        <f t="shared" si="26"/>
        <v>0</v>
      </c>
      <c r="L520" s="700">
        <f t="shared" si="26"/>
        <v>0</v>
      </c>
      <c r="M520" s="700">
        <f t="shared" si="26"/>
        <v>0</v>
      </c>
      <c r="N520" s="701">
        <f t="shared" si="26"/>
        <v>0</v>
      </c>
      <c r="O520" s="3421">
        <f>SUM(E520:N520)</f>
        <v>0</v>
      </c>
      <c r="P520" s="3422"/>
      <c r="Q520" s="1754"/>
      <c r="S520" s="3487"/>
    </row>
    <row r="521" spans="2:19" ht="18" customHeight="1">
      <c r="B521" s="1852" t="str">
        <f>IF(COUNTBLANK(E521:N521)&lt;10,"","u")</f>
        <v>u</v>
      </c>
      <c r="C521" s="3392" t="s">
        <v>80</v>
      </c>
      <c r="D521" s="3393"/>
      <c r="E521" s="573"/>
      <c r="F521" s="574"/>
      <c r="G521" s="574"/>
      <c r="H521" s="574"/>
      <c r="I521" s="574"/>
      <c r="J521" s="574"/>
      <c r="K521" s="574"/>
      <c r="L521" s="574"/>
      <c r="M521" s="574"/>
      <c r="N521" s="575"/>
      <c r="O521" s="3394">
        <f>SUM(E521:N521)</f>
        <v>0</v>
      </c>
      <c r="P521" s="3395"/>
      <c r="Q521" s="1754"/>
      <c r="S521" s="3487"/>
    </row>
    <row r="522" spans="2:19" ht="18" customHeight="1">
      <c r="B522" s="1852" t="str">
        <f>IF(COUNTBLANK(E522:N522)&lt;10,"","u")</f>
        <v>u</v>
      </c>
      <c r="C522" s="3428" t="s">
        <v>3468</v>
      </c>
      <c r="D522" s="3429"/>
      <c r="E522" s="607"/>
      <c r="F522" s="608"/>
      <c r="G522" s="608"/>
      <c r="H522" s="608"/>
      <c r="I522" s="608"/>
      <c r="J522" s="608"/>
      <c r="K522" s="608"/>
      <c r="L522" s="608"/>
      <c r="M522" s="608"/>
      <c r="N522" s="609"/>
      <c r="O522" s="3272">
        <f>SUM(E522:N522)</f>
        <v>0</v>
      </c>
      <c r="P522" s="3273"/>
      <c r="Q522" s="1754"/>
      <c r="S522" s="3487"/>
    </row>
    <row r="523" spans="2:19" ht="18" customHeight="1">
      <c r="B523" s="1852"/>
      <c r="C523" s="1160" t="s">
        <v>3469</v>
      </c>
      <c r="D523" s="603"/>
      <c r="E523" s="687">
        <f>E521+E522</f>
        <v>0</v>
      </c>
      <c r="F523" s="688">
        <f t="shared" ref="F523:N523" si="27">F521+F522</f>
        <v>0</v>
      </c>
      <c r="G523" s="688">
        <f t="shared" si="27"/>
        <v>0</v>
      </c>
      <c r="H523" s="688">
        <f t="shared" si="27"/>
        <v>0</v>
      </c>
      <c r="I523" s="688">
        <f t="shared" si="27"/>
        <v>0</v>
      </c>
      <c r="J523" s="688">
        <f t="shared" si="27"/>
        <v>0</v>
      </c>
      <c r="K523" s="688">
        <f t="shared" si="27"/>
        <v>0</v>
      </c>
      <c r="L523" s="688">
        <f t="shared" si="27"/>
        <v>0</v>
      </c>
      <c r="M523" s="688">
        <f t="shared" si="27"/>
        <v>0</v>
      </c>
      <c r="N523" s="689">
        <f t="shared" si="27"/>
        <v>0</v>
      </c>
      <c r="O523" s="3430">
        <f>SUM(E523:N523)</f>
        <v>0</v>
      </c>
      <c r="P523" s="3431"/>
      <c r="Q523" s="1754"/>
      <c r="S523" s="3487"/>
    </row>
    <row r="524" spans="2:19" ht="18" customHeight="1" thickBot="1">
      <c r="B524" s="1892"/>
      <c r="C524" s="3191" t="s">
        <v>83</v>
      </c>
      <c r="D524" s="3192"/>
      <c r="E524" s="690">
        <f t="shared" ref="E524:N524" si="28">IF((E520-E521-E522)&lt;0,0,(E520-E521-E522))</f>
        <v>0</v>
      </c>
      <c r="F524" s="691">
        <f t="shared" si="28"/>
        <v>0</v>
      </c>
      <c r="G524" s="691">
        <f t="shared" si="28"/>
        <v>0</v>
      </c>
      <c r="H524" s="691">
        <f t="shared" si="28"/>
        <v>0</v>
      </c>
      <c r="I524" s="691">
        <f t="shared" si="28"/>
        <v>0</v>
      </c>
      <c r="J524" s="691">
        <f t="shared" si="28"/>
        <v>0</v>
      </c>
      <c r="K524" s="691">
        <f t="shared" si="28"/>
        <v>0</v>
      </c>
      <c r="L524" s="691">
        <f t="shared" si="28"/>
        <v>0</v>
      </c>
      <c r="M524" s="691">
        <f t="shared" si="28"/>
        <v>0</v>
      </c>
      <c r="N524" s="692">
        <f t="shared" si="28"/>
        <v>0</v>
      </c>
      <c r="O524" s="3406">
        <f>SUM(E524:N524)</f>
        <v>0</v>
      </c>
      <c r="P524" s="3407"/>
      <c r="Q524" s="1888"/>
      <c r="S524" s="3487"/>
    </row>
    <row r="525" spans="2:19" ht="32.25" customHeight="1" thickBot="1">
      <c r="B525" s="1892"/>
      <c r="C525" s="3209" t="s">
        <v>539</v>
      </c>
      <c r="D525" s="3210"/>
      <c r="E525" s="3387"/>
      <c r="F525" s="3388"/>
      <c r="G525" s="3388"/>
      <c r="H525" s="3388"/>
      <c r="I525" s="3388"/>
      <c r="J525" s="3388"/>
      <c r="K525" s="3388"/>
      <c r="L525" s="3388"/>
      <c r="M525" s="3388"/>
      <c r="N525" s="3388"/>
      <c r="O525" s="3388"/>
      <c r="P525" s="3389"/>
      <c r="Q525" s="1888"/>
      <c r="S525" s="3487"/>
    </row>
    <row r="526" spans="2:19" ht="18" customHeight="1" thickBot="1">
      <c r="B526" s="1892"/>
      <c r="C526" s="1066" t="s">
        <v>482</v>
      </c>
      <c r="D526" s="1150"/>
      <c r="E526" s="1150"/>
      <c r="F526" s="1150"/>
      <c r="G526" s="1150"/>
      <c r="H526" s="1150"/>
      <c r="I526" s="1150"/>
      <c r="J526" s="1150"/>
      <c r="K526" s="1150"/>
      <c r="L526" s="1150"/>
      <c r="M526" s="1150"/>
      <c r="N526" s="1150"/>
      <c r="O526" s="1150"/>
      <c r="P526" s="1151"/>
      <c r="Q526" s="1754"/>
      <c r="S526" s="3487"/>
    </row>
    <row r="527" spans="2:19" ht="18" customHeight="1">
      <c r="B527" s="1892"/>
      <c r="C527" s="3413" t="s">
        <v>79</v>
      </c>
      <c r="D527" s="3414"/>
      <c r="E527" s="693">
        <f t="shared" ref="E527:N527" si="29">E427</f>
        <v>0</v>
      </c>
      <c r="F527" s="694">
        <f t="shared" si="29"/>
        <v>0</v>
      </c>
      <c r="G527" s="694">
        <f t="shared" si="29"/>
        <v>0</v>
      </c>
      <c r="H527" s="694">
        <f t="shared" si="29"/>
        <v>0</v>
      </c>
      <c r="I527" s="694">
        <f t="shared" si="29"/>
        <v>0</v>
      </c>
      <c r="J527" s="694">
        <f t="shared" si="29"/>
        <v>0</v>
      </c>
      <c r="K527" s="694">
        <f t="shared" si="29"/>
        <v>0</v>
      </c>
      <c r="L527" s="694">
        <f t="shared" si="29"/>
        <v>0</v>
      </c>
      <c r="M527" s="694">
        <f t="shared" si="29"/>
        <v>0</v>
      </c>
      <c r="N527" s="695">
        <f t="shared" si="29"/>
        <v>0</v>
      </c>
      <c r="O527" s="3408">
        <f t="shared" ref="O527:O532" si="30">SUM(E527:N527)</f>
        <v>0</v>
      </c>
      <c r="P527" s="3409"/>
      <c r="Q527" s="1754"/>
      <c r="S527" s="3487"/>
    </row>
    <row r="528" spans="2:19" ht="18" customHeight="1">
      <c r="B528" s="1893"/>
      <c r="C528" s="1152" t="s">
        <v>84</v>
      </c>
      <c r="D528" s="531"/>
      <c r="E528" s="696">
        <f t="shared" ref="E528:N528" si="31">IF((E520-E521-E522)&lt;0,-(E520-E521-E522),0)</f>
        <v>0</v>
      </c>
      <c r="F528" s="697">
        <f t="shared" si="31"/>
        <v>0</v>
      </c>
      <c r="G528" s="697">
        <f t="shared" si="31"/>
        <v>0</v>
      </c>
      <c r="H528" s="697">
        <f t="shared" si="31"/>
        <v>0</v>
      </c>
      <c r="I528" s="697">
        <f t="shared" si="31"/>
        <v>0</v>
      </c>
      <c r="J528" s="697">
        <f t="shared" si="31"/>
        <v>0</v>
      </c>
      <c r="K528" s="697">
        <f t="shared" si="31"/>
        <v>0</v>
      </c>
      <c r="L528" s="697">
        <f t="shared" si="31"/>
        <v>0</v>
      </c>
      <c r="M528" s="697">
        <f t="shared" si="31"/>
        <v>0</v>
      </c>
      <c r="N528" s="698">
        <f t="shared" si="31"/>
        <v>0</v>
      </c>
      <c r="O528" s="3438">
        <f t="shared" si="30"/>
        <v>0</v>
      </c>
      <c r="P528" s="3439"/>
      <c r="Q528" s="1754"/>
      <c r="S528" s="3487"/>
    </row>
    <row r="529" spans="2:19" ht="18" customHeight="1">
      <c r="B529" s="1852" t="str">
        <f>IF(COUNTBLANK(E529:N529)&lt;10,"","u")</f>
        <v>u</v>
      </c>
      <c r="C529" s="3368" t="s">
        <v>85</v>
      </c>
      <c r="D529" s="3369"/>
      <c r="E529" s="576"/>
      <c r="F529" s="577"/>
      <c r="G529" s="577"/>
      <c r="H529" s="577"/>
      <c r="I529" s="577"/>
      <c r="J529" s="577"/>
      <c r="K529" s="577"/>
      <c r="L529" s="577"/>
      <c r="M529" s="577"/>
      <c r="N529" s="578"/>
      <c r="O529" s="3272">
        <f t="shared" si="30"/>
        <v>0</v>
      </c>
      <c r="P529" s="3273"/>
      <c r="Q529" s="1754"/>
      <c r="S529" s="3487"/>
    </row>
    <row r="530" spans="2:19" ht="18" customHeight="1">
      <c r="B530" s="1852" t="str">
        <f>IF(COUNTBLANK(E530:N530)&lt;10,"","u")</f>
        <v>u</v>
      </c>
      <c r="C530" s="3370" t="s">
        <v>86</v>
      </c>
      <c r="D530" s="3371"/>
      <c r="E530" s="570"/>
      <c r="F530" s="571"/>
      <c r="G530" s="571"/>
      <c r="H530" s="571"/>
      <c r="I530" s="571"/>
      <c r="J530" s="571"/>
      <c r="K530" s="571"/>
      <c r="L530" s="571"/>
      <c r="M530" s="571"/>
      <c r="N530" s="572"/>
      <c r="O530" s="3289">
        <f t="shared" si="30"/>
        <v>0</v>
      </c>
      <c r="P530" s="3290"/>
      <c r="Q530" s="1754"/>
      <c r="S530" s="3487"/>
    </row>
    <row r="531" spans="2:19" ht="18" customHeight="1">
      <c r="B531" s="1852"/>
      <c r="C531" s="1152" t="s">
        <v>3469</v>
      </c>
      <c r="D531" s="531"/>
      <c r="E531" s="699">
        <f>E529+E530</f>
        <v>0</v>
      </c>
      <c r="F531" s="700">
        <f t="shared" ref="F531:N531" si="32">F529+F530</f>
        <v>0</v>
      </c>
      <c r="G531" s="700">
        <f t="shared" si="32"/>
        <v>0</v>
      </c>
      <c r="H531" s="700">
        <f t="shared" si="32"/>
        <v>0</v>
      </c>
      <c r="I531" s="700">
        <f t="shared" si="32"/>
        <v>0</v>
      </c>
      <c r="J531" s="700">
        <f t="shared" si="32"/>
        <v>0</v>
      </c>
      <c r="K531" s="700">
        <f t="shared" si="32"/>
        <v>0</v>
      </c>
      <c r="L531" s="700">
        <f t="shared" si="32"/>
        <v>0</v>
      </c>
      <c r="M531" s="700">
        <f t="shared" si="32"/>
        <v>0</v>
      </c>
      <c r="N531" s="701">
        <f t="shared" si="32"/>
        <v>0</v>
      </c>
      <c r="O531" s="3421">
        <f t="shared" si="30"/>
        <v>0</v>
      </c>
      <c r="P531" s="3422"/>
      <c r="Q531" s="1754"/>
      <c r="S531" s="3487"/>
    </row>
    <row r="532" spans="2:19" ht="18" customHeight="1" thickBot="1">
      <c r="B532" s="1796"/>
      <c r="C532" s="3191" t="s">
        <v>83</v>
      </c>
      <c r="D532" s="3192"/>
      <c r="E532" s="702">
        <f t="shared" ref="E532:N532" si="33">E527-E528-E529-E530</f>
        <v>0</v>
      </c>
      <c r="F532" s="703">
        <f t="shared" si="33"/>
        <v>0</v>
      </c>
      <c r="G532" s="703">
        <f t="shared" si="33"/>
        <v>0</v>
      </c>
      <c r="H532" s="703">
        <f t="shared" si="33"/>
        <v>0</v>
      </c>
      <c r="I532" s="703">
        <f t="shared" si="33"/>
        <v>0</v>
      </c>
      <c r="J532" s="703">
        <f t="shared" si="33"/>
        <v>0</v>
      </c>
      <c r="K532" s="703">
        <f t="shared" si="33"/>
        <v>0</v>
      </c>
      <c r="L532" s="703">
        <f t="shared" si="33"/>
        <v>0</v>
      </c>
      <c r="M532" s="703">
        <f t="shared" si="33"/>
        <v>0</v>
      </c>
      <c r="N532" s="704">
        <f t="shared" si="33"/>
        <v>0</v>
      </c>
      <c r="O532" s="3406">
        <f t="shared" si="30"/>
        <v>0</v>
      </c>
      <c r="P532" s="3407"/>
      <c r="Q532" s="1888"/>
      <c r="S532" s="3487"/>
    </row>
    <row r="533" spans="2:19" ht="32.25" customHeight="1" thickBot="1">
      <c r="B533" s="1796"/>
      <c r="C533" s="3209" t="s">
        <v>539</v>
      </c>
      <c r="D533" s="3210"/>
      <c r="E533" s="3387"/>
      <c r="F533" s="3388"/>
      <c r="G533" s="3388"/>
      <c r="H533" s="3388"/>
      <c r="I533" s="3388"/>
      <c r="J533" s="3388"/>
      <c r="K533" s="3388"/>
      <c r="L533" s="3388"/>
      <c r="M533" s="3388"/>
      <c r="N533" s="3388"/>
      <c r="O533" s="3388"/>
      <c r="P533" s="3389"/>
      <c r="Q533" s="1888"/>
      <c r="S533" s="3487"/>
    </row>
    <row r="534" spans="2:19" ht="18" customHeight="1" thickBot="1">
      <c r="B534" s="1796"/>
      <c r="C534" s="1066" t="s">
        <v>657</v>
      </c>
      <c r="D534" s="1150"/>
      <c r="E534" s="1150"/>
      <c r="F534" s="1150"/>
      <c r="G534" s="1150"/>
      <c r="H534" s="1150"/>
      <c r="I534" s="1150"/>
      <c r="J534" s="1150"/>
      <c r="K534" s="1150"/>
      <c r="L534" s="1150"/>
      <c r="M534" s="1150"/>
      <c r="N534" s="1150"/>
      <c r="O534" s="1150"/>
      <c r="P534" s="1151"/>
      <c r="Q534" s="1754"/>
      <c r="S534" s="3487"/>
    </row>
    <row r="535" spans="2:19" ht="18" customHeight="1">
      <c r="B535" s="1796"/>
      <c r="C535" s="3396" t="s">
        <v>79</v>
      </c>
      <c r="D535" s="3397"/>
      <c r="E535" s="684">
        <f t="shared" ref="E535:N535" si="34">E435</f>
        <v>0</v>
      </c>
      <c r="F535" s="685">
        <f t="shared" si="34"/>
        <v>0</v>
      </c>
      <c r="G535" s="685">
        <f t="shared" si="34"/>
        <v>0</v>
      </c>
      <c r="H535" s="685">
        <f t="shared" si="34"/>
        <v>0</v>
      </c>
      <c r="I535" s="685">
        <f t="shared" si="34"/>
        <v>0</v>
      </c>
      <c r="J535" s="685">
        <f t="shared" si="34"/>
        <v>0</v>
      </c>
      <c r="K535" s="685">
        <f t="shared" si="34"/>
        <v>0</v>
      </c>
      <c r="L535" s="685">
        <f t="shared" si="34"/>
        <v>0</v>
      </c>
      <c r="M535" s="685">
        <f t="shared" si="34"/>
        <v>0</v>
      </c>
      <c r="N535" s="686">
        <f t="shared" si="34"/>
        <v>0</v>
      </c>
      <c r="O535" s="3400">
        <f>SUM(E535:N535)</f>
        <v>0</v>
      </c>
      <c r="P535" s="3401"/>
      <c r="Q535" s="1754"/>
      <c r="S535" s="3487"/>
    </row>
    <row r="536" spans="2:19" ht="18" customHeight="1">
      <c r="B536" s="1852" t="str">
        <f>IF(COUNTBLANK(E536:N536)&lt;10,"","u")</f>
        <v>u</v>
      </c>
      <c r="C536" s="3368" t="s">
        <v>85</v>
      </c>
      <c r="D536" s="3369"/>
      <c r="E536" s="576"/>
      <c r="F536" s="577"/>
      <c r="G536" s="577"/>
      <c r="H536" s="577"/>
      <c r="I536" s="577"/>
      <c r="J536" s="577"/>
      <c r="K536" s="577"/>
      <c r="L536" s="577"/>
      <c r="M536" s="577"/>
      <c r="N536" s="578"/>
      <c r="O536" s="3272">
        <f>SUM(E536:N536)</f>
        <v>0</v>
      </c>
      <c r="P536" s="3273"/>
      <c r="Q536" s="1754"/>
      <c r="S536" s="3487"/>
    </row>
    <row r="537" spans="2:19" ht="18" customHeight="1">
      <c r="B537" s="1852" t="str">
        <f>IF(COUNTBLANK(E537:N537)&lt;10,"","u")</f>
        <v>u</v>
      </c>
      <c r="C537" s="3370" t="s">
        <v>86</v>
      </c>
      <c r="D537" s="3371"/>
      <c r="E537" s="570"/>
      <c r="F537" s="571"/>
      <c r="G537" s="571"/>
      <c r="H537" s="571"/>
      <c r="I537" s="571"/>
      <c r="J537" s="571"/>
      <c r="K537" s="571"/>
      <c r="L537" s="571"/>
      <c r="M537" s="571"/>
      <c r="N537" s="572"/>
      <c r="O537" s="3404">
        <f>SUM(E537:N537)</f>
        <v>0</v>
      </c>
      <c r="P537" s="3405"/>
      <c r="Q537" s="1754"/>
      <c r="S537" s="3487"/>
    </row>
    <row r="538" spans="2:19" ht="18" customHeight="1">
      <c r="B538" s="1852"/>
      <c r="C538" s="1152" t="s">
        <v>3469</v>
      </c>
      <c r="D538" s="531"/>
      <c r="E538" s="699">
        <f t="shared" ref="E538:N538" si="35">E536+E537</f>
        <v>0</v>
      </c>
      <c r="F538" s="700">
        <f t="shared" si="35"/>
        <v>0</v>
      </c>
      <c r="G538" s="700">
        <f t="shared" si="35"/>
        <v>0</v>
      </c>
      <c r="H538" s="700">
        <f t="shared" si="35"/>
        <v>0</v>
      </c>
      <c r="I538" s="700">
        <f t="shared" si="35"/>
        <v>0</v>
      </c>
      <c r="J538" s="700">
        <f t="shared" si="35"/>
        <v>0</v>
      </c>
      <c r="K538" s="700">
        <f t="shared" si="35"/>
        <v>0</v>
      </c>
      <c r="L538" s="700">
        <f t="shared" si="35"/>
        <v>0</v>
      </c>
      <c r="M538" s="700">
        <f t="shared" si="35"/>
        <v>0</v>
      </c>
      <c r="N538" s="701">
        <f t="shared" si="35"/>
        <v>0</v>
      </c>
      <c r="O538" s="3421">
        <f>SUM(E538:N538)</f>
        <v>0</v>
      </c>
      <c r="P538" s="3422"/>
      <c r="Q538" s="1754"/>
      <c r="S538" s="3487"/>
    </row>
    <row r="539" spans="2:19" ht="18" customHeight="1" thickBot="1">
      <c r="B539" s="1796"/>
      <c r="C539" s="3191" t="s">
        <v>83</v>
      </c>
      <c r="D539" s="3192"/>
      <c r="E539" s="684">
        <f t="shared" ref="E539:N539" si="36">E535-E536-E537</f>
        <v>0</v>
      </c>
      <c r="F539" s="685">
        <f t="shared" si="36"/>
        <v>0</v>
      </c>
      <c r="G539" s="685">
        <f t="shared" si="36"/>
        <v>0</v>
      </c>
      <c r="H539" s="685">
        <f t="shared" si="36"/>
        <v>0</v>
      </c>
      <c r="I539" s="685">
        <f t="shared" si="36"/>
        <v>0</v>
      </c>
      <c r="J539" s="685">
        <f t="shared" si="36"/>
        <v>0</v>
      </c>
      <c r="K539" s="685">
        <f t="shared" si="36"/>
        <v>0</v>
      </c>
      <c r="L539" s="685">
        <f t="shared" si="36"/>
        <v>0</v>
      </c>
      <c r="M539" s="685">
        <f t="shared" si="36"/>
        <v>0</v>
      </c>
      <c r="N539" s="685">
        <f t="shared" si="36"/>
        <v>0</v>
      </c>
      <c r="O539" s="3406">
        <f>SUM(E539:N539)</f>
        <v>0</v>
      </c>
      <c r="P539" s="3407"/>
      <c r="Q539" s="1888"/>
      <c r="S539" s="3487"/>
    </row>
    <row r="540" spans="2:19" ht="32.25" customHeight="1" thickBot="1">
      <c r="B540" s="1796"/>
      <c r="C540" s="3209" t="s">
        <v>539</v>
      </c>
      <c r="D540" s="3210"/>
      <c r="E540" s="3387"/>
      <c r="F540" s="3388"/>
      <c r="G540" s="3388"/>
      <c r="H540" s="3388"/>
      <c r="I540" s="3388"/>
      <c r="J540" s="3388"/>
      <c r="K540" s="3388"/>
      <c r="L540" s="3388"/>
      <c r="M540" s="3388"/>
      <c r="N540" s="3388"/>
      <c r="O540" s="3388"/>
      <c r="P540" s="3389"/>
      <c r="Q540" s="1888"/>
      <c r="S540" s="3487"/>
    </row>
    <row r="541" spans="2:19" ht="18.75" customHeight="1" thickBot="1">
      <c r="B541" s="1762"/>
      <c r="C541" s="1802"/>
      <c r="D541" s="1802"/>
      <c r="E541" s="1753"/>
      <c r="F541" s="1753"/>
      <c r="G541" s="1753"/>
      <c r="H541" s="1753"/>
      <c r="I541" s="1753"/>
      <c r="J541" s="1753"/>
      <c r="K541" s="1753"/>
      <c r="L541" s="1753"/>
      <c r="M541" s="1753"/>
      <c r="N541" s="1753"/>
      <c r="O541" s="1753"/>
      <c r="P541" s="1753"/>
      <c r="Q541" s="1754"/>
      <c r="S541" s="3487"/>
    </row>
    <row r="542" spans="2:19" ht="30" customHeight="1">
      <c r="B542" s="1762"/>
      <c r="C542" s="3214" t="s">
        <v>820</v>
      </c>
      <c r="D542" s="3215"/>
      <c r="E542" s="3215"/>
      <c r="F542" s="3216"/>
      <c r="G542" s="1889"/>
      <c r="H542" s="1889"/>
      <c r="I542" s="1889"/>
      <c r="J542" s="1889"/>
      <c r="K542" s="1889"/>
      <c r="L542" s="1889"/>
      <c r="M542" s="1889"/>
      <c r="N542" s="1889"/>
      <c r="O542" s="1890"/>
      <c r="P542" s="1889"/>
      <c r="Q542" s="1754"/>
      <c r="S542" s="3487"/>
    </row>
    <row r="543" spans="2:19" ht="3" customHeight="1" thickBot="1">
      <c r="B543" s="1762"/>
      <c r="C543" s="1064"/>
      <c r="D543" s="1063"/>
      <c r="E543" s="1063"/>
      <c r="F543" s="1065"/>
      <c r="G543" s="1789"/>
      <c r="H543" s="1789"/>
      <c r="I543" s="1789"/>
      <c r="J543" s="1789"/>
      <c r="K543" s="1789"/>
      <c r="L543" s="1789"/>
      <c r="M543" s="1789"/>
      <c r="N543" s="1789"/>
      <c r="O543" s="1789"/>
      <c r="P543" s="1789"/>
      <c r="Q543" s="1754"/>
      <c r="S543" s="3487"/>
    </row>
    <row r="544" spans="2:19" ht="19.5" customHeight="1">
      <c r="B544" s="1762"/>
      <c r="C544" s="3239" t="s">
        <v>668</v>
      </c>
      <c r="D544" s="3240"/>
      <c r="E544" s="3236" t="s">
        <v>669</v>
      </c>
      <c r="F544" s="3237"/>
      <c r="G544" s="3237"/>
      <c r="H544" s="3237"/>
      <c r="I544" s="3237"/>
      <c r="J544" s="3237"/>
      <c r="K544" s="3237"/>
      <c r="L544" s="3237"/>
      <c r="M544" s="3237"/>
      <c r="N544" s="3237"/>
      <c r="O544" s="3232" t="s">
        <v>649</v>
      </c>
      <c r="P544" s="3233"/>
      <c r="Q544" s="1754"/>
      <c r="S544" s="3487"/>
    </row>
    <row r="545" spans="2:19" ht="19.5" customHeight="1" thickBot="1">
      <c r="B545" s="1762"/>
      <c r="C545" s="3402"/>
      <c r="D545" s="3403"/>
      <c r="E545" s="1155">
        <f>IF(E51="",0,E51)</f>
        <v>0</v>
      </c>
      <c r="F545" s="1156">
        <f t="shared" ref="F545:N545" si="37">E545+1</f>
        <v>1</v>
      </c>
      <c r="G545" s="1156">
        <f t="shared" si="37"/>
        <v>2</v>
      </c>
      <c r="H545" s="1156">
        <f t="shared" si="37"/>
        <v>3</v>
      </c>
      <c r="I545" s="1156">
        <f t="shared" si="37"/>
        <v>4</v>
      </c>
      <c r="J545" s="1156">
        <f t="shared" si="37"/>
        <v>5</v>
      </c>
      <c r="K545" s="1156">
        <f t="shared" si="37"/>
        <v>6</v>
      </c>
      <c r="L545" s="1156">
        <f t="shared" si="37"/>
        <v>7</v>
      </c>
      <c r="M545" s="1156">
        <f t="shared" si="37"/>
        <v>8</v>
      </c>
      <c r="N545" s="1157">
        <f t="shared" si="37"/>
        <v>9</v>
      </c>
      <c r="O545" s="3398"/>
      <c r="P545" s="3399"/>
      <c r="Q545" s="1754"/>
      <c r="S545" s="3487"/>
    </row>
    <row r="546" spans="2:19" ht="18.75" customHeight="1" thickBot="1">
      <c r="B546" s="1796"/>
      <c r="C546" s="1142" t="s">
        <v>477</v>
      </c>
      <c r="D546" s="1153"/>
      <c r="E546" s="1153"/>
      <c r="F546" s="1153"/>
      <c r="G546" s="1153"/>
      <c r="H546" s="1153"/>
      <c r="I546" s="1153"/>
      <c r="J546" s="1153"/>
      <c r="K546" s="1153"/>
      <c r="L546" s="1153"/>
      <c r="M546" s="1153"/>
      <c r="N546" s="1153"/>
      <c r="O546" s="1153"/>
      <c r="P546" s="1154"/>
      <c r="Q546" s="1754"/>
      <c r="S546" s="3487"/>
    </row>
    <row r="547" spans="2:19" ht="18.75" customHeight="1">
      <c r="B547" s="1796"/>
      <c r="C547" s="3396" t="s">
        <v>79</v>
      </c>
      <c r="D547" s="3397"/>
      <c r="E547" s="684">
        <f t="shared" ref="E547:N547" si="38">E456</f>
        <v>0</v>
      </c>
      <c r="F547" s="685">
        <f t="shared" si="38"/>
        <v>0</v>
      </c>
      <c r="G547" s="685">
        <f t="shared" si="38"/>
        <v>0</v>
      </c>
      <c r="H547" s="685">
        <f t="shared" si="38"/>
        <v>0</v>
      </c>
      <c r="I547" s="685">
        <f t="shared" si="38"/>
        <v>0</v>
      </c>
      <c r="J547" s="685">
        <f t="shared" si="38"/>
        <v>0</v>
      </c>
      <c r="K547" s="685">
        <f t="shared" si="38"/>
        <v>0</v>
      </c>
      <c r="L547" s="685">
        <f t="shared" si="38"/>
        <v>0</v>
      </c>
      <c r="M547" s="685">
        <f t="shared" si="38"/>
        <v>0</v>
      </c>
      <c r="N547" s="686">
        <f t="shared" si="38"/>
        <v>0</v>
      </c>
      <c r="O547" s="3400">
        <f>SUM(E547:N547)</f>
        <v>0</v>
      </c>
      <c r="P547" s="3401"/>
      <c r="Q547" s="1754"/>
      <c r="S547" s="3487"/>
    </row>
    <row r="548" spans="2:19" ht="18.75" customHeight="1">
      <c r="B548" s="1852" t="str">
        <f>IF(COUNTBLANK(E548:N548)&lt;10,"","u")</f>
        <v>u</v>
      </c>
      <c r="C548" s="3392" t="s">
        <v>80</v>
      </c>
      <c r="D548" s="3393"/>
      <c r="E548" s="573"/>
      <c r="F548" s="574"/>
      <c r="G548" s="574"/>
      <c r="H548" s="574"/>
      <c r="I548" s="574"/>
      <c r="J548" s="574"/>
      <c r="K548" s="574"/>
      <c r="L548" s="574"/>
      <c r="M548" s="574"/>
      <c r="N548" s="579"/>
      <c r="O548" s="3394">
        <f>SUM(E548:N548)</f>
        <v>0</v>
      </c>
      <c r="P548" s="3395"/>
      <c r="Q548" s="1754"/>
      <c r="S548" s="3487"/>
    </row>
    <row r="549" spans="2:19" ht="18" customHeight="1">
      <c r="B549" s="1852" t="str">
        <f>IF(COUNTBLANK(E549:N549)&lt;10,"","u")</f>
        <v>u</v>
      </c>
      <c r="C549" s="3428" t="s">
        <v>3468</v>
      </c>
      <c r="D549" s="3429"/>
      <c r="E549" s="607"/>
      <c r="F549" s="608"/>
      <c r="G549" s="608"/>
      <c r="H549" s="608"/>
      <c r="I549" s="608"/>
      <c r="J549" s="608"/>
      <c r="K549" s="608"/>
      <c r="L549" s="608"/>
      <c r="M549" s="608"/>
      <c r="N549" s="609"/>
      <c r="O549" s="3272">
        <f>SUM(E549:N549)</f>
        <v>0</v>
      </c>
      <c r="P549" s="3273"/>
      <c r="Q549" s="1754"/>
      <c r="S549" s="3487"/>
    </row>
    <row r="550" spans="2:19" ht="18" customHeight="1">
      <c r="B550" s="1852"/>
      <c r="C550" s="1152" t="s">
        <v>3469</v>
      </c>
      <c r="D550" s="531"/>
      <c r="E550" s="699">
        <f>E548+E549</f>
        <v>0</v>
      </c>
      <c r="F550" s="700">
        <f t="shared" ref="F550:N550" si="39">F548+F549</f>
        <v>0</v>
      </c>
      <c r="G550" s="700">
        <f t="shared" si="39"/>
        <v>0</v>
      </c>
      <c r="H550" s="700">
        <f t="shared" si="39"/>
        <v>0</v>
      </c>
      <c r="I550" s="700">
        <f t="shared" si="39"/>
        <v>0</v>
      </c>
      <c r="J550" s="700">
        <f t="shared" si="39"/>
        <v>0</v>
      </c>
      <c r="K550" s="700">
        <f t="shared" si="39"/>
        <v>0</v>
      </c>
      <c r="L550" s="700">
        <f t="shared" si="39"/>
        <v>0</v>
      </c>
      <c r="M550" s="700">
        <f t="shared" si="39"/>
        <v>0</v>
      </c>
      <c r="N550" s="701">
        <f t="shared" si="39"/>
        <v>0</v>
      </c>
      <c r="O550" s="3421">
        <f>SUM(E550:N550)</f>
        <v>0</v>
      </c>
      <c r="P550" s="3422"/>
      <c r="Q550" s="1754"/>
      <c r="S550" s="3487"/>
    </row>
    <row r="551" spans="2:19" ht="18" customHeight="1" thickBot="1">
      <c r="B551" s="1796"/>
      <c r="C551" s="3426" t="s">
        <v>83</v>
      </c>
      <c r="D551" s="3427"/>
      <c r="E551" s="1158">
        <f t="shared" ref="E551:N551" si="40">IF((E547-E548-E549)&lt;0,0,(E547-E548-E549))</f>
        <v>0</v>
      </c>
      <c r="F551" s="1159">
        <f t="shared" si="40"/>
        <v>0</v>
      </c>
      <c r="G551" s="1159">
        <f t="shared" si="40"/>
        <v>0</v>
      </c>
      <c r="H551" s="1159">
        <f t="shared" si="40"/>
        <v>0</v>
      </c>
      <c r="I551" s="1159">
        <f t="shared" si="40"/>
        <v>0</v>
      </c>
      <c r="J551" s="1159">
        <f t="shared" si="40"/>
        <v>0</v>
      </c>
      <c r="K551" s="1159">
        <f t="shared" si="40"/>
        <v>0</v>
      </c>
      <c r="L551" s="1159">
        <f t="shared" si="40"/>
        <v>0</v>
      </c>
      <c r="M551" s="1159">
        <f t="shared" si="40"/>
        <v>0</v>
      </c>
      <c r="N551" s="1159">
        <f t="shared" si="40"/>
        <v>0</v>
      </c>
      <c r="O551" s="3390">
        <f>SUM(E551:N551)</f>
        <v>0</v>
      </c>
      <c r="P551" s="3391"/>
      <c r="Q551" s="1888"/>
      <c r="S551" s="3487"/>
    </row>
    <row r="552" spans="2:19" ht="32.25" customHeight="1" thickBot="1">
      <c r="B552" s="1796"/>
      <c r="C552" s="3209" t="s">
        <v>539</v>
      </c>
      <c r="D552" s="3210"/>
      <c r="E552" s="3387"/>
      <c r="F552" s="3388"/>
      <c r="G552" s="3388"/>
      <c r="H552" s="3388"/>
      <c r="I552" s="3388"/>
      <c r="J552" s="3388"/>
      <c r="K552" s="3388"/>
      <c r="L552" s="3388"/>
      <c r="M552" s="3388"/>
      <c r="N552" s="3388"/>
      <c r="O552" s="3388"/>
      <c r="P552" s="3389"/>
      <c r="Q552" s="1888"/>
      <c r="S552" s="3487"/>
    </row>
    <row r="553" spans="2:19" ht="18" customHeight="1" thickBot="1">
      <c r="B553" s="1796"/>
      <c r="C553" s="1142" t="s">
        <v>482</v>
      </c>
      <c r="D553" s="1153"/>
      <c r="E553" s="1153"/>
      <c r="F553" s="1153"/>
      <c r="G553" s="1153"/>
      <c r="H553" s="1153"/>
      <c r="I553" s="1153"/>
      <c r="J553" s="1153"/>
      <c r="K553" s="1153"/>
      <c r="L553" s="1153"/>
      <c r="M553" s="1153"/>
      <c r="N553" s="1153"/>
      <c r="O553" s="1153"/>
      <c r="P553" s="1154"/>
      <c r="Q553" s="1754"/>
      <c r="S553" s="3487"/>
    </row>
    <row r="554" spans="2:19" ht="18" customHeight="1">
      <c r="B554" s="1796"/>
      <c r="C554" s="3413" t="s">
        <v>79</v>
      </c>
      <c r="D554" s="3414"/>
      <c r="E554" s="705">
        <f t="shared" ref="E554:N554" si="41">E472</f>
        <v>0</v>
      </c>
      <c r="F554" s="706">
        <f t="shared" si="41"/>
        <v>0</v>
      </c>
      <c r="G554" s="706">
        <f t="shared" si="41"/>
        <v>0</v>
      </c>
      <c r="H554" s="706">
        <f t="shared" si="41"/>
        <v>0</v>
      </c>
      <c r="I554" s="706">
        <f t="shared" si="41"/>
        <v>0</v>
      </c>
      <c r="J554" s="706">
        <f t="shared" si="41"/>
        <v>0</v>
      </c>
      <c r="K554" s="706">
        <f t="shared" si="41"/>
        <v>0</v>
      </c>
      <c r="L554" s="706">
        <f t="shared" si="41"/>
        <v>0</v>
      </c>
      <c r="M554" s="706">
        <f t="shared" si="41"/>
        <v>0</v>
      </c>
      <c r="N554" s="707">
        <f t="shared" si="41"/>
        <v>0</v>
      </c>
      <c r="O554" s="3442">
        <f t="shared" ref="O554:O559" si="42">SUM(E554:N554)</f>
        <v>0</v>
      </c>
      <c r="P554" s="3443"/>
      <c r="Q554" s="1754"/>
      <c r="S554" s="3487"/>
    </row>
    <row r="555" spans="2:19" ht="18" customHeight="1">
      <c r="B555" s="1893"/>
      <c r="C555" s="1152" t="s">
        <v>84</v>
      </c>
      <c r="D555" s="531"/>
      <c r="E555" s="708">
        <f t="shared" ref="E555:N555" si="43">IF((E547-E548-E549)&lt;0,-(E547-E548-E549),0)</f>
        <v>0</v>
      </c>
      <c r="F555" s="709">
        <f t="shared" si="43"/>
        <v>0</v>
      </c>
      <c r="G555" s="709">
        <f t="shared" si="43"/>
        <v>0</v>
      </c>
      <c r="H555" s="709">
        <f t="shared" si="43"/>
        <v>0</v>
      </c>
      <c r="I555" s="709">
        <f t="shared" si="43"/>
        <v>0</v>
      </c>
      <c r="J555" s="709">
        <f t="shared" si="43"/>
        <v>0</v>
      </c>
      <c r="K555" s="709">
        <f t="shared" si="43"/>
        <v>0</v>
      </c>
      <c r="L555" s="709">
        <f t="shared" si="43"/>
        <v>0</v>
      </c>
      <c r="M555" s="709">
        <f t="shared" si="43"/>
        <v>0</v>
      </c>
      <c r="N555" s="710">
        <f t="shared" si="43"/>
        <v>0</v>
      </c>
      <c r="O555" s="3440">
        <f t="shared" si="42"/>
        <v>0</v>
      </c>
      <c r="P555" s="3441"/>
      <c r="Q555" s="1754"/>
      <c r="S555" s="3487"/>
    </row>
    <row r="556" spans="2:19" ht="18" customHeight="1">
      <c r="B556" s="1852" t="str">
        <f>IF(COUNTBLANK(E556:N556)&lt;10,"","u")</f>
        <v>u</v>
      </c>
      <c r="C556" s="3368" t="s">
        <v>85</v>
      </c>
      <c r="D556" s="3369"/>
      <c r="E556" s="576"/>
      <c r="F556" s="577"/>
      <c r="G556" s="577"/>
      <c r="H556" s="577"/>
      <c r="I556" s="577"/>
      <c r="J556" s="577"/>
      <c r="K556" s="577"/>
      <c r="L556" s="577"/>
      <c r="M556" s="577"/>
      <c r="N556" s="578"/>
      <c r="O556" s="3272">
        <f t="shared" si="42"/>
        <v>0</v>
      </c>
      <c r="P556" s="3273"/>
      <c r="Q556" s="1754"/>
      <c r="S556" s="3487"/>
    </row>
    <row r="557" spans="2:19" ht="18" customHeight="1">
      <c r="B557" s="1852" t="str">
        <f>IF(COUNTBLANK(E557:N557)&lt;10,"","u")</f>
        <v>u</v>
      </c>
      <c r="C557" s="3370" t="s">
        <v>86</v>
      </c>
      <c r="D557" s="3371"/>
      <c r="E557" s="576"/>
      <c r="F557" s="577"/>
      <c r="G557" s="577"/>
      <c r="H557" s="577"/>
      <c r="I557" s="577"/>
      <c r="J557" s="577"/>
      <c r="K557" s="577"/>
      <c r="L557" s="577"/>
      <c r="M557" s="577"/>
      <c r="N557" s="578"/>
      <c r="O557" s="3272">
        <f t="shared" si="42"/>
        <v>0</v>
      </c>
      <c r="P557" s="3273"/>
      <c r="Q557" s="1754"/>
      <c r="S557" s="3487"/>
    </row>
    <row r="558" spans="2:19" ht="18" customHeight="1">
      <c r="B558" s="1852"/>
      <c r="C558" s="1152" t="s">
        <v>3469</v>
      </c>
      <c r="D558" s="531"/>
      <c r="E558" s="699">
        <f>E556+E557</f>
        <v>0</v>
      </c>
      <c r="F558" s="700">
        <f t="shared" ref="F558:N558" si="44">F556+F557</f>
        <v>0</v>
      </c>
      <c r="G558" s="700">
        <f t="shared" si="44"/>
        <v>0</v>
      </c>
      <c r="H558" s="700">
        <f t="shared" si="44"/>
        <v>0</v>
      </c>
      <c r="I558" s="700">
        <f t="shared" si="44"/>
        <v>0</v>
      </c>
      <c r="J558" s="700">
        <f t="shared" si="44"/>
        <v>0</v>
      </c>
      <c r="K558" s="700">
        <f t="shared" si="44"/>
        <v>0</v>
      </c>
      <c r="L558" s="700">
        <f t="shared" si="44"/>
        <v>0</v>
      </c>
      <c r="M558" s="700">
        <f t="shared" si="44"/>
        <v>0</v>
      </c>
      <c r="N558" s="701">
        <f t="shared" si="44"/>
        <v>0</v>
      </c>
      <c r="O558" s="3421">
        <f t="shared" si="42"/>
        <v>0</v>
      </c>
      <c r="P558" s="3422"/>
      <c r="Q558" s="1754"/>
      <c r="S558" s="3487"/>
    </row>
    <row r="559" spans="2:19" ht="18" customHeight="1" thickBot="1">
      <c r="B559" s="1796"/>
      <c r="C559" s="3426" t="s">
        <v>83</v>
      </c>
      <c r="D559" s="3427"/>
      <c r="E559" s="1158">
        <f>E554-E555-E556-E557</f>
        <v>0</v>
      </c>
      <c r="F559" s="1159">
        <f t="shared" ref="F559:N559" si="45">F554-F555-F556-F557</f>
        <v>0</v>
      </c>
      <c r="G559" s="1159">
        <f t="shared" si="45"/>
        <v>0</v>
      </c>
      <c r="H559" s="1159">
        <f t="shared" si="45"/>
        <v>0</v>
      </c>
      <c r="I559" s="1159">
        <f t="shared" si="45"/>
        <v>0</v>
      </c>
      <c r="J559" s="1159">
        <f t="shared" si="45"/>
        <v>0</v>
      </c>
      <c r="K559" s="1159">
        <f t="shared" si="45"/>
        <v>0</v>
      </c>
      <c r="L559" s="1159">
        <f t="shared" si="45"/>
        <v>0</v>
      </c>
      <c r="M559" s="1159">
        <f t="shared" si="45"/>
        <v>0</v>
      </c>
      <c r="N559" s="1159">
        <f t="shared" si="45"/>
        <v>0</v>
      </c>
      <c r="O559" s="3390">
        <f t="shared" si="42"/>
        <v>0</v>
      </c>
      <c r="P559" s="3391"/>
      <c r="Q559" s="1888"/>
      <c r="S559" s="3487"/>
    </row>
    <row r="560" spans="2:19" ht="32.25" customHeight="1" thickBot="1">
      <c r="B560" s="1796"/>
      <c r="C560" s="3209" t="s">
        <v>539</v>
      </c>
      <c r="D560" s="3210"/>
      <c r="E560" s="3387"/>
      <c r="F560" s="3388"/>
      <c r="G560" s="3388"/>
      <c r="H560" s="3388"/>
      <c r="I560" s="3388"/>
      <c r="J560" s="3388"/>
      <c r="K560" s="3388"/>
      <c r="L560" s="3388"/>
      <c r="M560" s="3388"/>
      <c r="N560" s="3388"/>
      <c r="O560" s="3388"/>
      <c r="P560" s="3389"/>
      <c r="Q560" s="1888"/>
      <c r="S560" s="3487"/>
    </row>
    <row r="561" spans="2:19" ht="18" customHeight="1" thickBot="1">
      <c r="B561" s="1796"/>
      <c r="C561" s="1142" t="s">
        <v>657</v>
      </c>
      <c r="D561" s="1153"/>
      <c r="E561" s="1153"/>
      <c r="F561" s="1153"/>
      <c r="G561" s="1153"/>
      <c r="H561" s="1153"/>
      <c r="I561" s="1153"/>
      <c r="J561" s="1153"/>
      <c r="K561" s="1153"/>
      <c r="L561" s="1153"/>
      <c r="M561" s="1153"/>
      <c r="N561" s="1153"/>
      <c r="O561" s="1153"/>
      <c r="P561" s="1154"/>
      <c r="Q561" s="1754"/>
      <c r="S561" s="3487"/>
    </row>
    <row r="562" spans="2:19" ht="18" customHeight="1">
      <c r="B562" s="1796"/>
      <c r="C562" s="3396" t="s">
        <v>79</v>
      </c>
      <c r="D562" s="3397"/>
      <c r="E562" s="684">
        <f t="shared" ref="E562:N562" si="46">E480</f>
        <v>0</v>
      </c>
      <c r="F562" s="685">
        <f t="shared" si="46"/>
        <v>0</v>
      </c>
      <c r="G562" s="685">
        <f t="shared" si="46"/>
        <v>0</v>
      </c>
      <c r="H562" s="685">
        <f t="shared" si="46"/>
        <v>0</v>
      </c>
      <c r="I562" s="685">
        <f t="shared" si="46"/>
        <v>0</v>
      </c>
      <c r="J562" s="685">
        <f t="shared" si="46"/>
        <v>0</v>
      </c>
      <c r="K562" s="685">
        <f t="shared" si="46"/>
        <v>0</v>
      </c>
      <c r="L562" s="685">
        <f t="shared" si="46"/>
        <v>0</v>
      </c>
      <c r="M562" s="685">
        <f t="shared" si="46"/>
        <v>0</v>
      </c>
      <c r="N562" s="686">
        <f t="shared" si="46"/>
        <v>0</v>
      </c>
      <c r="O562" s="3400">
        <f>SUM(E562:N562)</f>
        <v>0</v>
      </c>
      <c r="P562" s="3401"/>
      <c r="Q562" s="1754"/>
      <c r="S562" s="3487"/>
    </row>
    <row r="563" spans="2:19" ht="18" customHeight="1">
      <c r="B563" s="1852" t="str">
        <f>IF(COUNTBLANK(E563:N563)&lt;10,"","u")</f>
        <v>u</v>
      </c>
      <c r="C563" s="3368" t="s">
        <v>85</v>
      </c>
      <c r="D563" s="3369"/>
      <c r="E563" s="576"/>
      <c r="F563" s="577"/>
      <c r="G563" s="577"/>
      <c r="H563" s="577"/>
      <c r="I563" s="577"/>
      <c r="J563" s="577"/>
      <c r="K563" s="577"/>
      <c r="L563" s="577"/>
      <c r="M563" s="577"/>
      <c r="N563" s="578"/>
      <c r="O563" s="3272">
        <f>SUM(E563:N563)</f>
        <v>0</v>
      </c>
      <c r="P563" s="3273"/>
      <c r="Q563" s="1754"/>
      <c r="S563" s="3487"/>
    </row>
    <row r="564" spans="2:19" ht="18" customHeight="1">
      <c r="B564" s="1852" t="str">
        <f>IF(COUNTBLANK(E564:N564)&lt;10,"","u")</f>
        <v>u</v>
      </c>
      <c r="C564" s="3370" t="s">
        <v>86</v>
      </c>
      <c r="D564" s="3371"/>
      <c r="E564" s="576"/>
      <c r="F564" s="577"/>
      <c r="G564" s="577"/>
      <c r="H564" s="577"/>
      <c r="I564" s="577"/>
      <c r="J564" s="577"/>
      <c r="K564" s="577"/>
      <c r="L564" s="577"/>
      <c r="M564" s="577"/>
      <c r="N564" s="578"/>
      <c r="O564" s="3404">
        <f>SUM(E564:N564)</f>
        <v>0</v>
      </c>
      <c r="P564" s="3405"/>
      <c r="Q564" s="1754"/>
      <c r="S564" s="3487"/>
    </row>
    <row r="565" spans="2:19" ht="18" customHeight="1">
      <c r="B565" s="1852"/>
      <c r="C565" s="1152" t="s">
        <v>3469</v>
      </c>
      <c r="D565" s="531"/>
      <c r="E565" s="699">
        <f>E563+E564</f>
        <v>0</v>
      </c>
      <c r="F565" s="700">
        <f t="shared" ref="F565:N565" si="47">F563+F564</f>
        <v>0</v>
      </c>
      <c r="G565" s="700">
        <f t="shared" si="47"/>
        <v>0</v>
      </c>
      <c r="H565" s="700">
        <f t="shared" si="47"/>
        <v>0</v>
      </c>
      <c r="I565" s="700">
        <f t="shared" si="47"/>
        <v>0</v>
      </c>
      <c r="J565" s="700">
        <f t="shared" si="47"/>
        <v>0</v>
      </c>
      <c r="K565" s="700">
        <f t="shared" si="47"/>
        <v>0</v>
      </c>
      <c r="L565" s="700">
        <f t="shared" si="47"/>
        <v>0</v>
      </c>
      <c r="M565" s="700">
        <f t="shared" si="47"/>
        <v>0</v>
      </c>
      <c r="N565" s="701">
        <f t="shared" si="47"/>
        <v>0</v>
      </c>
      <c r="O565" s="3421">
        <f>SUM(E565:N565)</f>
        <v>0</v>
      </c>
      <c r="P565" s="3422"/>
      <c r="Q565" s="1754"/>
      <c r="S565" s="3487"/>
    </row>
    <row r="566" spans="2:19" ht="18" customHeight="1" thickBot="1">
      <c r="B566" s="1796"/>
      <c r="C566" s="3426" t="s">
        <v>83</v>
      </c>
      <c r="D566" s="3427"/>
      <c r="E566" s="1158">
        <f t="shared" ref="E566:N566" si="48">E562-E563-E564</f>
        <v>0</v>
      </c>
      <c r="F566" s="1159">
        <f t="shared" si="48"/>
        <v>0</v>
      </c>
      <c r="G566" s="1159">
        <f t="shared" si="48"/>
        <v>0</v>
      </c>
      <c r="H566" s="1159">
        <f t="shared" si="48"/>
        <v>0</v>
      </c>
      <c r="I566" s="1159">
        <f t="shared" si="48"/>
        <v>0</v>
      </c>
      <c r="J566" s="1159">
        <f t="shared" si="48"/>
        <v>0</v>
      </c>
      <c r="K566" s="1159">
        <f t="shared" si="48"/>
        <v>0</v>
      </c>
      <c r="L566" s="1159">
        <f t="shared" si="48"/>
        <v>0</v>
      </c>
      <c r="M566" s="1159">
        <f t="shared" si="48"/>
        <v>0</v>
      </c>
      <c r="N566" s="1159">
        <f t="shared" si="48"/>
        <v>0</v>
      </c>
      <c r="O566" s="3390">
        <f>SUM(E566:N566)</f>
        <v>0</v>
      </c>
      <c r="P566" s="3391"/>
      <c r="Q566" s="1888"/>
      <c r="S566" s="3487"/>
    </row>
    <row r="567" spans="2:19" ht="32.25" customHeight="1" thickBot="1">
      <c r="B567" s="1796"/>
      <c r="C567" s="3209" t="s">
        <v>539</v>
      </c>
      <c r="D567" s="3210"/>
      <c r="E567" s="3387"/>
      <c r="F567" s="3388"/>
      <c r="G567" s="3388"/>
      <c r="H567" s="3388"/>
      <c r="I567" s="3388"/>
      <c r="J567" s="3388"/>
      <c r="K567" s="3388"/>
      <c r="L567" s="3388"/>
      <c r="M567" s="3388"/>
      <c r="N567" s="3388"/>
      <c r="O567" s="3388"/>
      <c r="P567" s="3389"/>
      <c r="Q567" s="1888"/>
      <c r="S567" s="3487"/>
    </row>
    <row r="568" spans="2:19" ht="16.5" customHeight="1">
      <c r="B568" s="1762"/>
      <c r="C568" s="1859"/>
      <c r="D568" s="1753"/>
      <c r="E568" s="1753"/>
      <c r="F568" s="1753"/>
      <c r="G568" s="1753"/>
      <c r="H568" s="1753"/>
      <c r="I568" s="1753"/>
      <c r="J568" s="1753"/>
      <c r="K568" s="1753"/>
      <c r="L568" s="1753"/>
      <c r="M568" s="1753"/>
      <c r="N568" s="1753"/>
      <c r="O568" s="1753"/>
      <c r="P568" s="1753"/>
      <c r="Q568" s="1754"/>
      <c r="S568" s="3487"/>
    </row>
    <row r="569" spans="2:19" ht="17.25" customHeight="1">
      <c r="B569" s="1762"/>
      <c r="C569" s="1860" t="s">
        <v>567</v>
      </c>
      <c r="D569" s="1753"/>
      <c r="E569" s="1753"/>
      <c r="F569" s="1753"/>
      <c r="G569" s="1753"/>
      <c r="H569" s="1753"/>
      <c r="I569" s="1753"/>
      <c r="J569" s="1753"/>
      <c r="K569" s="1753"/>
      <c r="L569" s="1753"/>
      <c r="M569" s="1753"/>
      <c r="N569" s="1753"/>
      <c r="O569" s="1753"/>
      <c r="P569" s="1753"/>
      <c r="Q569" s="1754"/>
      <c r="S569" s="3487"/>
    </row>
    <row r="570" spans="2:19" ht="18" customHeight="1">
      <c r="B570" s="1762"/>
      <c r="C570" s="1751"/>
      <c r="D570" s="1861"/>
      <c r="E570" s="3706" t="s">
        <v>568</v>
      </c>
      <c r="F570" s="3706"/>
      <c r="G570" s="3706"/>
      <c r="H570" s="3707"/>
      <c r="I570" s="353" t="str">
        <f>IF((OR(ISBLANK(F634),ISBLANK(F635),ISBLANK(F636),ISBLANK(K634),ISBLANK(K635),ISBLANK(K636))=FALSE),"Complété","À compléter")</f>
        <v>À compléter</v>
      </c>
      <c r="J570" s="3708" t="s">
        <v>3454</v>
      </c>
      <c r="K570" s="3708"/>
      <c r="L570" s="3708"/>
      <c r="M570" s="3708"/>
      <c r="N570" s="3708"/>
      <c r="O570" s="3708"/>
      <c r="P570" s="3708"/>
      <c r="Q570" s="1754"/>
      <c r="S570" s="3487"/>
    </row>
    <row r="571" spans="2:19" ht="6.75" customHeight="1">
      <c r="B571" s="1762"/>
      <c r="C571" s="1753"/>
      <c r="D571" s="1861"/>
      <c r="E571" s="1861"/>
      <c r="F571" s="1861"/>
      <c r="G571" s="1861"/>
      <c r="H571" s="1861"/>
      <c r="I571" s="1753"/>
      <c r="J571" s="1863"/>
      <c r="K571" s="1863"/>
      <c r="L571" s="1863"/>
      <c r="M571" s="1863"/>
      <c r="N571" s="1863"/>
      <c r="O571" s="1863"/>
      <c r="P571" s="1863"/>
      <c r="Q571" s="1754"/>
      <c r="S571" s="3487"/>
    </row>
    <row r="572" spans="2:19" ht="18" customHeight="1">
      <c r="B572" s="1762"/>
      <c r="C572" s="1753"/>
      <c r="D572" s="3706" t="s">
        <v>569</v>
      </c>
      <c r="E572" s="3706"/>
      <c r="F572" s="3706"/>
      <c r="G572" s="3706"/>
      <c r="H572" s="3707"/>
      <c r="I572" s="353" t="str">
        <f>IF((OR(ISBLANK(F693),ISBLANK(F694),ISBLANK(F695),ISBLANK(K693),ISBLANK(K694),ISBLANK(K695))=FALSE),"Complété","À compléter")</f>
        <v>À compléter</v>
      </c>
      <c r="J572" s="3708" t="s">
        <v>3455</v>
      </c>
      <c r="K572" s="3708"/>
      <c r="L572" s="3708"/>
      <c r="M572" s="3708"/>
      <c r="N572" s="3708"/>
      <c r="O572" s="3708"/>
      <c r="P572" s="3708"/>
      <c r="Q572" s="1754"/>
      <c r="S572" s="3487"/>
    </row>
    <row r="573" spans="2:19" ht="22.5" customHeight="1">
      <c r="B573" s="1762"/>
      <c r="C573" s="1753"/>
      <c r="D573" s="1862"/>
      <c r="E573" s="1862"/>
      <c r="F573" s="1862"/>
      <c r="G573" s="1862"/>
      <c r="H573" s="1862"/>
      <c r="I573" s="1866"/>
      <c r="J573" s="1864"/>
      <c r="K573" s="1864"/>
      <c r="L573" s="1864"/>
      <c r="M573" s="1864"/>
      <c r="N573" s="1864"/>
      <c r="O573" s="1864"/>
      <c r="P573" s="1864"/>
      <c r="Q573" s="1754"/>
      <c r="S573" s="3487"/>
    </row>
    <row r="574" spans="2:19" ht="18" customHeight="1">
      <c r="B574" s="1762"/>
      <c r="C574" s="1865" t="s">
        <v>570</v>
      </c>
      <c r="D574" s="1862"/>
      <c r="E574" s="1862"/>
      <c r="F574" s="1862"/>
      <c r="G574" s="1751"/>
      <c r="H574" s="3709" t="s">
        <v>670</v>
      </c>
      <c r="I574" s="3709"/>
      <c r="J574" s="1751"/>
      <c r="K574" s="1751"/>
      <c r="L574" s="1864"/>
      <c r="M574" s="1864"/>
      <c r="N574" s="1864"/>
      <c r="O574" s="1864"/>
      <c r="P574" s="1864"/>
      <c r="Q574" s="1754"/>
      <c r="S574" s="3487"/>
    </row>
    <row r="575" spans="2:19" ht="15" thickBot="1">
      <c r="B575" s="1784"/>
      <c r="C575" s="1789"/>
      <c r="D575" s="1789"/>
      <c r="E575" s="1789"/>
      <c r="F575" s="1891"/>
      <c r="G575" s="1891"/>
      <c r="H575" s="1789"/>
      <c r="I575" s="1891"/>
      <c r="J575" s="1891"/>
      <c r="K575" s="1789"/>
      <c r="L575" s="1891"/>
      <c r="M575" s="1789"/>
      <c r="N575" s="1891"/>
      <c r="O575" s="1891"/>
      <c r="P575" s="1891"/>
      <c r="Q575" s="1790"/>
      <c r="S575" s="3488"/>
    </row>
    <row r="576" spans="2:19" ht="15" thickBot="1">
      <c r="S576" s="614"/>
    </row>
    <row r="577" spans="1:19" ht="22.5" customHeight="1" thickBot="1">
      <c r="A577" s="1187"/>
      <c r="B577" s="1718" t="s">
        <v>671</v>
      </c>
      <c r="C577" s="1718"/>
      <c r="D577" s="1718"/>
      <c r="E577" s="1718"/>
      <c r="F577" s="1718"/>
      <c r="G577" s="1718"/>
      <c r="H577" s="1718"/>
      <c r="I577" s="1718"/>
      <c r="J577" s="1718"/>
      <c r="K577" s="1718"/>
      <c r="L577" s="1723"/>
      <c r="M577" s="1723"/>
      <c r="N577" s="1723"/>
      <c r="O577" s="3700" t="s">
        <v>155</v>
      </c>
      <c r="P577" s="3700"/>
      <c r="Q577" s="3700"/>
      <c r="S577" s="615" t="s">
        <v>521</v>
      </c>
    </row>
    <row r="578" spans="1:19" ht="9.75" customHeight="1" thickBot="1">
      <c r="S578" s="616"/>
    </row>
    <row r="579" spans="1:19" ht="8.25" customHeight="1">
      <c r="B579" s="1791"/>
      <c r="C579" s="1792"/>
      <c r="D579" s="1792"/>
      <c r="E579" s="1793"/>
      <c r="F579" s="1794"/>
      <c r="G579" s="1794"/>
      <c r="H579" s="1794"/>
      <c r="I579" s="1794"/>
      <c r="J579" s="1794"/>
      <c r="K579" s="1794"/>
      <c r="L579" s="1794"/>
      <c r="M579" s="1794"/>
      <c r="N579" s="1794"/>
      <c r="O579" s="1794"/>
      <c r="P579" s="1794"/>
      <c r="Q579" s="1795"/>
      <c r="S579" s="3486"/>
    </row>
    <row r="580" spans="1:19" ht="18" customHeight="1">
      <c r="B580" s="1796"/>
      <c r="C580" s="1797" t="s">
        <v>672</v>
      </c>
      <c r="D580" s="1797"/>
      <c r="E580" s="1798"/>
      <c r="F580" s="1799"/>
      <c r="G580" s="1799"/>
      <c r="H580" s="1799"/>
      <c r="I580" s="1799"/>
      <c r="J580" s="1799"/>
      <c r="K580" s="1799"/>
      <c r="L580" s="1799"/>
      <c r="M580" s="1799"/>
      <c r="N580" s="1846" t="s">
        <v>219</v>
      </c>
      <c r="O580" s="353" t="str">
        <f>IF((COUNTBLANK(B602:B638)=ROWS(B602:B638)),"Complété","À compléter")</f>
        <v>À compléter</v>
      </c>
      <c r="P580" s="1799"/>
      <c r="Q580" s="1800"/>
      <c r="S580" s="3487"/>
    </row>
    <row r="581" spans="1:19" ht="9.75" customHeight="1">
      <c r="B581" s="1796"/>
      <c r="C581" s="1798"/>
      <c r="D581" s="1798"/>
      <c r="E581" s="1798"/>
      <c r="F581" s="1799"/>
      <c r="G581" s="1799"/>
      <c r="H581" s="1799"/>
      <c r="I581" s="1799"/>
      <c r="J581" s="1799"/>
      <c r="K581" s="1799"/>
      <c r="L581" s="1799"/>
      <c r="M581" s="1799"/>
      <c r="N581" s="1799"/>
      <c r="O581" s="1799"/>
      <c r="P581" s="1799"/>
      <c r="Q581" s="1800"/>
      <c r="S581" s="3487"/>
    </row>
    <row r="582" spans="1:19" ht="17.25" customHeight="1">
      <c r="B582" s="1847"/>
      <c r="C582" s="3701" t="s">
        <v>531</v>
      </c>
      <c r="D582" s="3701"/>
      <c r="E582" s="3701"/>
      <c r="F582" s="3701"/>
      <c r="G582" s="3701"/>
      <c r="H582" s="3701"/>
      <c r="I582" s="3701"/>
      <c r="J582" s="3701"/>
      <c r="K582" s="3701"/>
      <c r="L582" s="3701"/>
      <c r="M582" s="3701"/>
      <c r="N582" s="1751"/>
      <c r="O582" s="1751"/>
      <c r="P582" s="1751"/>
      <c r="Q582" s="1851"/>
      <c r="S582" s="3487"/>
    </row>
    <row r="583" spans="1:19" ht="15" customHeight="1">
      <c r="B583" s="1847"/>
      <c r="C583" s="1848"/>
      <c r="D583" s="1848"/>
      <c r="E583" s="1848"/>
      <c r="F583" s="1751"/>
      <c r="G583" s="1751"/>
      <c r="H583" s="1751"/>
      <c r="I583" s="1751"/>
      <c r="J583" s="1751"/>
      <c r="K583" s="1751"/>
      <c r="L583" s="1751"/>
      <c r="M583" s="1751"/>
      <c r="N583" s="1751"/>
      <c r="O583" s="1751"/>
      <c r="P583" s="1751"/>
      <c r="Q583" s="1851"/>
      <c r="S583" s="3487"/>
    </row>
    <row r="584" spans="1:19">
      <c r="B584" s="1762"/>
      <c r="C584" s="1849" t="s">
        <v>673</v>
      </c>
      <c r="D584" s="1802"/>
      <c r="E584" s="1753"/>
      <c r="F584" s="1753"/>
      <c r="G584" s="1753"/>
      <c r="H584" s="1753"/>
      <c r="I584" s="1753"/>
      <c r="J584" s="1753"/>
      <c r="K584" s="1753"/>
      <c r="L584" s="1753"/>
      <c r="M584" s="1753"/>
      <c r="N584" s="1753"/>
      <c r="O584" s="1753"/>
      <c r="P584" s="1753"/>
      <c r="Q584" s="1754"/>
      <c r="S584" s="3487"/>
    </row>
    <row r="585" spans="1:19" ht="9" customHeight="1">
      <c r="B585" s="1762"/>
      <c r="C585" s="1802"/>
      <c r="D585" s="1802"/>
      <c r="E585" s="1753"/>
      <c r="F585" s="1753"/>
      <c r="G585" s="1753"/>
      <c r="H585" s="1753"/>
      <c r="I585" s="1753"/>
      <c r="J585" s="1753"/>
      <c r="K585" s="1753"/>
      <c r="L585" s="1753"/>
      <c r="M585" s="1753"/>
      <c r="N585" s="1753"/>
      <c r="O585" s="1753"/>
      <c r="P585" s="1753"/>
      <c r="Q585" s="1754"/>
      <c r="S585" s="3487"/>
    </row>
    <row r="586" spans="1:19" ht="9" customHeight="1">
      <c r="B586" s="1762"/>
      <c r="C586" s="258"/>
      <c r="D586" s="259"/>
      <c r="E586" s="260"/>
      <c r="F586" s="260"/>
      <c r="G586" s="260"/>
      <c r="H586" s="260"/>
      <c r="I586" s="260"/>
      <c r="J586" s="260"/>
      <c r="K586" s="260"/>
      <c r="L586" s="260"/>
      <c r="M586" s="260"/>
      <c r="N586" s="260"/>
      <c r="O586" s="260"/>
      <c r="P586" s="261"/>
      <c r="Q586" s="1754"/>
      <c r="S586" s="3487"/>
    </row>
    <row r="587" spans="1:19" ht="16.5" customHeight="1">
      <c r="B587" s="1762"/>
      <c r="C587" s="3383" t="s">
        <v>186</v>
      </c>
      <c r="D587" s="3384"/>
      <c r="E587" s="332" t="s">
        <v>187</v>
      </c>
      <c r="F587" s="333" t="s">
        <v>188</v>
      </c>
      <c r="G587" s="334"/>
      <c r="H587" s="335"/>
      <c r="I587" s="335"/>
      <c r="J587" s="335"/>
      <c r="K587" s="335"/>
      <c r="L587" s="335"/>
      <c r="M587" s="335"/>
      <c r="N587" s="335"/>
      <c r="O587" s="335"/>
      <c r="P587" s="266"/>
      <c r="Q587" s="1754"/>
      <c r="S587" s="3487"/>
    </row>
    <row r="588" spans="1:19" ht="16.5" customHeight="1">
      <c r="B588" s="1762"/>
      <c r="C588" s="3385" t="s">
        <v>189</v>
      </c>
      <c r="D588" s="3386"/>
      <c r="E588" s="199" t="s">
        <v>190</v>
      </c>
      <c r="F588" s="336" t="s">
        <v>191</v>
      </c>
      <c r="G588" s="337"/>
      <c r="H588" s="338"/>
      <c r="I588" s="338"/>
      <c r="J588" s="338"/>
      <c r="K588" s="338"/>
      <c r="L588" s="338"/>
      <c r="M588" s="338"/>
      <c r="N588" s="338"/>
      <c r="O588" s="338"/>
      <c r="P588" s="266"/>
      <c r="Q588" s="1754"/>
      <c r="S588" s="3487"/>
    </row>
    <row r="589" spans="1:19" ht="16.5" customHeight="1">
      <c r="B589" s="1762"/>
      <c r="C589" s="302"/>
      <c r="D589" s="303"/>
      <c r="E589" s="196" t="s">
        <v>192</v>
      </c>
      <c r="F589" s="336" t="s">
        <v>193</v>
      </c>
      <c r="G589" s="337"/>
      <c r="H589" s="338"/>
      <c r="I589" s="338"/>
      <c r="J589" s="338"/>
      <c r="K589" s="338"/>
      <c r="L589" s="338"/>
      <c r="M589" s="338"/>
      <c r="N589" s="338"/>
      <c r="O589" s="338"/>
      <c r="P589" s="266"/>
      <c r="Q589" s="1754"/>
      <c r="S589" s="3487"/>
    </row>
    <row r="590" spans="1:19" ht="16.5" customHeight="1">
      <c r="B590" s="1762"/>
      <c r="C590" s="302"/>
      <c r="D590" s="303"/>
      <c r="E590" s="192" t="s">
        <v>194</v>
      </c>
      <c r="F590" s="336" t="s">
        <v>195</v>
      </c>
      <c r="G590" s="337"/>
      <c r="H590" s="338"/>
      <c r="I590" s="338"/>
      <c r="J590" s="338"/>
      <c r="K590" s="338"/>
      <c r="L590" s="338"/>
      <c r="M590" s="338"/>
      <c r="N590" s="338"/>
      <c r="O590" s="338"/>
      <c r="P590" s="266"/>
      <c r="Q590" s="1754"/>
      <c r="S590" s="3487"/>
    </row>
    <row r="591" spans="1:19" ht="16.5" customHeight="1">
      <c r="B591" s="1762"/>
      <c r="C591" s="302"/>
      <c r="D591" s="303"/>
      <c r="E591" s="189" t="s">
        <v>196</v>
      </c>
      <c r="F591" s="336" t="s">
        <v>197</v>
      </c>
      <c r="G591" s="337"/>
      <c r="H591" s="338"/>
      <c r="I591" s="338"/>
      <c r="J591" s="338"/>
      <c r="K591" s="338"/>
      <c r="L591" s="338"/>
      <c r="M591" s="338"/>
      <c r="N591" s="338"/>
      <c r="O591" s="338"/>
      <c r="P591" s="266"/>
      <c r="Q591" s="1754"/>
      <c r="S591" s="3487"/>
    </row>
    <row r="592" spans="1:19" ht="12" customHeight="1">
      <c r="B592" s="1762"/>
      <c r="C592" s="304"/>
      <c r="D592" s="305"/>
      <c r="E592" s="271"/>
      <c r="F592" s="339"/>
      <c r="G592" s="340"/>
      <c r="H592" s="271"/>
      <c r="I592" s="306"/>
      <c r="J592" s="306"/>
      <c r="K592" s="306"/>
      <c r="L592" s="306"/>
      <c r="M592" s="306"/>
      <c r="N592" s="306"/>
      <c r="O592" s="306"/>
      <c r="P592" s="307"/>
      <c r="Q592" s="1754"/>
      <c r="S592" s="3487"/>
    </row>
    <row r="593" spans="2:19" ht="18" customHeight="1">
      <c r="B593" s="1762"/>
      <c r="C593" s="1802"/>
      <c r="D593" s="1802"/>
      <c r="E593" s="1753"/>
      <c r="F593" s="1753"/>
      <c r="G593" s="1753"/>
      <c r="H593" s="1753"/>
      <c r="I593" s="1753"/>
      <c r="J593" s="1753"/>
      <c r="K593" s="1753"/>
      <c r="L593" s="1753"/>
      <c r="M593" s="1753"/>
      <c r="N593" s="1753"/>
      <c r="O593" s="1753"/>
      <c r="P593" s="1753"/>
      <c r="Q593" s="1754"/>
      <c r="S593" s="3487"/>
    </row>
    <row r="594" spans="2:19" ht="16.5" customHeight="1">
      <c r="B594" s="1762"/>
      <c r="C594" s="1849" t="s">
        <v>3470</v>
      </c>
      <c r="D594" s="1802"/>
      <c r="E594" s="1753"/>
      <c r="F594" s="1753"/>
      <c r="G594" s="1753"/>
      <c r="H594" s="1753"/>
      <c r="I594" s="1753"/>
      <c r="J594" s="1753"/>
      <c r="K594" s="1753"/>
      <c r="L594" s="1753"/>
      <c r="M594" s="1753"/>
      <c r="N594" s="1753"/>
      <c r="O594" s="1753"/>
      <c r="P594" s="1753"/>
      <c r="Q594" s="1754"/>
      <c r="S594" s="3487"/>
    </row>
    <row r="595" spans="2:19" ht="4.5" customHeight="1">
      <c r="B595" s="1762"/>
      <c r="C595" s="1849"/>
      <c r="D595" s="1802"/>
      <c r="E595" s="1753"/>
      <c r="F595" s="1753"/>
      <c r="G595" s="1753"/>
      <c r="H595" s="1753"/>
      <c r="I595" s="1753"/>
      <c r="J595" s="1753"/>
      <c r="K595" s="1753"/>
      <c r="L595" s="1753"/>
      <c r="M595" s="1753"/>
      <c r="N595" s="1753"/>
      <c r="O595" s="1753"/>
      <c r="P595" s="1753"/>
      <c r="Q595" s="1754"/>
      <c r="S595" s="3487"/>
    </row>
    <row r="596" spans="2:19" ht="16.5" customHeight="1">
      <c r="B596" s="1762"/>
      <c r="C596" s="1849" t="s">
        <v>674</v>
      </c>
      <c r="D596" s="1802"/>
      <c r="E596" s="1753"/>
      <c r="F596" s="1753"/>
      <c r="G596" s="1753"/>
      <c r="H596" s="1753"/>
      <c r="I596" s="1753"/>
      <c r="J596" s="1753"/>
      <c r="K596" s="1753"/>
      <c r="L596" s="1751"/>
      <c r="M596" s="1753"/>
      <c r="N596" s="1751"/>
      <c r="O596" s="1753"/>
      <c r="P596" s="1753"/>
      <c r="Q596" s="1754"/>
      <c r="S596" s="3487"/>
    </row>
    <row r="597" spans="2:19" ht="24.75" customHeight="1">
      <c r="B597" s="1762"/>
      <c r="C597" s="1850" t="s">
        <v>675</v>
      </c>
      <c r="D597" s="1802"/>
      <c r="E597" s="1753"/>
      <c r="F597" s="1753"/>
      <c r="G597" s="1753"/>
      <c r="H597" s="1753"/>
      <c r="I597" s="1753"/>
      <c r="J597" s="1753"/>
      <c r="K597" s="1753"/>
      <c r="L597" s="1753"/>
      <c r="M597" s="1753"/>
      <c r="N597" s="1753"/>
      <c r="O597" s="1753"/>
      <c r="P597" s="1753"/>
      <c r="Q597" s="1754"/>
      <c r="S597" s="3487"/>
    </row>
    <row r="598" spans="2:19" ht="24" customHeight="1">
      <c r="B598" s="1762"/>
      <c r="C598" s="1878" t="s">
        <v>676</v>
      </c>
      <c r="D598" s="1802"/>
      <c r="E598" s="1753"/>
      <c r="F598" s="1753"/>
      <c r="G598" s="1753"/>
      <c r="H598" s="1753"/>
      <c r="I598" s="1753"/>
      <c r="J598" s="1753"/>
      <c r="K598" s="1753"/>
      <c r="L598" s="1753"/>
      <c r="M598" s="1753"/>
      <c r="N598" s="1753"/>
      <c r="O598" s="1753"/>
      <c r="P598" s="1753"/>
      <c r="Q598" s="1754"/>
      <c r="S598" s="3487"/>
    </row>
    <row r="599" spans="2:19" ht="18.75" customHeight="1">
      <c r="B599" s="1762"/>
      <c r="C599" s="1802"/>
      <c r="D599" s="1802"/>
      <c r="E599" s="1753"/>
      <c r="F599" s="1753"/>
      <c r="G599" s="1753"/>
      <c r="H599" s="1753"/>
      <c r="I599" s="1753"/>
      <c r="J599" s="1753"/>
      <c r="K599" s="1753"/>
      <c r="L599" s="1753"/>
      <c r="M599" s="1753"/>
      <c r="N599" s="1753"/>
      <c r="O599" s="1753"/>
      <c r="P599" s="1753"/>
      <c r="Q599" s="1754"/>
      <c r="S599" s="3487"/>
    </row>
    <row r="600" spans="2:19" ht="22.5" customHeight="1">
      <c r="B600" s="1762"/>
      <c r="C600" s="1751" t="s">
        <v>552</v>
      </c>
      <c r="D600" s="1751"/>
      <c r="E600" s="1751"/>
      <c r="F600" s="3449" t="s">
        <v>818</v>
      </c>
      <c r="G600" s="3450"/>
      <c r="H600" s="3450"/>
      <c r="I600" s="3450"/>
      <c r="J600" s="3450"/>
      <c r="K600" s="3449" t="s">
        <v>820</v>
      </c>
      <c r="L600" s="3450"/>
      <c r="M600" s="3450"/>
      <c r="N600" s="3450"/>
      <c r="O600" s="3450"/>
      <c r="P600" s="311"/>
      <c r="Q600" s="1754"/>
      <c r="S600" s="3487"/>
    </row>
    <row r="601" spans="2:19" ht="3" customHeight="1">
      <c r="B601" s="1762"/>
      <c r="C601" s="1753"/>
      <c r="D601" s="1753"/>
      <c r="E601" s="1753"/>
      <c r="F601" s="1753"/>
      <c r="G601" s="1753"/>
      <c r="H601" s="1753"/>
      <c r="I601" s="1753"/>
      <c r="J601" s="1753"/>
      <c r="K601" s="1753"/>
      <c r="L601" s="1753"/>
      <c r="M601" s="1753"/>
      <c r="N601" s="1753"/>
      <c r="O601" s="1753"/>
      <c r="P601" s="1753"/>
      <c r="Q601" s="1754"/>
      <c r="S601" s="3487"/>
    </row>
    <row r="602" spans="2:19" ht="23.25" customHeight="1">
      <c r="B602" s="1762"/>
      <c r="C602" s="3376" t="s">
        <v>677</v>
      </c>
      <c r="D602" s="3377"/>
      <c r="E602" s="3378"/>
      <c r="F602" s="3415" t="s">
        <v>678</v>
      </c>
      <c r="G602" s="3416"/>
      <c r="H602" s="3417" t="s">
        <v>679</v>
      </c>
      <c r="I602" s="3417"/>
      <c r="J602" s="3417"/>
      <c r="K602" s="3415" t="s">
        <v>678</v>
      </c>
      <c r="L602" s="3416"/>
      <c r="M602" s="3417" t="s">
        <v>679</v>
      </c>
      <c r="N602" s="3417"/>
      <c r="O602" s="3417"/>
      <c r="P602" s="342"/>
      <c r="Q602" s="1754"/>
      <c r="S602" s="3487"/>
    </row>
    <row r="603" spans="2:19" ht="29.25" customHeight="1">
      <c r="B603" s="1762"/>
      <c r="C603" s="3379"/>
      <c r="D603" s="3380"/>
      <c r="E603" s="3381"/>
      <c r="F603" s="471" t="s">
        <v>680</v>
      </c>
      <c r="G603" s="343" t="s">
        <v>95</v>
      </c>
      <c r="H603" s="463" t="s">
        <v>681</v>
      </c>
      <c r="I603" s="3374" t="s">
        <v>682</v>
      </c>
      <c r="J603" s="3375"/>
      <c r="K603" s="471" t="s">
        <v>680</v>
      </c>
      <c r="L603" s="343" t="s">
        <v>95</v>
      </c>
      <c r="M603" s="463" t="s">
        <v>681</v>
      </c>
      <c r="N603" s="3374" t="s">
        <v>682</v>
      </c>
      <c r="O603" s="3382"/>
      <c r="P603" s="3375"/>
      <c r="Q603" s="1754"/>
      <c r="S603" s="3487"/>
    </row>
    <row r="604" spans="2:19" ht="21.75" customHeight="1">
      <c r="B604" s="1894"/>
      <c r="C604" s="678" t="s">
        <v>683</v>
      </c>
      <c r="D604" s="525"/>
      <c r="E604" s="526" t="s">
        <v>684</v>
      </c>
      <c r="F604" s="527" t="str">
        <f>IF(H604=1,"1- Très faible",IF(H604=2,"2- Faible",IF(H604=3,"3- Moyen",IF(H604=4,"4- Bon",IF(H604=5,"5- Excellent","")))))</f>
        <v/>
      </c>
      <c r="G604" s="13" t="str">
        <f>IF(OR(SUM(G605:G610)=0,H604=0),"",(SUM(G605:G610)/(6-I604)*6))</f>
        <v/>
      </c>
      <c r="H604" s="528">
        <f>IF(I604=6,0,IF(I604=0,ROUNDDOWN(AVERAGE(G605:G610),0),ROUNDDOWN((SUM(G605:G610)/(6-I604)),0)))</f>
        <v>0</v>
      </c>
      <c r="I604" s="715">
        <f>COUNTIF(F605:F610,"Ne s'applique pas")</f>
        <v>0</v>
      </c>
      <c r="J604" s="529"/>
      <c r="K604" s="527" t="str">
        <f>IF(M604=1,"1- Très faible",IF(M604=2,"2- Faible",IF(M604=3,"3- Moyen",IF(M604=4,"4- Bon",IF(M604=5,"5- Excellent","")))))</f>
        <v/>
      </c>
      <c r="L604" s="13" t="str">
        <f>IF(OR(SUM(L605:L610)=0,M604=0),"",(SUM(L605:L610)/(6-N604)*6))</f>
        <v/>
      </c>
      <c r="M604" s="528">
        <f>IF(N604=6,0,IF(N604=0,ROUNDDOWN(AVERAGE(L605:L610),0),ROUNDDOWN((SUM(L605:L610)/(6-N604)),0)))</f>
        <v>0</v>
      </c>
      <c r="N604" s="715">
        <f>COUNTIF(K605:K610,"Ne s'applique pas")</f>
        <v>0</v>
      </c>
      <c r="O604" s="3257"/>
      <c r="P604" s="3258"/>
      <c r="Q604" s="1754"/>
      <c r="S604" s="3487"/>
    </row>
    <row r="605" spans="2:19" ht="18" customHeight="1">
      <c r="B605" s="1852" t="str">
        <f t="shared" ref="B605:B610" si="49">IF(OR(ISBLANK(F605),ISBLANK(K605))=FALSE,"","u")</f>
        <v>u</v>
      </c>
      <c r="C605" s="3451" t="s">
        <v>685</v>
      </c>
      <c r="D605" s="3452"/>
      <c r="E605" s="3453"/>
      <c r="F605" s="675"/>
      <c r="G605" s="524">
        <f t="shared" ref="G605:G610" si="50">IF(F605=$E$587,1,IF(F605=$E$588,2,IF(F605=$E$589,3,IF(F605=$E$590,4,IF(F605=$E$591,5,0)))))</f>
        <v>0</v>
      </c>
      <c r="H605" s="2998"/>
      <c r="I605" s="3423"/>
      <c r="J605" s="3425"/>
      <c r="K605" s="675"/>
      <c r="L605" s="524">
        <f t="shared" ref="L605:L610" si="51">IF(K605=$E$587,1,IF(K605=$E$588,2,IF(K605=$E$589,3,IF(K605=$E$590,4,IF(K605=$E$591,5,0)))))</f>
        <v>0</v>
      </c>
      <c r="M605" s="2998"/>
      <c r="N605" s="3423"/>
      <c r="O605" s="3424"/>
      <c r="P605" s="3425"/>
      <c r="Q605" s="1754"/>
      <c r="R605" s="296"/>
      <c r="S605" s="3487"/>
    </row>
    <row r="606" spans="2:19" ht="18" customHeight="1">
      <c r="B606" s="1852" t="str">
        <f t="shared" si="49"/>
        <v>u</v>
      </c>
      <c r="C606" s="3259" t="s">
        <v>686</v>
      </c>
      <c r="D606" s="3260"/>
      <c r="E606" s="3261"/>
      <c r="F606" s="675"/>
      <c r="G606" s="14">
        <f t="shared" si="50"/>
        <v>0</v>
      </c>
      <c r="H606" s="2997"/>
      <c r="I606" s="3254"/>
      <c r="J606" s="3256"/>
      <c r="K606" s="674"/>
      <c r="L606" s="14">
        <f t="shared" si="51"/>
        <v>0</v>
      </c>
      <c r="M606" s="2997"/>
      <c r="N606" s="3254"/>
      <c r="O606" s="3255"/>
      <c r="P606" s="3256"/>
      <c r="Q606" s="1754"/>
      <c r="S606" s="3487"/>
    </row>
    <row r="607" spans="2:19" ht="18" customHeight="1">
      <c r="B607" s="1852" t="str">
        <f t="shared" si="49"/>
        <v>u</v>
      </c>
      <c r="C607" s="3259" t="s">
        <v>687</v>
      </c>
      <c r="D607" s="3260"/>
      <c r="E607" s="3261"/>
      <c r="F607" s="675"/>
      <c r="G607" s="14">
        <f t="shared" si="50"/>
        <v>0</v>
      </c>
      <c r="H607" s="2997"/>
      <c r="I607" s="3254"/>
      <c r="J607" s="3256"/>
      <c r="K607" s="674"/>
      <c r="L607" s="14">
        <f t="shared" si="51"/>
        <v>0</v>
      </c>
      <c r="M607" s="2997"/>
      <c r="N607" s="3254"/>
      <c r="O607" s="3255"/>
      <c r="P607" s="3256"/>
      <c r="Q607" s="1754"/>
      <c r="S607" s="3487"/>
    </row>
    <row r="608" spans="2:19" ht="18" customHeight="1">
      <c r="B608" s="1852" t="str">
        <f t="shared" si="49"/>
        <v>u</v>
      </c>
      <c r="C608" s="3259" t="s">
        <v>688</v>
      </c>
      <c r="D608" s="3260"/>
      <c r="E608" s="3261"/>
      <c r="F608" s="675"/>
      <c r="G608" s="14">
        <f t="shared" si="50"/>
        <v>0</v>
      </c>
      <c r="H608" s="2997"/>
      <c r="I608" s="3254"/>
      <c r="J608" s="3256"/>
      <c r="K608" s="674"/>
      <c r="L608" s="14">
        <f t="shared" si="51"/>
        <v>0</v>
      </c>
      <c r="M608" s="2997"/>
      <c r="N608" s="3254"/>
      <c r="O608" s="3255"/>
      <c r="P608" s="3256"/>
      <c r="Q608" s="1754"/>
      <c r="S608" s="3487"/>
    </row>
    <row r="609" spans="2:19" ht="18" customHeight="1">
      <c r="B609" s="1852" t="str">
        <f t="shared" si="49"/>
        <v>u</v>
      </c>
      <c r="C609" s="3259" t="s">
        <v>689</v>
      </c>
      <c r="D609" s="3260"/>
      <c r="E609" s="3261"/>
      <c r="F609" s="675"/>
      <c r="G609" s="14">
        <f t="shared" si="50"/>
        <v>0</v>
      </c>
      <c r="H609" s="2997"/>
      <c r="I609" s="3254"/>
      <c r="J609" s="3256"/>
      <c r="K609" s="674"/>
      <c r="L609" s="14">
        <f t="shared" si="51"/>
        <v>0</v>
      </c>
      <c r="M609" s="2997"/>
      <c r="N609" s="3254"/>
      <c r="O609" s="3255"/>
      <c r="P609" s="3256"/>
      <c r="Q609" s="1754"/>
      <c r="S609" s="3487"/>
    </row>
    <row r="610" spans="2:19" ht="18" customHeight="1">
      <c r="B610" s="1852" t="str">
        <f t="shared" si="49"/>
        <v>u</v>
      </c>
      <c r="C610" s="3454" t="s">
        <v>690</v>
      </c>
      <c r="D610" s="3455"/>
      <c r="E610" s="3456"/>
      <c r="F610" s="675"/>
      <c r="G610" s="523">
        <f t="shared" si="50"/>
        <v>0</v>
      </c>
      <c r="H610" s="2999"/>
      <c r="I610" s="3446"/>
      <c r="J610" s="3447"/>
      <c r="K610" s="676"/>
      <c r="L610" s="523">
        <f t="shared" si="51"/>
        <v>0</v>
      </c>
      <c r="M610" s="2999"/>
      <c r="N610" s="3446"/>
      <c r="O610" s="3448"/>
      <c r="P610" s="3447"/>
      <c r="Q610" s="1754"/>
      <c r="S610" s="3487"/>
    </row>
    <row r="611" spans="2:19" ht="35.25" customHeight="1">
      <c r="B611" s="1852"/>
      <c r="C611" s="3248" t="s">
        <v>691</v>
      </c>
      <c r="D611" s="3249"/>
      <c r="E611" s="3250"/>
      <c r="F611" s="3251"/>
      <c r="G611" s="3252"/>
      <c r="H611" s="3252"/>
      <c r="I611" s="3252"/>
      <c r="J611" s="3252"/>
      <c r="K611" s="3251"/>
      <c r="L611" s="3252"/>
      <c r="M611" s="3252"/>
      <c r="N611" s="3252"/>
      <c r="O611" s="3252"/>
      <c r="P611" s="3253"/>
      <c r="Q611" s="1754"/>
      <c r="S611" s="3487"/>
    </row>
    <row r="612" spans="2:19" ht="21.75" customHeight="1">
      <c r="B612" s="1894"/>
      <c r="C612" s="677" t="s">
        <v>692</v>
      </c>
      <c r="D612" s="328"/>
      <c r="E612" s="8" t="s">
        <v>693</v>
      </c>
      <c r="F612" s="12" t="str">
        <f>IF(H612=1,"1- Très faible",IF(H612=2,"2- Faible",IF(H612=3,"3- Moyen",IF(H612=4,"4- Bon",IF(H612=5,"5- Excellent","")))))</f>
        <v/>
      </c>
      <c r="G612" s="521" t="str">
        <f>IF(SUM(G613:G614)=0,"",SUM(G613:G614))</f>
        <v/>
      </c>
      <c r="H612" s="15">
        <f>ROUNDDOWN(AVERAGE(G613:G614),0)</f>
        <v>0</v>
      </c>
      <c r="I612" s="16"/>
      <c r="J612" s="18"/>
      <c r="K612" s="12" t="str">
        <f>IF(M612=1,"1- Très faible",IF(M612=2,"2- Faible",IF(M612=3,"3- Moyen",IF(M612=4,"4- Bon",IF(M612=5,"5- Excellent","")))))</f>
        <v/>
      </c>
      <c r="L612" s="521" t="str">
        <f>IF(SUM(L613:L614)=0,"",SUM(L613:L614))</f>
        <v/>
      </c>
      <c r="M612" s="15">
        <f>ROUNDDOWN(AVERAGE(L613:L614),0)</f>
        <v>0</v>
      </c>
      <c r="N612" s="16"/>
      <c r="O612" s="3444"/>
      <c r="P612" s="3445"/>
      <c r="Q612" s="1754"/>
      <c r="S612" s="3487"/>
    </row>
    <row r="613" spans="2:19" ht="18" customHeight="1">
      <c r="B613" s="1852" t="str">
        <f>IF(OR(ISBLANK(F613),ISBLANK(K613))=FALSE,"","u")</f>
        <v>u</v>
      </c>
      <c r="C613" s="3418" t="s">
        <v>694</v>
      </c>
      <c r="D613" s="3419"/>
      <c r="E613" s="3420"/>
      <c r="F613" s="674"/>
      <c r="G613" s="14">
        <f>IF(F613=$E$587,1,IF(F613=$E$588,2,IF(F613=$E$589,3,IF(F613=$E$590,4,IF(F613=$E$591,5,0)))))</f>
        <v>0</v>
      </c>
      <c r="H613" s="2997"/>
      <c r="I613" s="3254"/>
      <c r="J613" s="3256"/>
      <c r="K613" s="674"/>
      <c r="L613" s="14">
        <f>IF(K613=$E$587,1,IF(K613=$E$588,2,IF(K613=$E$589,3,IF(K613=$E$590,4,IF(K613=$E$591,5,0)))))</f>
        <v>0</v>
      </c>
      <c r="M613" s="2997"/>
      <c r="N613" s="3254"/>
      <c r="O613" s="3255"/>
      <c r="P613" s="3256"/>
      <c r="Q613" s="1754"/>
      <c r="S613" s="3487"/>
    </row>
    <row r="614" spans="2:19" ht="18" customHeight="1">
      <c r="B614" s="1852" t="str">
        <f>IF(OR(ISBLANK(F614),ISBLANK(K614))=FALSE,"","u")</f>
        <v>u</v>
      </c>
      <c r="C614" s="3259" t="s">
        <v>695</v>
      </c>
      <c r="D614" s="3260"/>
      <c r="E614" s="3261"/>
      <c r="F614" s="674"/>
      <c r="G614" s="522">
        <f>IF(F614=$E$587,1,IF(F614=$E$588,2,IF(F614=$E$589,3,IF(F614=$E$590,4,IF(F614=$E$591,5,0)))))</f>
        <v>0</v>
      </c>
      <c r="H614" s="2997"/>
      <c r="I614" s="3254"/>
      <c r="J614" s="3256"/>
      <c r="K614" s="674"/>
      <c r="L614" s="522">
        <f>IF(K614=$E$587,1,IF(K614=$E$588,2,IF(K614=$E$589,3,IF(K614=$E$590,4,IF(K614=$E$591,5,0)))))</f>
        <v>0</v>
      </c>
      <c r="M614" s="2997"/>
      <c r="N614" s="3254"/>
      <c r="O614" s="3255"/>
      <c r="P614" s="3256"/>
      <c r="Q614" s="1754"/>
      <c r="S614" s="3487"/>
    </row>
    <row r="615" spans="2:19" ht="35.25" customHeight="1">
      <c r="B615" s="1852"/>
      <c r="C615" s="3248" t="s">
        <v>691</v>
      </c>
      <c r="D615" s="3249"/>
      <c r="E615" s="3250"/>
      <c r="F615" s="3251"/>
      <c r="G615" s="3252"/>
      <c r="H615" s="3252"/>
      <c r="I615" s="3252"/>
      <c r="J615" s="3252"/>
      <c r="K615" s="3251"/>
      <c r="L615" s="3252"/>
      <c r="M615" s="3252"/>
      <c r="N615" s="3252"/>
      <c r="O615" s="3252"/>
      <c r="P615" s="3253"/>
      <c r="Q615" s="1754"/>
      <c r="S615" s="3487"/>
    </row>
    <row r="616" spans="2:19" ht="21.75" customHeight="1">
      <c r="B616" s="1894"/>
      <c r="C616" s="677" t="s">
        <v>601</v>
      </c>
      <c r="D616" s="328"/>
      <c r="E616" s="8" t="s">
        <v>693</v>
      </c>
      <c r="F616" s="12" t="str">
        <f>IF(H616=1,"1- Très faible",IF(H616=2,"2- Faible",IF(H616=3,"3- Moyen",IF(H616=4,"4- Bon",IF(H616=5,"5- Excellent","")))))</f>
        <v/>
      </c>
      <c r="G616" s="13" t="str">
        <f>IF(SUM(G617:G618)=0,"",SUM(G617:G618))</f>
        <v/>
      </c>
      <c r="H616" s="15">
        <f>ROUNDDOWN(AVERAGE(G617:G618),0)</f>
        <v>0</v>
      </c>
      <c r="I616" s="16"/>
      <c r="J616" s="18"/>
      <c r="K616" s="12" t="str">
        <f>IF(M616=1,"1- Très faible",IF(M616=2,"2- Faible",IF(M616=3,"3- Moyen",IF(M616=4,"4- Bon",IF(M616=5,"5- Excellent","")))))</f>
        <v/>
      </c>
      <c r="L616" s="13" t="str">
        <f>IF(SUM(L617:L618)=0,"",SUM(L617:L618))</f>
        <v/>
      </c>
      <c r="M616" s="15">
        <f>ROUNDDOWN(AVERAGE(L617:L618),0)</f>
        <v>0</v>
      </c>
      <c r="N616" s="16"/>
      <c r="O616" s="3257"/>
      <c r="P616" s="3258"/>
      <c r="Q616" s="1754"/>
      <c r="S616" s="3487"/>
    </row>
    <row r="617" spans="2:19" ht="18" customHeight="1">
      <c r="B617" s="1852" t="str">
        <f>IF(OR(ISBLANK(F617),ISBLANK(K617))=FALSE,"","u")</f>
        <v>u</v>
      </c>
      <c r="C617" s="3410" t="s">
        <v>696</v>
      </c>
      <c r="D617" s="3411"/>
      <c r="E617" s="3412"/>
      <c r="F617" s="674"/>
      <c r="G617" s="14">
        <f>IF(F617=$E$587,1,IF(F617=$E$588,2,IF(F617=$E$589,3,IF(F617=$E$590,4,IF(F617=$E$591,5,0)))))</f>
        <v>0</v>
      </c>
      <c r="H617" s="2997"/>
      <c r="I617" s="3254"/>
      <c r="J617" s="3256"/>
      <c r="K617" s="674"/>
      <c r="L617" s="14">
        <f>IF(K617=$E$587,1,IF(K617=$E$588,2,IF(K617=$E$589,3,IF(K617=$E$590,4,IF(K617=$E$591,5,0)))))</f>
        <v>0</v>
      </c>
      <c r="M617" s="2997"/>
      <c r="N617" s="3254"/>
      <c r="O617" s="3255"/>
      <c r="P617" s="3256"/>
      <c r="Q617" s="1754"/>
      <c r="S617" s="3487"/>
    </row>
    <row r="618" spans="2:19" ht="18" customHeight="1">
      <c r="B618" s="1852" t="str">
        <f>IF(OR(ISBLANK(F618),ISBLANK(K618))=FALSE,"","u")</f>
        <v>u</v>
      </c>
      <c r="C618" s="3259" t="s">
        <v>697</v>
      </c>
      <c r="D618" s="3260"/>
      <c r="E618" s="3261"/>
      <c r="F618" s="674"/>
      <c r="G618" s="522">
        <f>IF(F618=$E$587,1,IF(F618=$E$588,2,IF(F618=$E$589,3,IF(F618=$E$590,4,IF(F618=$E$591,5,0)))))</f>
        <v>0</v>
      </c>
      <c r="H618" s="2997"/>
      <c r="I618" s="3254"/>
      <c r="J618" s="3256"/>
      <c r="K618" s="674"/>
      <c r="L618" s="522">
        <f>IF(K618=$E$587,1,IF(K618=$E$588,2,IF(K618=$E$589,3,IF(K618=$E$590,4,IF(K618=$E$591,5,0)))))</f>
        <v>0</v>
      </c>
      <c r="M618" s="2997"/>
      <c r="N618" s="3254"/>
      <c r="O618" s="3255"/>
      <c r="P618" s="3256"/>
      <c r="Q618" s="1754"/>
      <c r="S618" s="3487"/>
    </row>
    <row r="619" spans="2:19" ht="35.25" customHeight="1">
      <c r="B619" s="1852"/>
      <c r="C619" s="3248" t="s">
        <v>691</v>
      </c>
      <c r="D619" s="3249"/>
      <c r="E619" s="3250"/>
      <c r="F619" s="3251"/>
      <c r="G619" s="3252"/>
      <c r="H619" s="3252"/>
      <c r="I619" s="3252"/>
      <c r="J619" s="3252"/>
      <c r="K619" s="3251"/>
      <c r="L619" s="3252"/>
      <c r="M619" s="3252"/>
      <c r="N619" s="3252"/>
      <c r="O619" s="3252"/>
      <c r="P619" s="3253"/>
      <c r="Q619" s="1754"/>
      <c r="S619" s="3487"/>
    </row>
    <row r="620" spans="2:19" ht="21.75" customHeight="1">
      <c r="B620" s="1894"/>
      <c r="C620" s="677" t="s">
        <v>698</v>
      </c>
      <c r="D620" s="328"/>
      <c r="E620" s="8" t="s">
        <v>693</v>
      </c>
      <c r="F620" s="12" t="str">
        <f>IF(H620=1,"1- Très faible",IF(H620=2,"2- Faible",IF(H620=3,"3- Moyen",IF(H620=4,"4- Bon",IF(H620=5,"5- Excellent","")))))</f>
        <v/>
      </c>
      <c r="G620" s="521" t="str">
        <f>IF(SUM(G621:G622)=0,"",SUM(G621:G622))</f>
        <v/>
      </c>
      <c r="H620" s="15">
        <f>ROUNDDOWN(AVERAGE(G621:G622),0)</f>
        <v>0</v>
      </c>
      <c r="I620" s="16"/>
      <c r="J620" s="18"/>
      <c r="K620" s="12" t="str">
        <f>IF(M620=1,"1- Très faible",IF(M620=2,"2- Faible",IF(M620=3,"3- Moyen",IF(M620=4,"4- Bon",IF(M620=5,"5- Excellent","")))))</f>
        <v/>
      </c>
      <c r="L620" s="521" t="str">
        <f>IF(SUM(L621:L622)=0,"",SUM(L621:L622))</f>
        <v/>
      </c>
      <c r="M620" s="15">
        <f>ROUNDDOWN(AVERAGE(L621:L622),0)</f>
        <v>0</v>
      </c>
      <c r="N620" s="16"/>
      <c r="O620" s="3444"/>
      <c r="P620" s="3445"/>
      <c r="Q620" s="1754"/>
      <c r="S620" s="3487"/>
    </row>
    <row r="621" spans="2:19" ht="18" customHeight="1">
      <c r="B621" s="1852" t="str">
        <f>IF(OR(ISBLANK(F621),ISBLANK(K621))=FALSE,"","u")</f>
        <v>u</v>
      </c>
      <c r="C621" s="3410" t="s">
        <v>699</v>
      </c>
      <c r="D621" s="3411"/>
      <c r="E621" s="3412"/>
      <c r="F621" s="674"/>
      <c r="G621" s="522">
        <f>IF(F621=$E$587,1,IF(F621=$E$588,2,IF(F621=$E$589,3,IF(F621=$E$590,4,IF(F621=$E$591,5,0)))))</f>
        <v>0</v>
      </c>
      <c r="H621" s="2997"/>
      <c r="I621" s="3254"/>
      <c r="J621" s="3256"/>
      <c r="K621" s="674"/>
      <c r="L621" s="522">
        <f>IF(K621=$E$587,1,IF(K621=$E$588,2,IF(K621=$E$589,3,IF(K621=$E$590,4,IF(K621=$E$591,5,0)))))</f>
        <v>0</v>
      </c>
      <c r="M621" s="2997"/>
      <c r="N621" s="3254"/>
      <c r="O621" s="3255"/>
      <c r="P621" s="3256"/>
      <c r="Q621" s="1754"/>
      <c r="S621" s="3487"/>
    </row>
    <row r="622" spans="2:19" ht="18" customHeight="1">
      <c r="B622" s="1852" t="str">
        <f>IF(OR(ISBLANK(F622),ISBLANK(K622))=FALSE,"","u")</f>
        <v>u</v>
      </c>
      <c r="C622" s="3259" t="s">
        <v>700</v>
      </c>
      <c r="D622" s="3260"/>
      <c r="E622" s="3261"/>
      <c r="F622" s="674"/>
      <c r="G622" s="522">
        <f>IF(F622=$E$587,1,IF(F622=$E$588,2,IF(F622=$E$589,3,IF(F622=$E$590,4,IF(F622=$E$591,5,0)))))</f>
        <v>0</v>
      </c>
      <c r="H622" s="2997"/>
      <c r="I622" s="3254"/>
      <c r="J622" s="3256"/>
      <c r="K622" s="674"/>
      <c r="L622" s="522">
        <f>IF(K622=$E$587,1,IF(K622=$E$588,2,IF(K622=$E$589,3,IF(K622=$E$590,4,IF(K622=$E$591,5,0)))))</f>
        <v>0</v>
      </c>
      <c r="M622" s="2997"/>
      <c r="N622" s="3254"/>
      <c r="O622" s="3255"/>
      <c r="P622" s="3256"/>
      <c r="Q622" s="1754"/>
      <c r="S622" s="3487"/>
    </row>
    <row r="623" spans="2:19" ht="35.25" customHeight="1">
      <c r="B623" s="1852"/>
      <c r="C623" s="3248" t="s">
        <v>691</v>
      </c>
      <c r="D623" s="3249"/>
      <c r="E623" s="3250"/>
      <c r="F623" s="3251"/>
      <c r="G623" s="3252"/>
      <c r="H623" s="3252"/>
      <c r="I623" s="3252"/>
      <c r="J623" s="3252"/>
      <c r="K623" s="3251"/>
      <c r="L623" s="3252"/>
      <c r="M623" s="3252"/>
      <c r="N623" s="3252"/>
      <c r="O623" s="3252"/>
      <c r="P623" s="3253"/>
      <c r="Q623" s="1754"/>
      <c r="S623" s="3487"/>
    </row>
    <row r="624" spans="2:19" ht="21.75" customHeight="1">
      <c r="B624" s="1894"/>
      <c r="C624" s="677" t="s">
        <v>701</v>
      </c>
      <c r="D624" s="679"/>
      <c r="E624" s="8" t="s">
        <v>702</v>
      </c>
      <c r="F624" s="12" t="str">
        <f>IF(H624=1,"1- Très faible",IF(H624=2,"2- Faible",IF(H624=3,"3- Moyen",IF(H624=4,"4- Bon",IF(H624=5,"5- Excellent","")))))</f>
        <v/>
      </c>
      <c r="G624" s="13" t="str">
        <f>IF(SUM(G625:G627)=0,"",SUM(G625:G627))</f>
        <v/>
      </c>
      <c r="H624" s="15">
        <f>ROUNDDOWN(AVERAGE(G625:G627),0)</f>
        <v>0</v>
      </c>
      <c r="I624" s="16"/>
      <c r="J624" s="18"/>
      <c r="K624" s="12" t="str">
        <f>IF(M624=1,"1- Très faible",IF(M624=2,"2- Faible",IF(M624=3,"3- Moyen",IF(M624=4,"4- Bon",IF(M624=5,"5- Excellent","")))))</f>
        <v/>
      </c>
      <c r="L624" s="13" t="str">
        <f>IF(SUM(L625:L627)=0,"",SUM(L625:L627))</f>
        <v/>
      </c>
      <c r="M624" s="15">
        <f>ROUNDDOWN(AVERAGE(L625:L627),0)</f>
        <v>0</v>
      </c>
      <c r="N624" s="16"/>
      <c r="O624" s="3257"/>
      <c r="P624" s="3258"/>
      <c r="Q624" s="1754"/>
      <c r="S624" s="3487"/>
    </row>
    <row r="625" spans="2:19" ht="18" customHeight="1">
      <c r="B625" s="1852" t="str">
        <f>IF(OR(ISBLANK(F625),ISBLANK(K625))=FALSE,"","u")</f>
        <v>u</v>
      </c>
      <c r="C625" s="3259" t="s">
        <v>703</v>
      </c>
      <c r="D625" s="3260"/>
      <c r="E625" s="3261"/>
      <c r="F625" s="674"/>
      <c r="G625" s="14">
        <f>IF(F625=$E$587,1,IF(F625=$E$588,2,IF(F625=$E$589,3,IF(F625=$E$590,4,IF(F625=$E$591,5,0)))))</f>
        <v>0</v>
      </c>
      <c r="H625" s="2997"/>
      <c r="I625" s="3254"/>
      <c r="J625" s="3256"/>
      <c r="K625" s="674"/>
      <c r="L625" s="14">
        <f>IF(K625=$E$587,1,IF(K625=$E$588,2,IF(K625=$E$589,3,IF(K625=$E$590,4,IF(K625=$E$591,5,0)))))</f>
        <v>0</v>
      </c>
      <c r="M625" s="2997"/>
      <c r="N625" s="3254"/>
      <c r="O625" s="3255"/>
      <c r="P625" s="3256"/>
      <c r="Q625" s="1754"/>
      <c r="S625" s="3487"/>
    </row>
    <row r="626" spans="2:19" ht="18" customHeight="1">
      <c r="B626" s="1852" t="str">
        <f>IF(OR(ISBLANK(F626),ISBLANK(K626))=FALSE,"","u")</f>
        <v>u</v>
      </c>
      <c r="C626" s="3259" t="s">
        <v>53</v>
      </c>
      <c r="D626" s="3260"/>
      <c r="E626" s="3261"/>
      <c r="F626" s="674"/>
      <c r="G626" s="14">
        <f>IF(F626=$E$587,1,IF(F626=$E$588,2,IF(F626=$E$589,3,IF(F626=$E$590,4,IF(F626=$E$591,5,0)))))</f>
        <v>0</v>
      </c>
      <c r="H626" s="2997"/>
      <c r="I626" s="3254"/>
      <c r="J626" s="3256"/>
      <c r="K626" s="674"/>
      <c r="L626" s="14">
        <f>IF(K626=$E$587,1,IF(K626=$E$588,2,IF(K626=$E$589,3,IF(K626=$E$590,4,IF(K626=$E$591,5,0)))))</f>
        <v>0</v>
      </c>
      <c r="M626" s="2997"/>
      <c r="N626" s="3254"/>
      <c r="O626" s="3255"/>
      <c r="P626" s="3256"/>
      <c r="Q626" s="1754"/>
      <c r="S626" s="3487"/>
    </row>
    <row r="627" spans="2:19" ht="18" customHeight="1">
      <c r="B627" s="1852" t="str">
        <f>IF(OR(ISBLANK(F627),ISBLANK(K627))=FALSE,"","u")</f>
        <v>u</v>
      </c>
      <c r="C627" s="3259" t="s">
        <v>55</v>
      </c>
      <c r="D627" s="3260"/>
      <c r="E627" s="3261"/>
      <c r="F627" s="674"/>
      <c r="G627" s="522">
        <f>IF(F627=$E$587,1,IF(F627=$E$588,2,IF(F627=$E$589,3,IF(F627=$E$590,4,IF(F627=$E$591,5,0)))))</f>
        <v>0</v>
      </c>
      <c r="H627" s="2997"/>
      <c r="I627" s="3254"/>
      <c r="J627" s="3256"/>
      <c r="K627" s="674"/>
      <c r="L627" s="522">
        <f>IF(K627=$E$587,1,IF(K627=$E$588,2,IF(K627=$E$589,3,IF(K627=$E$590,4,IF(K627=$E$591,5,0)))))</f>
        <v>0</v>
      </c>
      <c r="M627" s="2997"/>
      <c r="N627" s="3254"/>
      <c r="O627" s="3255"/>
      <c r="P627" s="3256"/>
      <c r="Q627" s="1754"/>
      <c r="S627" s="3487"/>
    </row>
    <row r="628" spans="2:19" ht="35.25" customHeight="1">
      <c r="B628" s="1852"/>
      <c r="C628" s="3248" t="s">
        <v>691</v>
      </c>
      <c r="D628" s="3249"/>
      <c r="E628" s="3250"/>
      <c r="F628" s="3251"/>
      <c r="G628" s="3252"/>
      <c r="H628" s="3252"/>
      <c r="I628" s="3252"/>
      <c r="J628" s="3252"/>
      <c r="K628" s="3251"/>
      <c r="L628" s="3252"/>
      <c r="M628" s="3252"/>
      <c r="N628" s="3252"/>
      <c r="O628" s="3252"/>
      <c r="P628" s="3253"/>
      <c r="Q628" s="1754"/>
      <c r="S628" s="3487"/>
    </row>
    <row r="629" spans="2:19" ht="21.75" customHeight="1">
      <c r="B629" s="1894"/>
      <c r="C629" s="677" t="s">
        <v>704</v>
      </c>
      <c r="D629" s="679"/>
      <c r="E629" s="8" t="s">
        <v>693</v>
      </c>
      <c r="F629" s="12" t="str">
        <f>IF(H629=1,"1- Très faible",IF(H629=2,"2- Faible",IF(H629=3,"3- Moyen",IF(H629=4,"4- Bon",IF(H629=5,"5- Excellent","")))))</f>
        <v/>
      </c>
      <c r="G629" s="13" t="str">
        <f>IF(SUM(G630:G631)=0,"",SUM(G630:G631))</f>
        <v/>
      </c>
      <c r="H629" s="15">
        <f>ROUNDDOWN(AVERAGE(G630:G631),0)</f>
        <v>0</v>
      </c>
      <c r="I629" s="16"/>
      <c r="J629" s="18"/>
      <c r="K629" s="12" t="str">
        <f>IF(M629=1,"1- Très faible",IF(M629=2,"2- Faible",IF(M629=3,"3- Moyen",IF(M629=4,"4- Bon",IF(M629=5,"5- Excellent","")))))</f>
        <v/>
      </c>
      <c r="L629" s="13" t="str">
        <f>IF(SUM(L630:L631)=0,"",SUM(L630:L631))</f>
        <v/>
      </c>
      <c r="M629" s="15">
        <f>ROUNDDOWN(AVERAGE(L630:L631),0)</f>
        <v>0</v>
      </c>
      <c r="N629" s="16"/>
      <c r="O629" s="3257"/>
      <c r="P629" s="3258"/>
      <c r="Q629" s="1754"/>
      <c r="S629" s="3487"/>
    </row>
    <row r="630" spans="2:19" ht="18" customHeight="1">
      <c r="B630" s="1852" t="str">
        <f>IF(OR(ISBLANK(F630),ISBLANK(K630))=FALSE,"","u")</f>
        <v>u</v>
      </c>
      <c r="C630" s="3259" t="s">
        <v>705</v>
      </c>
      <c r="D630" s="3260"/>
      <c r="E630" s="3261"/>
      <c r="F630" s="674"/>
      <c r="G630" s="14">
        <f>IF(F630=$E$587,1,IF(F630=$E$588,2,IF(F630=$E$589,3,IF(F630=$E$590,4,IF(F630=$E$591,5,0)))))</f>
        <v>0</v>
      </c>
      <c r="H630" s="2997"/>
      <c r="I630" s="3254"/>
      <c r="J630" s="3256"/>
      <c r="K630" s="674"/>
      <c r="L630" s="14">
        <f>IF(K630=$E$587,1,IF(K630=$E$588,2,IF(K630=$E$589,3,IF(K630=$E$590,4,IF(K630=$E$591,5,0)))))</f>
        <v>0</v>
      </c>
      <c r="M630" s="2997"/>
      <c r="N630" s="3254"/>
      <c r="O630" s="3255"/>
      <c r="P630" s="3256"/>
      <c r="Q630" s="1754"/>
      <c r="S630" s="3487"/>
    </row>
    <row r="631" spans="2:19" ht="18" customHeight="1">
      <c r="B631" s="1852" t="str">
        <f>IF(OR(ISBLANK(F631),ISBLANK(K631))=FALSE,"","u")</f>
        <v>u</v>
      </c>
      <c r="C631" s="3259" t="s">
        <v>51</v>
      </c>
      <c r="D631" s="3260"/>
      <c r="E631" s="3261"/>
      <c r="F631" s="674"/>
      <c r="G631" s="14">
        <f>IF(F631=$E$587,1,IF(F631=$E$588,2,IF(F631=$E$589,3,IF(F631=$E$590,4,IF(F631=$E$591,5,0)))))</f>
        <v>0</v>
      </c>
      <c r="H631" s="2997"/>
      <c r="I631" s="3254"/>
      <c r="J631" s="3256"/>
      <c r="K631" s="674"/>
      <c r="L631" s="14">
        <f>IF(K631=$E$587,1,IF(K631=$E$588,2,IF(K631=$E$589,3,IF(K631=$E$590,4,IF(K631=$E$591,5,0)))))</f>
        <v>0</v>
      </c>
      <c r="M631" s="2997"/>
      <c r="N631" s="3254"/>
      <c r="O631" s="3255"/>
      <c r="P631" s="3256"/>
      <c r="Q631" s="1754"/>
      <c r="S631" s="3487"/>
    </row>
    <row r="632" spans="2:19" ht="35.25" customHeight="1">
      <c r="B632" s="1852"/>
      <c r="C632" s="3248" t="s">
        <v>691</v>
      </c>
      <c r="D632" s="3249"/>
      <c r="E632" s="3250"/>
      <c r="F632" s="3251"/>
      <c r="G632" s="3252"/>
      <c r="H632" s="3252"/>
      <c r="I632" s="3252"/>
      <c r="J632" s="3252"/>
      <c r="K632" s="3251"/>
      <c r="L632" s="3252"/>
      <c r="M632" s="3252"/>
      <c r="N632" s="3252"/>
      <c r="O632" s="3252"/>
      <c r="P632" s="3253"/>
      <c r="Q632" s="1754"/>
      <c r="S632" s="3487"/>
    </row>
    <row r="633" spans="2:19" ht="21.75" customHeight="1">
      <c r="B633" s="1894"/>
      <c r="C633" s="678" t="s">
        <v>706</v>
      </c>
      <c r="D633" s="328"/>
      <c r="E633" s="8" t="s">
        <v>702</v>
      </c>
      <c r="F633" s="12" t="str">
        <f>IF(H633=1,"1- Très faible",IF(H633=2,"2- Faible",IF(H633=3,"3- Moyen",IF(H633=4,"4- Bon",IF(H633=5,"5- Excellent","")))))</f>
        <v/>
      </c>
      <c r="G633" s="13" t="str">
        <f>IF(SUM(G634:G636)=0,"",SUM(G634:G636))</f>
        <v/>
      </c>
      <c r="H633" s="15">
        <f>ROUNDDOWN(AVERAGE(G634:G636),0)</f>
        <v>0</v>
      </c>
      <c r="I633" s="16"/>
      <c r="J633" s="18"/>
      <c r="K633" s="12" t="str">
        <f>IF(M633=1,"1- Très faible",IF(M633=2,"2- Faible",IF(M633=3,"3- Moyen",IF(M633=4,"4- Bon",IF(M633=5,"5- Excellent","")))))</f>
        <v/>
      </c>
      <c r="L633" s="13" t="str">
        <f>IF(SUM(L634:L636)=0,"",SUM(L634:L636))</f>
        <v/>
      </c>
      <c r="M633" s="15">
        <f>ROUNDDOWN(AVERAGE(L634:L636),0)</f>
        <v>0</v>
      </c>
      <c r="N633" s="16"/>
      <c r="O633" s="3257"/>
      <c r="P633" s="3258"/>
      <c r="Q633" s="1754"/>
      <c r="S633" s="3487"/>
    </row>
    <row r="634" spans="2:19" ht="18" customHeight="1">
      <c r="B634" s="1852" t="str">
        <f>IF(OR(ISBLANK(F634),ISBLANK(K634))=FALSE,"","u")</f>
        <v>u</v>
      </c>
      <c r="C634" s="3259" t="s">
        <v>50</v>
      </c>
      <c r="D634" s="3260"/>
      <c r="E634" s="3261"/>
      <c r="F634" s="674"/>
      <c r="G634" s="14">
        <f>IF(F634=$E$587,1,IF(F634=$E$588,2,IF(F634=$E$589,3,IF(F634=$E$590,4,IF(F634=$E$591,5,0)))))</f>
        <v>0</v>
      </c>
      <c r="H634" s="2997"/>
      <c r="I634" s="3254"/>
      <c r="J634" s="3256"/>
      <c r="K634" s="674"/>
      <c r="L634" s="14">
        <f>IF(K634=$E$587,1,IF(K634=$E$588,2,IF(K634=$E$589,3,IF(K634=$E$590,4,IF(K634=$E$591,5,0)))))</f>
        <v>0</v>
      </c>
      <c r="M634" s="2997"/>
      <c r="N634" s="3254"/>
      <c r="O634" s="3255"/>
      <c r="P634" s="3256"/>
      <c r="Q634" s="1754"/>
      <c r="S634" s="3487"/>
    </row>
    <row r="635" spans="2:19" ht="18" customHeight="1">
      <c r="B635" s="1852" t="str">
        <f>IF(OR(ISBLANK(F635),ISBLANK(K635))=FALSE,"","u")</f>
        <v>u</v>
      </c>
      <c r="C635" s="3259" t="s">
        <v>52</v>
      </c>
      <c r="D635" s="3260"/>
      <c r="E635" s="3261"/>
      <c r="F635" s="674"/>
      <c r="G635" s="14">
        <f>IF(F635=$E$587,1,IF(F635=$E$588,2,IF(F635=$E$589,3,IF(F635=$E$590,4,IF(F635=$E$591,5,0)))))</f>
        <v>0</v>
      </c>
      <c r="H635" s="2997"/>
      <c r="I635" s="3254"/>
      <c r="J635" s="3256"/>
      <c r="K635" s="674"/>
      <c r="L635" s="14">
        <f>IF(K635=$E$587,1,IF(K635=$E$588,2,IF(K635=$E$589,3,IF(K635=$E$590,4,IF(K635=$E$591,5,0)))))</f>
        <v>0</v>
      </c>
      <c r="M635" s="2997"/>
      <c r="N635" s="3254"/>
      <c r="O635" s="3255"/>
      <c r="P635" s="3256"/>
      <c r="Q635" s="1754"/>
      <c r="S635" s="3487"/>
    </row>
    <row r="636" spans="2:19" ht="18" customHeight="1">
      <c r="B636" s="1852" t="str">
        <f>IF(OR(ISBLANK(F636),ISBLANK(K636))=FALSE,"","u")</f>
        <v>u</v>
      </c>
      <c r="C636" s="3259" t="s">
        <v>54</v>
      </c>
      <c r="D636" s="3260"/>
      <c r="E636" s="3261"/>
      <c r="F636" s="674"/>
      <c r="G636" s="522">
        <f>IF(F636=$E$587,1,IF(F636=$E$588,2,IF(F636=$E$589,3,IF(F636=$E$590,4,IF(F636=$E$591,5,0)))))</f>
        <v>0</v>
      </c>
      <c r="H636" s="2997"/>
      <c r="I636" s="3254"/>
      <c r="J636" s="3256"/>
      <c r="K636" s="674"/>
      <c r="L636" s="522">
        <f>IF(K636=$E$587,1,IF(K636=$E$588,2,IF(K636=$E$589,3,IF(K636=$E$590,4,IF(K636=$E$591,5,0)))))</f>
        <v>0</v>
      </c>
      <c r="M636" s="2997"/>
      <c r="N636" s="3254"/>
      <c r="O636" s="3255"/>
      <c r="P636" s="3256"/>
      <c r="Q636" s="1754"/>
      <c r="S636" s="3487"/>
    </row>
    <row r="637" spans="2:19" ht="35.25" customHeight="1">
      <c r="B637" s="1852"/>
      <c r="C637" s="3248" t="s">
        <v>691</v>
      </c>
      <c r="D637" s="3249"/>
      <c r="E637" s="3250"/>
      <c r="F637" s="3251"/>
      <c r="G637" s="3252"/>
      <c r="H637" s="3252"/>
      <c r="I637" s="3252"/>
      <c r="J637" s="3252"/>
      <c r="K637" s="3251"/>
      <c r="L637" s="3252"/>
      <c r="M637" s="3252"/>
      <c r="N637" s="3252"/>
      <c r="O637" s="3252"/>
      <c r="P637" s="3253"/>
      <c r="Q637" s="1754"/>
      <c r="S637" s="3487"/>
    </row>
    <row r="638" spans="2:19" ht="22.5" customHeight="1">
      <c r="B638" s="1762"/>
      <c r="C638" s="655"/>
      <c r="D638" s="344"/>
      <c r="E638" s="9" t="s">
        <v>707</v>
      </c>
      <c r="F638" s="19" t="str">
        <f>IF(H638=1,"1- Très faible",IF(H638=2,"2- Faible",IF(H638=3,"3- Moyen",IF(H638=4,"4- Bon",IF(H638=5,"5- Excellent","")))))</f>
        <v/>
      </c>
      <c r="G638" s="410" t="str">
        <f>IF(ISERR(G612+G616+G620+G624+G629+G633)=TRUE,"",IF((G604=""),((G612+G616+G620+G624+G629+G633)/70*100),(G604+G612+G616+G620+G624+G629+G633)))</f>
        <v/>
      </c>
      <c r="H638" s="628">
        <f>ROUNDDOWN(AVERAGE(H604,H612,H616,H620,H624,H629,H633),0)</f>
        <v>0</v>
      </c>
      <c r="I638" s="17"/>
      <c r="J638" s="17"/>
      <c r="K638" s="19" t="str">
        <f>IF(M638=1,"1- Très faible",IF(M638=2,"2- Faible",IF(M638=3,"3- Moyen",IF(M638=4,"4- Bon",IF(M638=5,"5- Excellent","")))))</f>
        <v/>
      </c>
      <c r="L638" s="410" t="str">
        <f>IF(ISERR(L612+L616+L620+L624+L629+L633)=TRUE,"",IF((L604=""),((L612+L616+L620+L624+L629+L633)/70*100),(L604+L612+L616+L620+L624+L629+L633)))</f>
        <v/>
      </c>
      <c r="M638" s="628">
        <f>ROUNDDOWN(AVERAGE(M604,M612,M616,M620,M624,M629,M633),0)</f>
        <v>0</v>
      </c>
      <c r="N638" s="17"/>
      <c r="O638" s="3372"/>
      <c r="P638" s="3373"/>
      <c r="Q638" s="1754"/>
      <c r="S638" s="3487"/>
    </row>
    <row r="639" spans="2:19" ht="27.75" customHeight="1">
      <c r="B639" s="1762"/>
      <c r="C639" s="1753"/>
      <c r="D639" s="1862"/>
      <c r="E639" s="1862"/>
      <c r="F639" s="1862"/>
      <c r="G639" s="1862"/>
      <c r="H639" s="1862"/>
      <c r="I639" s="1866"/>
      <c r="J639" s="1864"/>
      <c r="K639" s="1864"/>
      <c r="L639" s="1864"/>
      <c r="M639" s="1864"/>
      <c r="N639" s="1864"/>
      <c r="O639" s="1864"/>
      <c r="P639" s="1864"/>
      <c r="Q639" s="1754"/>
      <c r="S639" s="3487"/>
    </row>
    <row r="640" spans="2:19" ht="18" customHeight="1">
      <c r="B640" s="1762"/>
      <c r="C640" s="1865" t="s">
        <v>570</v>
      </c>
      <c r="D640" s="1862"/>
      <c r="E640" s="1862"/>
      <c r="F640" s="1862"/>
      <c r="G640" s="1751"/>
      <c r="H640" s="3709" t="s">
        <v>708</v>
      </c>
      <c r="I640" s="3709"/>
      <c r="J640" s="1751"/>
      <c r="K640" s="1751"/>
      <c r="L640" s="1864"/>
      <c r="M640" s="1864"/>
      <c r="N640" s="1864"/>
      <c r="O640" s="1864"/>
      <c r="P640" s="1864"/>
      <c r="Q640" s="1754"/>
      <c r="S640" s="3487"/>
    </row>
    <row r="641" spans="1:19" ht="21.75" customHeight="1" thickBot="1">
      <c r="B641" s="1796"/>
      <c r="C641" s="1798"/>
      <c r="D641" s="1798"/>
      <c r="E641" s="1798"/>
      <c r="F641" s="1799"/>
      <c r="G641" s="1799"/>
      <c r="H641" s="1799"/>
      <c r="I641" s="1799"/>
      <c r="J641" s="1799"/>
      <c r="K641" s="1799"/>
      <c r="L641" s="1799"/>
      <c r="M641" s="1799"/>
      <c r="N641" s="1799"/>
      <c r="O641" s="1799"/>
      <c r="P641" s="1799"/>
      <c r="Q641" s="1800"/>
      <c r="S641" s="3488"/>
    </row>
    <row r="642" spans="1:19" ht="14.25" customHeight="1" thickBot="1">
      <c r="B642" s="495"/>
      <c r="C642" s="495"/>
      <c r="D642" s="495"/>
      <c r="E642" s="495"/>
      <c r="F642" s="496"/>
      <c r="G642" s="496"/>
      <c r="H642" s="496"/>
      <c r="I642" s="496"/>
      <c r="J642" s="496"/>
      <c r="K642" s="496"/>
      <c r="L642" s="496"/>
      <c r="M642" s="496"/>
      <c r="N642" s="496"/>
      <c r="O642" s="496"/>
      <c r="P642" s="496"/>
      <c r="Q642" s="496"/>
      <c r="S642" s="614"/>
    </row>
    <row r="643" spans="1:19" ht="22.5" customHeight="1" thickBot="1">
      <c r="A643" s="1187"/>
      <c r="B643" s="1718" t="s">
        <v>709</v>
      </c>
      <c r="C643" s="1718"/>
      <c r="D643" s="1718"/>
      <c r="E643" s="1718"/>
      <c r="F643" s="1718"/>
      <c r="G643" s="1718"/>
      <c r="H643" s="1718"/>
      <c r="I643" s="1718"/>
      <c r="J643" s="1718"/>
      <c r="K643" s="1718"/>
      <c r="L643" s="1723"/>
      <c r="M643" s="1723"/>
      <c r="N643" s="1723"/>
      <c r="O643" s="3700" t="s">
        <v>155</v>
      </c>
      <c r="P643" s="3700"/>
      <c r="Q643" s="3700"/>
      <c r="S643" s="615" t="s">
        <v>521</v>
      </c>
    </row>
    <row r="644" spans="1:19" ht="9.75" customHeight="1" thickBot="1">
      <c r="S644" s="616"/>
    </row>
    <row r="645" spans="1:19" ht="8.25" customHeight="1">
      <c r="B645" s="1791"/>
      <c r="C645" s="1792"/>
      <c r="D645" s="1792"/>
      <c r="E645" s="1793"/>
      <c r="F645" s="1794"/>
      <c r="G645" s="1794"/>
      <c r="H645" s="1794"/>
      <c r="I645" s="1794"/>
      <c r="J645" s="1794"/>
      <c r="K645" s="1794"/>
      <c r="L645" s="1794"/>
      <c r="M645" s="1794"/>
      <c r="N645" s="1794"/>
      <c r="O645" s="1794"/>
      <c r="P645" s="1794"/>
      <c r="Q645" s="1795"/>
      <c r="S645" s="3486"/>
    </row>
    <row r="646" spans="1:19" ht="18" customHeight="1">
      <c r="B646" s="1796"/>
      <c r="C646" s="1797" t="s">
        <v>710</v>
      </c>
      <c r="D646" s="1797"/>
      <c r="E646" s="1798"/>
      <c r="F646" s="1799"/>
      <c r="G646" s="1799"/>
      <c r="H646" s="1799"/>
      <c r="I646" s="1799"/>
      <c r="J646" s="1799"/>
      <c r="K646" s="1799"/>
      <c r="L646" s="1799"/>
      <c r="M646" s="1799"/>
      <c r="N646" s="1846" t="s">
        <v>219</v>
      </c>
      <c r="O646" s="353" t="str">
        <f>IF((COUNTBLANK(B668:B700)=ROWS(B668:B700)),"Complété","À compléter")</f>
        <v>À compléter</v>
      </c>
      <c r="P646" s="1799"/>
      <c r="Q646" s="1800"/>
      <c r="S646" s="3487"/>
    </row>
    <row r="647" spans="1:19" ht="6.75" customHeight="1">
      <c r="B647" s="1796"/>
      <c r="C647" s="1798"/>
      <c r="D647" s="1798"/>
      <c r="E647" s="1798"/>
      <c r="F647" s="1799"/>
      <c r="G647" s="1799"/>
      <c r="H647" s="1799"/>
      <c r="I647" s="1799"/>
      <c r="J647" s="1799"/>
      <c r="K647" s="1799"/>
      <c r="L647" s="1799"/>
      <c r="M647" s="1799"/>
      <c r="N647" s="1799"/>
      <c r="O647" s="1799"/>
      <c r="P647" s="1799"/>
      <c r="Q647" s="1800"/>
      <c r="S647" s="3487"/>
    </row>
    <row r="648" spans="1:19" ht="17.25" customHeight="1">
      <c r="B648" s="1847"/>
      <c r="C648" s="3701" t="s">
        <v>531</v>
      </c>
      <c r="D648" s="3701"/>
      <c r="E648" s="3701"/>
      <c r="F648" s="3701"/>
      <c r="G648" s="3701"/>
      <c r="H648" s="3701"/>
      <c r="I648" s="3701"/>
      <c r="J648" s="3701"/>
      <c r="K648" s="3701"/>
      <c r="L648" s="3701"/>
      <c r="M648" s="3701"/>
      <c r="N648" s="1751"/>
      <c r="O648" s="1751"/>
      <c r="P648" s="1751"/>
      <c r="Q648" s="1851"/>
      <c r="S648" s="3487"/>
    </row>
    <row r="649" spans="1:19" ht="15" customHeight="1">
      <c r="B649" s="1847"/>
      <c r="C649" s="1848"/>
      <c r="D649" s="1848"/>
      <c r="E649" s="1848"/>
      <c r="F649" s="1751"/>
      <c r="G649" s="1751"/>
      <c r="H649" s="1751"/>
      <c r="I649" s="1751"/>
      <c r="J649" s="1751"/>
      <c r="K649" s="1751"/>
      <c r="L649" s="1751"/>
      <c r="M649" s="1751"/>
      <c r="N649" s="1751"/>
      <c r="O649" s="1751"/>
      <c r="P649" s="1751"/>
      <c r="Q649" s="1851"/>
      <c r="S649" s="3487"/>
    </row>
    <row r="650" spans="1:19" ht="22.5" customHeight="1">
      <c r="B650" s="1762"/>
      <c r="C650" s="1849" t="s">
        <v>711</v>
      </c>
      <c r="D650" s="1802"/>
      <c r="E650" s="1753"/>
      <c r="F650" s="1753"/>
      <c r="G650" s="1753"/>
      <c r="H650" s="1753"/>
      <c r="I650" s="1753"/>
      <c r="J650" s="1753"/>
      <c r="K650" s="1753"/>
      <c r="L650" s="1753"/>
      <c r="M650" s="1753"/>
      <c r="N650" s="1753"/>
      <c r="O650" s="1753"/>
      <c r="P650" s="1753"/>
      <c r="Q650" s="1754"/>
      <c r="S650" s="3487"/>
    </row>
    <row r="651" spans="1:19" ht="9" customHeight="1">
      <c r="B651" s="1762"/>
      <c r="C651" s="1802"/>
      <c r="D651" s="1802"/>
      <c r="E651" s="1753"/>
      <c r="F651" s="1753"/>
      <c r="G651" s="1753"/>
      <c r="H651" s="1753"/>
      <c r="I651" s="1753"/>
      <c r="J651" s="1753"/>
      <c r="K651" s="1753"/>
      <c r="L651" s="1753"/>
      <c r="M651" s="1753"/>
      <c r="N651" s="1753"/>
      <c r="O651" s="1753"/>
      <c r="P651" s="1753"/>
      <c r="Q651" s="1754"/>
      <c r="S651" s="3487"/>
    </row>
    <row r="652" spans="1:19" ht="9" customHeight="1">
      <c r="B652" s="1762"/>
      <c r="C652" s="258"/>
      <c r="D652" s="259"/>
      <c r="E652" s="260"/>
      <c r="F652" s="260"/>
      <c r="G652" s="260"/>
      <c r="H652" s="260"/>
      <c r="I652" s="260"/>
      <c r="J652" s="260"/>
      <c r="K652" s="260"/>
      <c r="L652" s="260"/>
      <c r="M652" s="260"/>
      <c r="N652" s="260"/>
      <c r="O652" s="260"/>
      <c r="P652" s="261"/>
      <c r="Q652" s="1754"/>
      <c r="S652" s="3487"/>
    </row>
    <row r="653" spans="1:19" ht="16.5" customHeight="1">
      <c r="B653" s="1762"/>
      <c r="C653" s="3383" t="s">
        <v>186</v>
      </c>
      <c r="D653" s="3384"/>
      <c r="E653" s="200" t="s">
        <v>198</v>
      </c>
      <c r="F653" s="345" t="s">
        <v>199</v>
      </c>
      <c r="G653" s="346"/>
      <c r="H653" s="347"/>
      <c r="I653" s="347"/>
      <c r="J653" s="347"/>
      <c r="K653" s="347"/>
      <c r="L653" s="347"/>
      <c r="M653" s="347"/>
      <c r="N653" s="347"/>
      <c r="O653" s="347"/>
      <c r="P653" s="266"/>
      <c r="Q653" s="1754"/>
      <c r="S653" s="3487"/>
    </row>
    <row r="654" spans="1:19" ht="16.5" customHeight="1">
      <c r="B654" s="1762"/>
      <c r="C654" s="3385" t="s">
        <v>200</v>
      </c>
      <c r="D654" s="3386"/>
      <c r="E654" s="197" t="s">
        <v>201</v>
      </c>
      <c r="F654" s="348" t="s">
        <v>202</v>
      </c>
      <c r="G654" s="349"/>
      <c r="H654" s="350"/>
      <c r="I654" s="350"/>
      <c r="J654" s="350"/>
      <c r="K654" s="350"/>
      <c r="L654" s="350"/>
      <c r="M654" s="350"/>
      <c r="N654" s="350"/>
      <c r="O654" s="350"/>
      <c r="P654" s="266"/>
      <c r="Q654" s="1754"/>
      <c r="S654" s="3487"/>
    </row>
    <row r="655" spans="1:19" ht="16.5" customHeight="1">
      <c r="B655" s="1762"/>
      <c r="C655" s="302"/>
      <c r="D655" s="303"/>
      <c r="E655" s="193" t="s">
        <v>203</v>
      </c>
      <c r="F655" s="348" t="s">
        <v>204</v>
      </c>
      <c r="G655" s="349"/>
      <c r="H655" s="350"/>
      <c r="I655" s="350"/>
      <c r="J655" s="350"/>
      <c r="K655" s="350"/>
      <c r="L655" s="350"/>
      <c r="M655" s="350"/>
      <c r="N655" s="350"/>
      <c r="O655" s="350"/>
      <c r="P655" s="266"/>
      <c r="Q655" s="1754"/>
      <c r="S655" s="3487"/>
    </row>
    <row r="656" spans="1:19" ht="16.5" customHeight="1">
      <c r="B656" s="1762"/>
      <c r="C656" s="302"/>
      <c r="D656" s="303"/>
      <c r="E656" s="190" t="s">
        <v>205</v>
      </c>
      <c r="F656" s="348" t="s">
        <v>206</v>
      </c>
      <c r="G656" s="349"/>
      <c r="H656" s="350"/>
      <c r="I656" s="350"/>
      <c r="J656" s="350"/>
      <c r="K656" s="350"/>
      <c r="L656" s="350"/>
      <c r="M656" s="350"/>
      <c r="N656" s="350"/>
      <c r="O656" s="350"/>
      <c r="P656" s="266"/>
      <c r="Q656" s="1754"/>
      <c r="S656" s="3487"/>
    </row>
    <row r="657" spans="2:19" ht="16.5" customHeight="1">
      <c r="B657" s="1762"/>
      <c r="C657" s="302"/>
      <c r="D657" s="303"/>
      <c r="E657" s="188" t="s">
        <v>207</v>
      </c>
      <c r="F657" s="348" t="s">
        <v>208</v>
      </c>
      <c r="G657" s="349"/>
      <c r="H657" s="350"/>
      <c r="I657" s="350"/>
      <c r="J657" s="350"/>
      <c r="K657" s="350"/>
      <c r="L657" s="350"/>
      <c r="M657" s="350"/>
      <c r="N657" s="350"/>
      <c r="O657" s="350"/>
      <c r="P657" s="266"/>
      <c r="Q657" s="1754"/>
      <c r="S657" s="3487"/>
    </row>
    <row r="658" spans="2:19" ht="9.75" customHeight="1">
      <c r="B658" s="1762"/>
      <c r="C658" s="304"/>
      <c r="D658" s="305"/>
      <c r="E658" s="271"/>
      <c r="F658" s="339"/>
      <c r="G658" s="340"/>
      <c r="H658" s="271"/>
      <c r="I658" s="306"/>
      <c r="J658" s="306"/>
      <c r="K658" s="306"/>
      <c r="L658" s="306"/>
      <c r="M658" s="306"/>
      <c r="N658" s="306"/>
      <c r="O658" s="306"/>
      <c r="P658" s="307"/>
      <c r="Q658" s="1754"/>
      <c r="S658" s="3487"/>
    </row>
    <row r="659" spans="2:19" ht="18" customHeight="1">
      <c r="B659" s="1762"/>
      <c r="C659" s="1802"/>
      <c r="D659" s="1802"/>
      <c r="E659" s="1753"/>
      <c r="F659" s="1753"/>
      <c r="G659" s="1753"/>
      <c r="H659" s="1753"/>
      <c r="I659" s="1753"/>
      <c r="J659" s="1753"/>
      <c r="K659" s="1753"/>
      <c r="L659" s="1753"/>
      <c r="M659" s="1753"/>
      <c r="N659" s="1753"/>
      <c r="O659" s="1753"/>
      <c r="P659" s="1753"/>
      <c r="Q659" s="1754"/>
      <c r="S659" s="3487"/>
    </row>
    <row r="660" spans="2:19" ht="16.5" customHeight="1">
      <c r="B660" s="1762"/>
      <c r="C660" s="1849" t="s">
        <v>3471</v>
      </c>
      <c r="D660" s="1802"/>
      <c r="E660" s="1753"/>
      <c r="F660" s="1753"/>
      <c r="G660" s="1753"/>
      <c r="H660" s="1753"/>
      <c r="I660" s="1753"/>
      <c r="J660" s="1753"/>
      <c r="K660" s="1753"/>
      <c r="L660" s="1753"/>
      <c r="M660" s="1753"/>
      <c r="N660" s="1753"/>
      <c r="O660" s="1753"/>
      <c r="P660" s="1753"/>
      <c r="Q660" s="1754"/>
      <c r="S660" s="3487"/>
    </row>
    <row r="661" spans="2:19" ht="4.5" customHeight="1">
      <c r="B661" s="1762"/>
      <c r="C661" s="1849"/>
      <c r="D661" s="1802"/>
      <c r="E661" s="1753"/>
      <c r="F661" s="1753"/>
      <c r="G661" s="1753"/>
      <c r="H661" s="1753"/>
      <c r="I661" s="1753"/>
      <c r="J661" s="1753"/>
      <c r="K661" s="1753"/>
      <c r="L661" s="1753"/>
      <c r="M661" s="1753"/>
      <c r="N661" s="1753"/>
      <c r="O661" s="1753"/>
      <c r="P661" s="1753"/>
      <c r="Q661" s="1754"/>
      <c r="S661" s="3487"/>
    </row>
    <row r="662" spans="2:19" ht="16.5" customHeight="1">
      <c r="B662" s="1762"/>
      <c r="C662" s="1849" t="s">
        <v>674</v>
      </c>
      <c r="D662" s="1802"/>
      <c r="E662" s="1753"/>
      <c r="F662" s="1753"/>
      <c r="G662" s="1753"/>
      <c r="H662" s="1753"/>
      <c r="I662" s="1753"/>
      <c r="J662" s="1753"/>
      <c r="K662" s="1753"/>
      <c r="L662" s="1751"/>
      <c r="M662" s="1753"/>
      <c r="N662" s="1751"/>
      <c r="O662" s="1753"/>
      <c r="P662" s="1753"/>
      <c r="Q662" s="1754"/>
      <c r="S662" s="3487"/>
    </row>
    <row r="663" spans="2:19" ht="19.5" customHeight="1">
      <c r="B663" s="1762"/>
      <c r="C663" s="1850" t="s">
        <v>675</v>
      </c>
      <c r="D663" s="1802"/>
      <c r="E663" s="1753"/>
      <c r="F663" s="1753"/>
      <c r="G663" s="1753"/>
      <c r="H663" s="1753"/>
      <c r="I663" s="1753"/>
      <c r="J663" s="1753"/>
      <c r="K663" s="1753"/>
      <c r="L663" s="1753"/>
      <c r="M663" s="1753"/>
      <c r="N663" s="1753"/>
      <c r="O663" s="1753"/>
      <c r="P663" s="1753"/>
      <c r="Q663" s="1754"/>
      <c r="S663" s="3487"/>
    </row>
    <row r="664" spans="2:19" ht="24" customHeight="1">
      <c r="B664" s="1762"/>
      <c r="C664" s="1878" t="s">
        <v>676</v>
      </c>
      <c r="D664" s="1802"/>
      <c r="E664" s="1753"/>
      <c r="F664" s="1753"/>
      <c r="G664" s="1753"/>
      <c r="H664" s="1753"/>
      <c r="I664" s="1753"/>
      <c r="J664" s="1753"/>
      <c r="K664" s="1753"/>
      <c r="L664" s="1753"/>
      <c r="M664" s="1753"/>
      <c r="N664" s="1753"/>
      <c r="O664" s="1753"/>
      <c r="P664" s="1753"/>
      <c r="Q664" s="1754"/>
      <c r="S664" s="3487"/>
    </row>
    <row r="665" spans="2:19" ht="17.25" customHeight="1">
      <c r="B665" s="1762"/>
      <c r="C665" s="1802"/>
      <c r="D665" s="1802"/>
      <c r="E665" s="1753"/>
      <c r="F665" s="1753"/>
      <c r="G665" s="1753"/>
      <c r="H665" s="1753"/>
      <c r="I665" s="1753"/>
      <c r="J665" s="1753"/>
      <c r="K665" s="1753"/>
      <c r="L665" s="1753"/>
      <c r="M665" s="1753"/>
      <c r="N665" s="1753"/>
      <c r="O665" s="1753"/>
      <c r="P665" s="1753"/>
      <c r="Q665" s="1754"/>
      <c r="S665" s="3487"/>
    </row>
    <row r="666" spans="2:19" ht="22.5" customHeight="1">
      <c r="B666" s="1762"/>
      <c r="C666" s="1751"/>
      <c r="D666" s="1751"/>
      <c r="E666" s="1751"/>
      <c r="F666" s="3449" t="s">
        <v>818</v>
      </c>
      <c r="G666" s="3450"/>
      <c r="H666" s="3450"/>
      <c r="I666" s="3450"/>
      <c r="J666" s="3450"/>
      <c r="K666" s="3449" t="s">
        <v>820</v>
      </c>
      <c r="L666" s="3450"/>
      <c r="M666" s="3450"/>
      <c r="N666" s="3450"/>
      <c r="O666" s="3450"/>
      <c r="P666" s="311"/>
      <c r="Q666" s="1754"/>
      <c r="S666" s="3487"/>
    </row>
    <row r="667" spans="2:19" ht="3" customHeight="1">
      <c r="B667" s="1762"/>
      <c r="C667" s="1753"/>
      <c r="D667" s="1753"/>
      <c r="E667" s="1753"/>
      <c r="F667" s="1753"/>
      <c r="G667" s="1753"/>
      <c r="H667" s="1753"/>
      <c r="I667" s="1753"/>
      <c r="J667" s="1753"/>
      <c r="K667" s="1753"/>
      <c r="L667" s="1753"/>
      <c r="M667" s="1753"/>
      <c r="N667" s="1753"/>
      <c r="O667" s="1753"/>
      <c r="P667" s="1753"/>
      <c r="Q667" s="1754"/>
      <c r="S667" s="3487"/>
    </row>
    <row r="668" spans="2:19" ht="23.25" customHeight="1">
      <c r="B668" s="1762"/>
      <c r="C668" s="3376" t="s">
        <v>677</v>
      </c>
      <c r="D668" s="3377"/>
      <c r="E668" s="3378"/>
      <c r="F668" s="3415" t="s">
        <v>712</v>
      </c>
      <c r="G668" s="3416"/>
      <c r="H668" s="3417" t="s">
        <v>713</v>
      </c>
      <c r="I668" s="3417"/>
      <c r="J668" s="3417"/>
      <c r="K668" s="3415" t="s">
        <v>712</v>
      </c>
      <c r="L668" s="3416"/>
      <c r="M668" s="3417" t="s">
        <v>713</v>
      </c>
      <c r="N668" s="3417"/>
      <c r="O668" s="3417"/>
      <c r="P668" s="342"/>
      <c r="Q668" s="1754"/>
      <c r="S668" s="3487"/>
    </row>
    <row r="669" spans="2:19" ht="29.25" customHeight="1">
      <c r="B669" s="1762"/>
      <c r="C669" s="3379"/>
      <c r="D669" s="3380"/>
      <c r="E669" s="3381"/>
      <c r="F669" s="471" t="s">
        <v>714</v>
      </c>
      <c r="G669" s="343" t="s">
        <v>95</v>
      </c>
      <c r="H669" s="463" t="s">
        <v>681</v>
      </c>
      <c r="I669" s="3374" t="s">
        <v>682</v>
      </c>
      <c r="J669" s="3375"/>
      <c r="K669" s="471" t="s">
        <v>714</v>
      </c>
      <c r="L669" s="343" t="s">
        <v>95</v>
      </c>
      <c r="M669" s="463" t="s">
        <v>681</v>
      </c>
      <c r="N669" s="3374" t="s">
        <v>682</v>
      </c>
      <c r="O669" s="3382"/>
      <c r="P669" s="3375"/>
      <c r="Q669" s="1754"/>
      <c r="S669" s="3487"/>
    </row>
    <row r="670" spans="2:19" ht="21.75" customHeight="1">
      <c r="B670" s="1894"/>
      <c r="C670" s="677" t="s">
        <v>683</v>
      </c>
      <c r="D670" s="586"/>
      <c r="E670" s="8" t="s">
        <v>715</v>
      </c>
      <c r="F670" s="12" t="str">
        <f>IF(H670=1,"1- Débutant",IF(H670=2,"2- Élémentaire",IF(H670=3,"3- Intermédiaire",IF(H670=4,"4- Avancé",IF(H670=5,"5- Expert","")))))</f>
        <v/>
      </c>
      <c r="G670" s="13" t="str">
        <f>IF(OR(SUM(G671:G672)=0,H670=0),"",((SUM(G671:G672)/(2-I670)*2)*2))</f>
        <v/>
      </c>
      <c r="H670" s="528">
        <f>IF(I670=2,0,IF(I670=0,ROUNDDOWN(AVERAGE(G671:G672),0),ROUNDDOWN((SUM(G671:G672)/(2-I670)),0)))</f>
        <v>0</v>
      </c>
      <c r="I670" s="715">
        <f>COUNTIF(F671:F672,"Ne s'applique pas")</f>
        <v>0</v>
      </c>
      <c r="J670" s="18"/>
      <c r="K670" s="12" t="str">
        <f>IF(M670=1,"1- Débutant",IF(M670=2,"2- Élémentaire",IF(M670=3,"3- Intermédiaire",IF(M670=4,"4- Avancé",IF(M670=5,"5- Expert","")))))</f>
        <v/>
      </c>
      <c r="L670" s="13" t="str">
        <f>IF(OR(SUM(L671:L672)=0,M670=0),"",((SUM(L671:L672)/(2-N670)*2)*2))</f>
        <v/>
      </c>
      <c r="M670" s="528">
        <f>IF(N670=2,0,IF(N670=0,ROUNDDOWN(AVERAGE(L671:L672),0),ROUNDDOWN((SUM(L671:L672)/(2-N670)),0)))</f>
        <v>0</v>
      </c>
      <c r="N670" s="715">
        <f>COUNTIF(K671:K672,"Ne s'applique pas")</f>
        <v>0</v>
      </c>
      <c r="O670" s="3257"/>
      <c r="P670" s="3258"/>
      <c r="Q670" s="1754"/>
      <c r="S670" s="3487"/>
    </row>
    <row r="671" spans="2:19" ht="18" customHeight="1">
      <c r="B671" s="1852" t="str">
        <f>IF(OR(ISBLANK(F671),ISBLANK(K671))=FALSE,"","u")</f>
        <v>u</v>
      </c>
      <c r="C671" s="3259" t="s">
        <v>716</v>
      </c>
      <c r="D671" s="3260"/>
      <c r="E671" s="3261"/>
      <c r="F671" s="674"/>
      <c r="G671" s="14">
        <f>IF(F671=$E$653,1,IF(F671=$E$654,2,IF(F671=$E$655,3,IF(F671=$E$656,4,IF(F671=$E$657,5,0)))))</f>
        <v>0</v>
      </c>
      <c r="H671" s="2997"/>
      <c r="I671" s="3254"/>
      <c r="J671" s="3256"/>
      <c r="K671" s="674"/>
      <c r="L671" s="14">
        <f>IF(K671=$E$653,1,IF(K671=$E$654,2,IF(K671=$E$655,3,IF(K671=$E$656,4,IF(K671=$E$657,5,0)))))</f>
        <v>0</v>
      </c>
      <c r="M671" s="2997"/>
      <c r="N671" s="3254"/>
      <c r="O671" s="3255"/>
      <c r="P671" s="3256"/>
      <c r="Q671" s="1754"/>
      <c r="S671" s="3487"/>
    </row>
    <row r="672" spans="2:19" ht="18" customHeight="1">
      <c r="B672" s="1852" t="str">
        <f>IF(OR(ISBLANK(F672),ISBLANK(K672))=FALSE,"","u")</f>
        <v>u</v>
      </c>
      <c r="C672" s="3259" t="s">
        <v>717</v>
      </c>
      <c r="D672" s="3260"/>
      <c r="E672" s="3261"/>
      <c r="F672" s="674"/>
      <c r="G672" s="522">
        <f>IF(F672=$E$653,1,IF(F672=$E$654,2,IF(F672=$E$655,3,IF(F672=$E$656,4,IF(F672=$E$657,5,0)))))</f>
        <v>0</v>
      </c>
      <c r="H672" s="2997"/>
      <c r="I672" s="3254"/>
      <c r="J672" s="3256"/>
      <c r="K672" s="674"/>
      <c r="L672" s="522">
        <f>IF(K672=$E$653,1,IF(K672=$E$654,2,IF(K672=$E$655,3,IF(K672=$E$656,4,IF(K672=$E$657,5,0)))))</f>
        <v>0</v>
      </c>
      <c r="M672" s="2997"/>
      <c r="N672" s="3254"/>
      <c r="O672" s="3255"/>
      <c r="P672" s="3256"/>
      <c r="Q672" s="1754"/>
      <c r="S672" s="3487"/>
    </row>
    <row r="673" spans="2:19" ht="35.25" customHeight="1">
      <c r="B673" s="1852"/>
      <c r="C673" s="3248" t="s">
        <v>691</v>
      </c>
      <c r="D673" s="3249"/>
      <c r="E673" s="3250"/>
      <c r="F673" s="3251"/>
      <c r="G673" s="3252"/>
      <c r="H673" s="3252"/>
      <c r="I673" s="3252"/>
      <c r="J673" s="3252"/>
      <c r="K673" s="3251"/>
      <c r="L673" s="3252"/>
      <c r="M673" s="3252"/>
      <c r="N673" s="3252"/>
      <c r="O673" s="3252"/>
      <c r="P673" s="3253"/>
      <c r="Q673" s="1754"/>
      <c r="S673" s="3487"/>
    </row>
    <row r="674" spans="2:19" ht="21.75" customHeight="1">
      <c r="B674" s="1894"/>
      <c r="C674" s="677" t="s">
        <v>692</v>
      </c>
      <c r="D674" s="328"/>
      <c r="E674" s="8" t="s">
        <v>715</v>
      </c>
      <c r="F674" s="12" t="str">
        <f>IF(H674=1,"1- Débutant",IF(H674=2,"2- Élémentaire",IF(H674=3,"3- Intermédiaire",IF(H674=4,"4- Avancé",IF(H674=5,"5- Expert","")))))</f>
        <v/>
      </c>
      <c r="G674" s="13" t="str">
        <f>IF(SUM(G675:G676)=0,"",ROUNDDOWN(AVERAGE(G675:G676)/5*20,))</f>
        <v/>
      </c>
      <c r="H674" s="462">
        <f>ROUNDDOWN(AVERAGE(G675:G676),0)</f>
        <v>0</v>
      </c>
      <c r="I674" s="16"/>
      <c r="J674" s="18"/>
      <c r="K674" s="12" t="str">
        <f>IF(M674=1,"1- Débutant",IF(M674=2,"2- Élémentaire",IF(M674=3,"3- Intermédiaire",IF(M674=4,"4- Avancé",IF(M674=5,"5- Expert","")))))</f>
        <v/>
      </c>
      <c r="L674" s="13" t="str">
        <f>IF(SUM(L675:L676)=0,"",ROUNDDOWN(AVERAGE(L675:L676)/5*20,))</f>
        <v/>
      </c>
      <c r="M674" s="462">
        <f>ROUNDDOWN(AVERAGE(L675:L676),0)</f>
        <v>0</v>
      </c>
      <c r="N674" s="16"/>
      <c r="O674" s="3257"/>
      <c r="P674" s="3258"/>
      <c r="Q674" s="1754"/>
      <c r="S674" s="3487"/>
    </row>
    <row r="675" spans="2:19" ht="18" customHeight="1">
      <c r="B675" s="1852" t="str">
        <f>IF(OR(ISBLANK(F675),ISBLANK(K675))=FALSE,"","u")</f>
        <v>u</v>
      </c>
      <c r="C675" s="3259" t="s">
        <v>718</v>
      </c>
      <c r="D675" s="3260"/>
      <c r="E675" s="3261"/>
      <c r="F675" s="674"/>
      <c r="G675" s="14">
        <f>IF(F675=$E$653,1,IF(F675=$E$654,2,IF(F675=$E$655,3,IF(F675=$E$656,4,IF(F675=$E$657,5,0)))))</f>
        <v>0</v>
      </c>
      <c r="H675" s="2997"/>
      <c r="I675" s="3254"/>
      <c r="J675" s="3256"/>
      <c r="K675" s="674"/>
      <c r="L675" s="14">
        <f>IF(K675=$E$653,1,IF(K675=$E$654,2,IF(K675=$E$655,3,IF(K675=$E$656,4,IF(K675=$E$657,5,0)))))</f>
        <v>0</v>
      </c>
      <c r="M675" s="2997"/>
      <c r="N675" s="3254"/>
      <c r="O675" s="3255"/>
      <c r="P675" s="3256"/>
      <c r="Q675" s="1754"/>
      <c r="S675" s="3487"/>
    </row>
    <row r="676" spans="2:19" ht="18" customHeight="1">
      <c r="B676" s="1852" t="str">
        <f>IF(OR(ISBLANK(F676),ISBLANK(K676))=FALSE,"","u")</f>
        <v>u</v>
      </c>
      <c r="C676" s="3259" t="s">
        <v>719</v>
      </c>
      <c r="D676" s="3260"/>
      <c r="E676" s="3261"/>
      <c r="F676" s="674"/>
      <c r="G676" s="14">
        <f>IF(F676=$E$653,1,IF(F676=$E$654,2,IF(F676=$E$655,3,IF(F676=$E$656,4,IF(F676=$E$657,5,0)))))</f>
        <v>0</v>
      </c>
      <c r="H676" s="2997"/>
      <c r="I676" s="3254"/>
      <c r="J676" s="3256"/>
      <c r="K676" s="674"/>
      <c r="L676" s="14">
        <f>IF(K676=$E$653,1,IF(K676=$E$654,2,IF(K676=$E$655,3,IF(K676=$E$656,4,IF(K676=$E$657,5,0)))))</f>
        <v>0</v>
      </c>
      <c r="M676" s="2997"/>
      <c r="N676" s="3254"/>
      <c r="O676" s="3255"/>
      <c r="P676" s="3256"/>
      <c r="Q676" s="1754"/>
      <c r="S676" s="3487"/>
    </row>
    <row r="677" spans="2:19" ht="35.25" customHeight="1">
      <c r="B677" s="1852"/>
      <c r="C677" s="3248" t="s">
        <v>691</v>
      </c>
      <c r="D677" s="3249"/>
      <c r="E677" s="3250"/>
      <c r="F677" s="3251"/>
      <c r="G677" s="3252"/>
      <c r="H677" s="3252"/>
      <c r="I677" s="3252"/>
      <c r="J677" s="3252"/>
      <c r="K677" s="3251"/>
      <c r="L677" s="3252"/>
      <c r="M677" s="3252"/>
      <c r="N677" s="3252"/>
      <c r="O677" s="3252"/>
      <c r="P677" s="3253"/>
      <c r="Q677" s="1754"/>
      <c r="S677" s="3487"/>
    </row>
    <row r="678" spans="2:19" ht="21.75" customHeight="1">
      <c r="B678" s="1894"/>
      <c r="C678" s="677" t="s">
        <v>601</v>
      </c>
      <c r="D678" s="328"/>
      <c r="E678" s="8" t="s">
        <v>693</v>
      </c>
      <c r="F678" s="12" t="str">
        <f>IF(H678=1,"1- Débutant",IF(H678=2,"2- Élémentaire",IF(H678=3,"3- Intermédiaire",IF(H678=4,"4- Avancé",IF(H678=5,"5- Expert","")))))</f>
        <v/>
      </c>
      <c r="G678" s="13" t="str">
        <f>IF(G679=0,"",G679*2)</f>
        <v/>
      </c>
      <c r="H678" s="462">
        <f>ROUNDDOWN(AVERAGE(G679),0)</f>
        <v>0</v>
      </c>
      <c r="I678" s="16"/>
      <c r="J678" s="18"/>
      <c r="K678" s="12" t="str">
        <f>IF(M678=1,"1- Débutant",IF(M678=2,"2- Élémentaire",IF(M678=3,"3- Intermédiaire",IF(M678=4,"4- Avancé",IF(M678=5,"5- Expert","")))))</f>
        <v/>
      </c>
      <c r="L678" s="13" t="str">
        <f>IF(L679=0,"",L679*2)</f>
        <v/>
      </c>
      <c r="M678" s="462">
        <f>ROUNDDOWN(AVERAGE(L679),0)</f>
        <v>0</v>
      </c>
      <c r="N678" s="16"/>
      <c r="O678" s="3257"/>
      <c r="P678" s="3258"/>
      <c r="Q678" s="1754"/>
      <c r="S678" s="3487"/>
    </row>
    <row r="679" spans="2:19" ht="18" customHeight="1">
      <c r="B679" s="1852" t="str">
        <f>IF(OR(ISBLANK(F679),ISBLANK(K679))=FALSE,"","u")</f>
        <v>u</v>
      </c>
      <c r="C679" s="3259" t="s">
        <v>720</v>
      </c>
      <c r="D679" s="3260"/>
      <c r="E679" s="3261"/>
      <c r="F679" s="674"/>
      <c r="G679" s="522">
        <f>IF(F679=$E$653,1,IF(F679=$E$654,2,IF(F679=$E$655,3,IF(F679=$E$656,4,IF(F679=$E$657,5,0)))))</f>
        <v>0</v>
      </c>
      <c r="H679" s="2997"/>
      <c r="I679" s="3254"/>
      <c r="J679" s="3256"/>
      <c r="K679" s="674"/>
      <c r="L679" s="522">
        <f>IF(K679=$E$653,1,IF(K679=$E$654,2,IF(K679=$E$655,3,IF(K679=$E$656,4,IF(K679=$E$657,5,0)))))</f>
        <v>0</v>
      </c>
      <c r="M679" s="2997"/>
      <c r="N679" s="3254"/>
      <c r="O679" s="3255"/>
      <c r="P679" s="3256"/>
      <c r="Q679" s="1754"/>
      <c r="S679" s="3487"/>
    </row>
    <row r="680" spans="2:19" ht="35.25" customHeight="1">
      <c r="B680" s="1852"/>
      <c r="C680" s="3248" t="s">
        <v>691</v>
      </c>
      <c r="D680" s="3249"/>
      <c r="E680" s="3250"/>
      <c r="F680" s="3251"/>
      <c r="G680" s="3252"/>
      <c r="H680" s="3252"/>
      <c r="I680" s="3252"/>
      <c r="J680" s="3252"/>
      <c r="K680" s="3251"/>
      <c r="L680" s="3252"/>
      <c r="M680" s="3252"/>
      <c r="N680" s="3252"/>
      <c r="O680" s="3252"/>
      <c r="P680" s="3253"/>
      <c r="Q680" s="1754"/>
      <c r="S680" s="3487"/>
    </row>
    <row r="681" spans="2:19" ht="21.75" customHeight="1">
      <c r="B681" s="1894"/>
      <c r="C681" s="677" t="s">
        <v>698</v>
      </c>
      <c r="D681" s="328"/>
      <c r="E681" s="8" t="s">
        <v>693</v>
      </c>
      <c r="F681" s="12" t="str">
        <f>IF(H681=1,"1- Débutant",IF(H681=2,"2- Élémentaire",IF(H681=3,"3- Intermédiaire",IF(H681=4,"4- Avancé",IF(H681=5,"5- Expert","")))))</f>
        <v/>
      </c>
      <c r="G681" s="13" t="str">
        <f>IF(G682=0,"",G682*2)</f>
        <v/>
      </c>
      <c r="H681" s="462">
        <f>ROUNDDOWN(AVERAGE(G682),0)</f>
        <v>0</v>
      </c>
      <c r="I681" s="16"/>
      <c r="J681" s="18"/>
      <c r="K681" s="12" t="str">
        <f>IF(M681=1,"1- Débutant",IF(M681=2,"2- Élémentaire",IF(M681=3,"3- Intermédiaire",IF(M681=4,"4- Avancé",IF(M681=5,"5- Expert","")))))</f>
        <v/>
      </c>
      <c r="L681" s="13" t="str">
        <f>IF(L682=0,"",L682*2)</f>
        <v/>
      </c>
      <c r="M681" s="462">
        <f>ROUNDDOWN(AVERAGE(L682),0)</f>
        <v>0</v>
      </c>
      <c r="N681" s="16"/>
      <c r="O681" s="3257"/>
      <c r="P681" s="3258"/>
      <c r="Q681" s="1754"/>
      <c r="S681" s="3487"/>
    </row>
    <row r="682" spans="2:19" ht="18" customHeight="1">
      <c r="B682" s="1852" t="str">
        <f>IF(OR(ISBLANK(F682),ISBLANK(K682))=FALSE,"","u")</f>
        <v>u</v>
      </c>
      <c r="C682" s="3259" t="s">
        <v>721</v>
      </c>
      <c r="D682" s="3260"/>
      <c r="E682" s="3261"/>
      <c r="F682" s="674"/>
      <c r="G682" s="522">
        <f>IF(F682=$E$653,1,IF(F682=$E$654,2,IF(F682=$E$655,3,IF(F682=$E$656,4,IF(F682=$E$657,5,0)))))</f>
        <v>0</v>
      </c>
      <c r="H682" s="2997"/>
      <c r="I682" s="3254"/>
      <c r="J682" s="3256"/>
      <c r="K682" s="674"/>
      <c r="L682" s="522">
        <f>IF(K682=$E$653,1,IF(K682=$E$654,2,IF(K682=$E$655,3,IF(K682=$E$656,4,IF(K682=$E$657,5,0)))))</f>
        <v>0</v>
      </c>
      <c r="M682" s="2997"/>
      <c r="N682" s="3254"/>
      <c r="O682" s="3255"/>
      <c r="P682" s="3256"/>
      <c r="Q682" s="1754"/>
      <c r="S682" s="3487"/>
    </row>
    <row r="683" spans="2:19" ht="35.25" customHeight="1">
      <c r="B683" s="1852"/>
      <c r="C683" s="3248" t="s">
        <v>691</v>
      </c>
      <c r="D683" s="3249"/>
      <c r="E683" s="3250"/>
      <c r="F683" s="3251"/>
      <c r="G683" s="3252"/>
      <c r="H683" s="3252"/>
      <c r="I683" s="3252"/>
      <c r="J683" s="3252"/>
      <c r="K683" s="3251"/>
      <c r="L683" s="3252"/>
      <c r="M683" s="3252"/>
      <c r="N683" s="3252"/>
      <c r="O683" s="3252"/>
      <c r="P683" s="3253"/>
      <c r="Q683" s="1754"/>
      <c r="S683" s="3487"/>
    </row>
    <row r="684" spans="2:19" ht="21.75" customHeight="1">
      <c r="B684" s="1894"/>
      <c r="C684" s="677" t="s">
        <v>701</v>
      </c>
      <c r="D684" s="679"/>
      <c r="E684" s="8" t="s">
        <v>693</v>
      </c>
      <c r="F684" s="12" t="str">
        <f>IF(H684=1,"1- Débutant",IF(H684=2,"2- Élémentaire",IF(H684=3,"3- Intermédiaire",IF(H684=4,"4- Avancé",IF(H684=5,"5- Expert","")))))</f>
        <v/>
      </c>
      <c r="G684" s="13" t="str">
        <f>IF(SUM(G685:G686)=0,"",SUM(G685:G686))</f>
        <v/>
      </c>
      <c r="H684" s="462">
        <f>ROUNDDOWN(AVERAGE(G685:G686),0)</f>
        <v>0</v>
      </c>
      <c r="I684" s="16"/>
      <c r="J684" s="18"/>
      <c r="K684" s="12" t="str">
        <f>IF(M684=1,"1- Débutant",IF(M684=2,"2- Élémentaire",IF(M684=3,"3- Intermédiaire",IF(M684=4,"4- Avancé",IF(M684=5,"5- Expert","")))))</f>
        <v/>
      </c>
      <c r="L684" s="13" t="str">
        <f>IF(SUM(L685:L686)=0,"",SUM(L685:L686))</f>
        <v/>
      </c>
      <c r="M684" s="462">
        <f>ROUNDDOWN(AVERAGE(L685:L686),0)</f>
        <v>0</v>
      </c>
      <c r="N684" s="16"/>
      <c r="O684" s="3257"/>
      <c r="P684" s="3258"/>
      <c r="Q684" s="1754"/>
      <c r="S684" s="3487"/>
    </row>
    <row r="685" spans="2:19" ht="18" customHeight="1">
      <c r="B685" s="1852" t="str">
        <f>IF(OR(ISBLANK(F685),ISBLANK(K685))=FALSE,"","u")</f>
        <v>u</v>
      </c>
      <c r="C685" s="3259" t="s">
        <v>722</v>
      </c>
      <c r="D685" s="3260"/>
      <c r="E685" s="3261"/>
      <c r="F685" s="674"/>
      <c r="G685" s="14">
        <f>IF(F685=$E$653,1,IF(F685=$E$654,2,IF(F685=$E$655,3,IF(F685=$E$656,4,IF(F685=$E$657,5,0)))))</f>
        <v>0</v>
      </c>
      <c r="H685" s="2997"/>
      <c r="I685" s="3254"/>
      <c r="J685" s="3256"/>
      <c r="K685" s="674"/>
      <c r="L685" s="14">
        <f>IF(K685=$E$653,1,IF(K685=$E$654,2,IF(K685=$E$655,3,IF(K685=$E$656,4,IF(K685=$E$657,5,0)))))</f>
        <v>0</v>
      </c>
      <c r="M685" s="2997"/>
      <c r="N685" s="3254"/>
      <c r="O685" s="3255"/>
      <c r="P685" s="3256"/>
      <c r="Q685" s="1754"/>
      <c r="S685" s="3487"/>
    </row>
    <row r="686" spans="2:19" ht="18" customHeight="1">
      <c r="B686" s="1852" t="str">
        <f>IF(OR(ISBLANK(F686),ISBLANK(K686))=FALSE,"","u")</f>
        <v>u</v>
      </c>
      <c r="C686" s="3259" t="s">
        <v>723</v>
      </c>
      <c r="D686" s="3260"/>
      <c r="E686" s="3261"/>
      <c r="F686" s="674"/>
      <c r="G686" s="522">
        <f>IF(F686=$E$653,1,IF(F686=$E$654,2,IF(F686=$E$655,3,IF(F686=$E$656,4,IF(F686=$E$657,5,0)))))</f>
        <v>0</v>
      </c>
      <c r="H686" s="2997"/>
      <c r="I686" s="3254"/>
      <c r="J686" s="3256"/>
      <c r="K686" s="674"/>
      <c r="L686" s="522">
        <f>IF(K686=$E$653,1,IF(K686=$E$654,2,IF(K686=$E$655,3,IF(K686=$E$656,4,IF(K686=$E$657,5,0)))))</f>
        <v>0</v>
      </c>
      <c r="M686" s="2997"/>
      <c r="N686" s="3254"/>
      <c r="O686" s="3255"/>
      <c r="P686" s="3256"/>
      <c r="Q686" s="1754"/>
      <c r="S686" s="3487"/>
    </row>
    <row r="687" spans="2:19" ht="35.25" customHeight="1">
      <c r="B687" s="1852"/>
      <c r="C687" s="3248" t="s">
        <v>691</v>
      </c>
      <c r="D687" s="3249"/>
      <c r="E687" s="3250"/>
      <c r="F687" s="3251"/>
      <c r="G687" s="3252"/>
      <c r="H687" s="3252"/>
      <c r="I687" s="3252"/>
      <c r="J687" s="3252"/>
      <c r="K687" s="3251"/>
      <c r="L687" s="3252"/>
      <c r="M687" s="3252"/>
      <c r="N687" s="3252"/>
      <c r="O687" s="3252"/>
      <c r="P687" s="3253"/>
      <c r="Q687" s="1754"/>
      <c r="S687" s="3487"/>
    </row>
    <row r="688" spans="2:19" ht="21.75" customHeight="1">
      <c r="B688" s="1894"/>
      <c r="C688" s="677" t="s">
        <v>704</v>
      </c>
      <c r="D688" s="679"/>
      <c r="E688" s="8" t="s">
        <v>693</v>
      </c>
      <c r="F688" s="12" t="str">
        <f>IF(H688=1,"1- Débutant",IF(H688=2,"2- Élémentaire",IF(H688=3,"3- Intermédiaire",IF(H688=4,"4- Avancé",IF(H688=5,"5- Expert","")))))</f>
        <v/>
      </c>
      <c r="G688" s="13" t="str">
        <f>IF(SUM(G689:G690)=0,"",SUM(G689:G690))</f>
        <v/>
      </c>
      <c r="H688" s="462">
        <f>ROUNDDOWN(AVERAGE(G689:G690),0)</f>
        <v>0</v>
      </c>
      <c r="I688" s="16"/>
      <c r="J688" s="18"/>
      <c r="K688" s="12" t="str">
        <f>IF(M688=1,"1- Débutant",IF(M688=2,"2- Élémentaire",IF(M688=3,"3- Intermédiaire",IF(M688=4,"4- Avancé",IF(M688=5,"5- Expert","")))))</f>
        <v/>
      </c>
      <c r="L688" s="13" t="str">
        <f>IF(SUM(L689:L690)=0,"",SUM(L689:L690))</f>
        <v/>
      </c>
      <c r="M688" s="462">
        <f>ROUNDDOWN(AVERAGE(L689:L690),0)</f>
        <v>0</v>
      </c>
      <c r="N688" s="16"/>
      <c r="O688" s="3257"/>
      <c r="P688" s="3258"/>
      <c r="Q688" s="1754"/>
      <c r="S688" s="3487"/>
    </row>
    <row r="689" spans="2:19" ht="18" customHeight="1">
      <c r="B689" s="1852" t="str">
        <f>IF(OR(ISBLANK(F689),ISBLANK(K689))=FALSE,"","u")</f>
        <v>u</v>
      </c>
      <c r="C689" s="3259" t="s">
        <v>724</v>
      </c>
      <c r="D689" s="3260"/>
      <c r="E689" s="3261"/>
      <c r="F689" s="674"/>
      <c r="G689" s="14">
        <f>IF(F689=$E$653,1,IF(F689=$E$654,2,IF(F689=$E$655,3,IF(F689=$E$656,4,IF(F689=$E$657,5,0)))))</f>
        <v>0</v>
      </c>
      <c r="H689" s="2997"/>
      <c r="I689" s="3254"/>
      <c r="J689" s="3256"/>
      <c r="K689" s="674"/>
      <c r="L689" s="14">
        <f>IF(K689=$E$653,1,IF(K689=$E$654,2,IF(K689=$E$655,3,IF(K689=$E$656,4,IF(K689=$E$657,5,0)))))</f>
        <v>0</v>
      </c>
      <c r="M689" s="2997"/>
      <c r="N689" s="3254"/>
      <c r="O689" s="3255"/>
      <c r="P689" s="3256"/>
      <c r="Q689" s="1754"/>
      <c r="S689" s="3487"/>
    </row>
    <row r="690" spans="2:19" ht="18" customHeight="1">
      <c r="B690" s="1852" t="str">
        <f>IF(OR(ISBLANK(F690),ISBLANK(K690))=FALSE,"","u")</f>
        <v>u</v>
      </c>
      <c r="C690" s="3259" t="s">
        <v>725</v>
      </c>
      <c r="D690" s="3260"/>
      <c r="E690" s="3261"/>
      <c r="F690" s="674"/>
      <c r="G690" s="522">
        <f>IF(F690=$E$653,1,IF(F690=$E$654,2,IF(F690=$E$655,3,IF(F690=$E$656,4,IF(F690=$E$657,5,0)))))</f>
        <v>0</v>
      </c>
      <c r="H690" s="2997"/>
      <c r="I690" s="3254"/>
      <c r="J690" s="3256"/>
      <c r="K690" s="674"/>
      <c r="L690" s="522">
        <f>IF(K690=$E$653,1,IF(K690=$E$654,2,IF(K690=$E$655,3,IF(K690=$E$656,4,IF(K690=$E$657,5,0)))))</f>
        <v>0</v>
      </c>
      <c r="M690" s="2997"/>
      <c r="N690" s="3254"/>
      <c r="O690" s="3255"/>
      <c r="P690" s="3256"/>
      <c r="Q690" s="1754"/>
      <c r="S690" s="3487"/>
    </row>
    <row r="691" spans="2:19" ht="35.25" customHeight="1">
      <c r="B691" s="1852"/>
      <c r="C691" s="3248" t="s">
        <v>691</v>
      </c>
      <c r="D691" s="3249"/>
      <c r="E691" s="3250"/>
      <c r="F691" s="3251"/>
      <c r="G691" s="3252"/>
      <c r="H691" s="3252"/>
      <c r="I691" s="3252"/>
      <c r="J691" s="3252"/>
      <c r="K691" s="3251"/>
      <c r="L691" s="3252"/>
      <c r="M691" s="3252"/>
      <c r="N691" s="3252"/>
      <c r="O691" s="3252"/>
      <c r="P691" s="3253"/>
      <c r="Q691" s="1754"/>
      <c r="S691" s="3487"/>
    </row>
    <row r="692" spans="2:19" ht="21.75" customHeight="1">
      <c r="B692" s="1894"/>
      <c r="C692" s="678" t="s">
        <v>706</v>
      </c>
      <c r="D692" s="328"/>
      <c r="E692" s="8" t="s">
        <v>702</v>
      </c>
      <c r="F692" s="12" t="str">
        <f>IF(H692=1,"1- Débutant",IF(H692=2,"2- Élémentaire",IF(H692=3,"3- Intermédiaire",IF(H692=4,"4- Avancé",IF(H692=5,"5- Expert","")))))</f>
        <v/>
      </c>
      <c r="G692" s="13" t="str">
        <f>IF(SUM(G693:G695)=0,"",SUM(G693:G695))</f>
        <v/>
      </c>
      <c r="H692" s="462">
        <f>ROUNDDOWN(AVERAGE(G693:G695),0)</f>
        <v>0</v>
      </c>
      <c r="I692" s="16"/>
      <c r="J692" s="18"/>
      <c r="K692" s="12" t="str">
        <f>IF(M692=1,"1- Débutant",IF(M692=2,"2- Élémentaire",IF(M692=3,"3- Intermédiaire",IF(M692=4,"4- Avancé",IF(M692=5,"5- Expert","")))))</f>
        <v/>
      </c>
      <c r="L692" s="13" t="str">
        <f>IF(SUM(L693:L695)=0,"",SUM(L693:L695))</f>
        <v/>
      </c>
      <c r="M692" s="462">
        <f>ROUNDDOWN(AVERAGE(L693:L695),0)</f>
        <v>0</v>
      </c>
      <c r="N692" s="16"/>
      <c r="O692" s="3257"/>
      <c r="P692" s="3258"/>
      <c r="Q692" s="1754"/>
      <c r="S692" s="3487"/>
    </row>
    <row r="693" spans="2:19" ht="18" customHeight="1">
      <c r="B693" s="1852" t="str">
        <f>IF(OR(ISBLANK(F693),ISBLANK(K693))=FALSE,"","u")</f>
        <v>u</v>
      </c>
      <c r="C693" s="3259" t="s">
        <v>726</v>
      </c>
      <c r="D693" s="3260"/>
      <c r="E693" s="3261"/>
      <c r="F693" s="674"/>
      <c r="G693" s="14">
        <f>IF(F693=$E$653,1,IF(F693=$E$654,2,IF(F693=$E$655,3,IF(F693=$E$656,4,IF(F693=$E$657,5,0)))))</f>
        <v>0</v>
      </c>
      <c r="H693" s="2997"/>
      <c r="I693" s="3254"/>
      <c r="J693" s="3256"/>
      <c r="K693" s="674"/>
      <c r="L693" s="14">
        <f>IF(K693=$E$653,1,IF(K693=$E$654,2,IF(K693=$E$655,3,IF(K693=$E$656,4,IF(K693=$E$657,5,0)))))</f>
        <v>0</v>
      </c>
      <c r="M693" s="2997"/>
      <c r="N693" s="3254"/>
      <c r="O693" s="3255"/>
      <c r="P693" s="3256"/>
      <c r="Q693" s="1754"/>
      <c r="S693" s="3487"/>
    </row>
    <row r="694" spans="2:19" ht="17.25" customHeight="1">
      <c r="B694" s="1852" t="str">
        <f>IF(OR(ISBLANK(F694),ISBLANK(K694))=FALSE,"","u")</f>
        <v>u</v>
      </c>
      <c r="C694" s="3259" t="s">
        <v>727</v>
      </c>
      <c r="D694" s="3260"/>
      <c r="E694" s="3261"/>
      <c r="F694" s="674"/>
      <c r="G694" s="14">
        <f>IF(F694=$E$653,1,IF(F694=$E$654,2,IF(F694=$E$655,3,IF(F694=$E$656,4,IF(F694=$E$657,5,0)))))</f>
        <v>0</v>
      </c>
      <c r="H694" s="2997"/>
      <c r="I694" s="3254"/>
      <c r="J694" s="3256"/>
      <c r="K694" s="674"/>
      <c r="L694" s="14">
        <f>IF(K694=$E$653,1,IF(K694=$E$654,2,IF(K694=$E$655,3,IF(K694=$E$656,4,IF(K694=$E$657,5,0)))))</f>
        <v>0</v>
      </c>
      <c r="M694" s="2997"/>
      <c r="N694" s="3254"/>
      <c r="O694" s="3255"/>
      <c r="P694" s="3256"/>
      <c r="Q694" s="1754"/>
      <c r="S694" s="3487"/>
    </row>
    <row r="695" spans="2:19" ht="18" customHeight="1">
      <c r="B695" s="1852" t="str">
        <f>IF(OR(ISBLANK(F695),ISBLANK(K695))=FALSE,"","u")</f>
        <v>u</v>
      </c>
      <c r="C695" s="3259" t="s">
        <v>728</v>
      </c>
      <c r="D695" s="3260"/>
      <c r="E695" s="3261"/>
      <c r="F695" s="674"/>
      <c r="G695" s="522">
        <f>IF(F695=$E$653,1,IF(F695=$E$654,2,IF(F695=$E$655,3,IF(F695=$E$656,4,IF(F695=$E$657,5,0)))))</f>
        <v>0</v>
      </c>
      <c r="H695" s="2997"/>
      <c r="I695" s="3254"/>
      <c r="J695" s="3256"/>
      <c r="K695" s="674"/>
      <c r="L695" s="522">
        <f>IF(K695=$E$653,1,IF(K695=$E$654,2,IF(K695=$E$655,3,IF(K695=$E$656,4,IF(K695=$E$657,5,0)))))</f>
        <v>0</v>
      </c>
      <c r="M695" s="2997"/>
      <c r="N695" s="3254"/>
      <c r="O695" s="3255"/>
      <c r="P695" s="3256"/>
      <c r="Q695" s="1754"/>
      <c r="S695" s="3487"/>
    </row>
    <row r="696" spans="2:19" ht="35.25" customHeight="1">
      <c r="B696" s="1852"/>
      <c r="C696" s="3248" t="s">
        <v>691</v>
      </c>
      <c r="D696" s="3249"/>
      <c r="E696" s="3250"/>
      <c r="F696" s="3251"/>
      <c r="G696" s="3252"/>
      <c r="H696" s="3252"/>
      <c r="I696" s="3252"/>
      <c r="J696" s="3252"/>
      <c r="K696" s="3251"/>
      <c r="L696" s="3252"/>
      <c r="M696" s="3252"/>
      <c r="N696" s="3252"/>
      <c r="O696" s="3252"/>
      <c r="P696" s="3253"/>
      <c r="Q696" s="1754"/>
      <c r="S696" s="3487"/>
    </row>
    <row r="697" spans="2:19" ht="21.75" customHeight="1">
      <c r="B697" s="1894"/>
      <c r="C697" s="677" t="s">
        <v>729</v>
      </c>
      <c r="D697" s="328"/>
      <c r="E697" s="8" t="s">
        <v>730</v>
      </c>
      <c r="F697" s="12" t="str">
        <f>IF(H697=1,"1- Débutant",IF(H697=2,"2- Élémentaire",IF(H697=3,"3- Intermédiaire",IF(H697=4,"4- Avancé",IF(H697=5,"5- Expert","")))))</f>
        <v/>
      </c>
      <c r="G697" s="13" t="str">
        <f>IF(G698=0,"",G698)</f>
        <v/>
      </c>
      <c r="H697" s="462">
        <f>ROUNDDOWN(AVERAGE(G698),0)</f>
        <v>0</v>
      </c>
      <c r="I697" s="16"/>
      <c r="J697" s="18"/>
      <c r="K697" s="12" t="str">
        <f>IF(M697=1,"1- Débutant",IF(M697=2,"2- Élémentaire",IF(M697=3,"3- Intermédiaire",IF(M697=4,"4- Avancé",IF(M697=5,"5- Expert","")))))</f>
        <v/>
      </c>
      <c r="L697" s="13" t="str">
        <f>IF(L698=0,"",L698)</f>
        <v/>
      </c>
      <c r="M697" s="462">
        <f>ROUNDDOWN(AVERAGE(L698),0)</f>
        <v>0</v>
      </c>
      <c r="N697" s="16"/>
      <c r="O697" s="3257"/>
      <c r="P697" s="3258"/>
      <c r="Q697" s="1754"/>
      <c r="S697" s="3487"/>
    </row>
    <row r="698" spans="2:19" ht="18" customHeight="1">
      <c r="B698" s="1852" t="str">
        <f>IF(OR(ISBLANK(F698),ISBLANK(K698))=FALSE,"","u")</f>
        <v>u</v>
      </c>
      <c r="C698" s="3262" t="s">
        <v>731</v>
      </c>
      <c r="D698" s="3263"/>
      <c r="E698" s="3264"/>
      <c r="F698" s="674"/>
      <c r="G698" s="522">
        <f>IF(F698=$E$653,1,IF(F698=$E$654,2,IF(F698=$E$655,3,IF(F698=$E$656,4,IF(F698=$E$657,5,0)))))</f>
        <v>0</v>
      </c>
      <c r="H698" s="2997"/>
      <c r="I698" s="3254"/>
      <c r="J698" s="3256"/>
      <c r="K698" s="674"/>
      <c r="L698" s="522">
        <f>IF(K698=$E$653,1,IF(K698=$E$654,2,IF(K698=$E$655,3,IF(K698=$E$656,4,IF(K698=$E$657,5,0)))))</f>
        <v>0</v>
      </c>
      <c r="M698" s="2997"/>
      <c r="N698" s="3254"/>
      <c r="O698" s="3255"/>
      <c r="P698" s="3256"/>
      <c r="Q698" s="1754"/>
      <c r="S698" s="3487"/>
    </row>
    <row r="699" spans="2:19" ht="35.25" customHeight="1">
      <c r="B699" s="1852"/>
      <c r="C699" s="3248" t="s">
        <v>691</v>
      </c>
      <c r="D699" s="3249"/>
      <c r="E699" s="3250"/>
      <c r="F699" s="3251"/>
      <c r="G699" s="3252"/>
      <c r="H699" s="3252"/>
      <c r="I699" s="3252"/>
      <c r="J699" s="3252"/>
      <c r="K699" s="3251"/>
      <c r="L699" s="3252"/>
      <c r="M699" s="3252"/>
      <c r="N699" s="3252"/>
      <c r="O699" s="3252"/>
      <c r="P699" s="3253"/>
      <c r="Q699" s="1754"/>
      <c r="S699" s="3487"/>
    </row>
    <row r="700" spans="2:19" ht="22.5" customHeight="1">
      <c r="B700" s="1762"/>
      <c r="C700" s="655"/>
      <c r="D700" s="344"/>
      <c r="E700" s="9" t="s">
        <v>707</v>
      </c>
      <c r="F700" s="20" t="str">
        <f>IF(H700=1,"1- Débutant",IF(H700=2,"2- Élémentaire",IF(H700=3,"3- Intermédiaire",IF(H700=4,"4- Avancé",IF(H700=5,"5- Expert","")))))</f>
        <v/>
      </c>
      <c r="G700" s="410" t="str">
        <f>IF(ISERR(G674+G678+G681+G684+G688+G692+G697)=TRUE,"",IF((G670=""),((G674+G678+G681+G684+G688+G692+G697)/80*100),(G670+G674+G678+G681+G684+G688+G692+G697)))</f>
        <v/>
      </c>
      <c r="H700" s="627">
        <f>ROUNDDOWN(AVERAGE(H670,H674,H678,H681,H684,H688,H692,H697),0)</f>
        <v>0</v>
      </c>
      <c r="I700" s="17"/>
      <c r="J700" s="17"/>
      <c r="K700" s="20" t="str">
        <f>IF(M700=1,"1- Débutant",IF(M700=2,"2- Élémentaire",IF(M700=3,"3- Intermédiaire",IF(M700=4,"4- Avancé",IF(M700=5,"5- Expert","")))))</f>
        <v/>
      </c>
      <c r="L700" s="410" t="str">
        <f>IF(ISERR(L674+L678+L681+L684+L688+L692+L697)=TRUE,"",IF((L670=""),((L674+L678+L681+L684+L688+L692+L697)/80*100),(L670+L674+L678+L681+L684+L688+L692+L697)))</f>
        <v/>
      </c>
      <c r="M700" s="627">
        <f>ROUNDDOWN(AVERAGE(M670,M674,M678,M681,M684,M688,M692,M697),0)</f>
        <v>0</v>
      </c>
      <c r="N700" s="17"/>
      <c r="O700" s="3372"/>
      <c r="P700" s="3373"/>
      <c r="Q700" s="1754"/>
      <c r="S700" s="3487"/>
    </row>
    <row r="701" spans="2:19" ht="23.25" customHeight="1">
      <c r="B701" s="1762"/>
      <c r="C701" s="1753"/>
      <c r="D701" s="1862"/>
      <c r="E701" s="1862"/>
      <c r="F701" s="1862"/>
      <c r="G701" s="1862"/>
      <c r="H701" s="1862"/>
      <c r="I701" s="1866"/>
      <c r="J701" s="1864"/>
      <c r="K701" s="1864"/>
      <c r="L701" s="1864"/>
      <c r="M701" s="1864"/>
      <c r="N701" s="1864"/>
      <c r="O701" s="1864"/>
      <c r="P701" s="1864"/>
      <c r="Q701" s="1754"/>
      <c r="S701" s="3487"/>
    </row>
    <row r="702" spans="2:19" ht="18" customHeight="1">
      <c r="B702" s="1762"/>
      <c r="C702" s="1865" t="s">
        <v>570</v>
      </c>
      <c r="D702" s="1862"/>
      <c r="E702" s="1862"/>
      <c r="F702" s="1862"/>
      <c r="G702" s="1751"/>
      <c r="H702" s="3709" t="s">
        <v>732</v>
      </c>
      <c r="I702" s="3709"/>
      <c r="J702" s="1751"/>
      <c r="K702" s="1751"/>
      <c r="L702" s="1864"/>
      <c r="M702" s="1864"/>
      <c r="N702" s="1864"/>
      <c r="O702" s="1864"/>
      <c r="P702" s="1864"/>
      <c r="Q702" s="1754"/>
      <c r="S702" s="3487"/>
    </row>
    <row r="703" spans="2:19" ht="19.5" customHeight="1" thickBot="1">
      <c r="B703" s="1784"/>
      <c r="C703" s="1789"/>
      <c r="D703" s="1789"/>
      <c r="E703" s="1789"/>
      <c r="F703" s="1891"/>
      <c r="G703" s="1891"/>
      <c r="H703" s="1789"/>
      <c r="I703" s="1891"/>
      <c r="J703" s="1891"/>
      <c r="K703" s="1789"/>
      <c r="L703" s="1891"/>
      <c r="M703" s="1789"/>
      <c r="N703" s="1891"/>
      <c r="O703" s="1891"/>
      <c r="P703" s="1891"/>
      <c r="Q703" s="1790"/>
      <c r="S703" s="3488"/>
    </row>
    <row r="704" spans="2:19" ht="16.5" customHeight="1" thickBot="1">
      <c r="S704" s="614"/>
    </row>
    <row r="705" spans="1:19" ht="22.5" customHeight="1" thickBot="1">
      <c r="A705" s="1187"/>
      <c r="B705" s="1718" t="s">
        <v>733</v>
      </c>
      <c r="C705" s="1718"/>
      <c r="D705" s="1718"/>
      <c r="E705" s="1718"/>
      <c r="F705" s="1718"/>
      <c r="G705" s="1718"/>
      <c r="H705" s="1718"/>
      <c r="I705" s="1718"/>
      <c r="J705" s="1718"/>
      <c r="K705" s="1718"/>
      <c r="L705" s="1723"/>
      <c r="M705" s="1723"/>
      <c r="N705" s="1723"/>
      <c r="O705" s="3700" t="s">
        <v>155</v>
      </c>
      <c r="P705" s="3700"/>
      <c r="Q705" s="3700"/>
      <c r="S705" s="615" t="s">
        <v>521</v>
      </c>
    </row>
    <row r="706" spans="1:19" ht="9.75" customHeight="1" thickBot="1">
      <c r="S706" s="616"/>
    </row>
    <row r="707" spans="1:19" ht="8.25" customHeight="1">
      <c r="B707" s="1791"/>
      <c r="C707" s="1792"/>
      <c r="D707" s="1792"/>
      <c r="E707" s="1793"/>
      <c r="F707" s="1794"/>
      <c r="G707" s="1794"/>
      <c r="H707" s="1794"/>
      <c r="I707" s="1794"/>
      <c r="J707" s="1794"/>
      <c r="K707" s="1794"/>
      <c r="L707" s="1794"/>
      <c r="M707" s="1794"/>
      <c r="N707" s="1794"/>
      <c r="O707" s="1794"/>
      <c r="P707" s="1794"/>
      <c r="Q707" s="1795"/>
      <c r="S707" s="3542"/>
    </row>
    <row r="708" spans="1:19" ht="18" customHeight="1">
      <c r="B708" s="1796"/>
      <c r="C708" s="1797" t="s">
        <v>823</v>
      </c>
      <c r="D708" s="1797"/>
      <c r="E708" s="1798"/>
      <c r="F708" s="1799"/>
      <c r="G708" s="1799"/>
      <c r="H708" s="1799"/>
      <c r="I708" s="1799"/>
      <c r="J708" s="1799"/>
      <c r="K708" s="1799"/>
      <c r="L708" s="1799"/>
      <c r="M708" s="1799"/>
      <c r="N708" s="1751"/>
      <c r="O708" s="1751"/>
      <c r="P708" s="1799"/>
      <c r="Q708" s="1800"/>
      <c r="S708" s="3540"/>
    </row>
    <row r="709" spans="1:19" ht="9.75" customHeight="1">
      <c r="B709" s="1796"/>
      <c r="C709" s="1798"/>
      <c r="D709" s="1798"/>
      <c r="E709" s="1798"/>
      <c r="F709" s="1799"/>
      <c r="G709" s="1799"/>
      <c r="H709" s="1799"/>
      <c r="I709" s="1799"/>
      <c r="J709" s="1799"/>
      <c r="K709" s="1799"/>
      <c r="L709" s="1799"/>
      <c r="M709" s="1799"/>
      <c r="N709" s="1799"/>
      <c r="O709" s="1799"/>
      <c r="P709" s="1799"/>
      <c r="Q709" s="1800"/>
      <c r="S709" s="3540"/>
    </row>
    <row r="710" spans="1:19" ht="18" customHeight="1">
      <c r="B710" s="1762"/>
      <c r="C710" s="1801" t="s">
        <v>824</v>
      </c>
      <c r="D710" s="1802"/>
      <c r="E710" s="1753"/>
      <c r="F710" s="1753"/>
      <c r="G710" s="1753"/>
      <c r="H710" s="1753"/>
      <c r="I710" s="1753"/>
      <c r="J710" s="1753"/>
      <c r="K710" s="1753"/>
      <c r="L710" s="1753"/>
      <c r="M710" s="1753"/>
      <c r="N710" s="1753"/>
      <c r="O710" s="1753"/>
      <c r="P710" s="1753"/>
      <c r="Q710" s="1754"/>
      <c r="S710" s="3540"/>
    </row>
    <row r="711" spans="1:19" ht="19.5" customHeight="1">
      <c r="B711" s="1762"/>
      <c r="C711" s="1803" t="s">
        <v>736</v>
      </c>
      <c r="D711" s="1802"/>
      <c r="E711" s="1753"/>
      <c r="F711" s="1753"/>
      <c r="G711" s="1753"/>
      <c r="H711" s="1753"/>
      <c r="I711" s="1753"/>
      <c r="J711" s="1753"/>
      <c r="K711" s="1753"/>
      <c r="L711" s="1753"/>
      <c r="M711" s="1753"/>
      <c r="N711" s="1753"/>
      <c r="O711" s="1753"/>
      <c r="P711" s="1753"/>
      <c r="Q711" s="1754"/>
      <c r="S711" s="3540"/>
    </row>
    <row r="712" spans="1:19" ht="15.75" customHeight="1">
      <c r="B712" s="1762"/>
      <c r="C712" s="1804" t="s">
        <v>737</v>
      </c>
      <c r="D712" s="1802"/>
      <c r="E712" s="1753"/>
      <c r="F712" s="1753"/>
      <c r="G712" s="1753"/>
      <c r="H712" s="1753"/>
      <c r="I712" s="1753"/>
      <c r="J712" s="1753"/>
      <c r="K712" s="1753"/>
      <c r="L712" s="1753"/>
      <c r="M712" s="1753"/>
      <c r="N712" s="1753"/>
      <c r="O712" s="1753"/>
      <c r="P712" s="1753"/>
      <c r="Q712" s="1754"/>
      <c r="S712" s="3540"/>
    </row>
    <row r="713" spans="1:19" ht="9" customHeight="1">
      <c r="B713" s="1762"/>
      <c r="C713" s="1805"/>
      <c r="D713" s="1802"/>
      <c r="E713" s="1753"/>
      <c r="F713" s="1753"/>
      <c r="G713" s="1753"/>
      <c r="H713" s="1753"/>
      <c r="I713" s="1753"/>
      <c r="J713" s="1753"/>
      <c r="K713" s="1753"/>
      <c r="L713" s="1753"/>
      <c r="M713" s="1753"/>
      <c r="N713" s="1753"/>
      <c r="O713" s="1753"/>
      <c r="P713" s="1753"/>
      <c r="Q713" s="1754"/>
      <c r="S713" s="3540"/>
    </row>
    <row r="714" spans="1:19" ht="18" customHeight="1">
      <c r="B714" s="1762"/>
      <c r="C714" s="1801" t="s">
        <v>825</v>
      </c>
      <c r="D714" s="1802"/>
      <c r="E714" s="1753"/>
      <c r="F714" s="1753"/>
      <c r="G714" s="1753"/>
      <c r="H714" s="1753"/>
      <c r="I714" s="1753"/>
      <c r="J714" s="1753"/>
      <c r="K714" s="1753"/>
      <c r="L714" s="1753"/>
      <c r="M714" s="1753"/>
      <c r="N714" s="1753"/>
      <c r="O714" s="1753"/>
      <c r="P714" s="1753"/>
      <c r="Q714" s="1754"/>
      <c r="S714" s="3540"/>
    </row>
    <row r="715" spans="1:19" ht="6" customHeight="1">
      <c r="B715" s="1762"/>
      <c r="C715" s="1801"/>
      <c r="D715" s="1802"/>
      <c r="E715" s="1753"/>
      <c r="F715" s="1753"/>
      <c r="G715" s="1753"/>
      <c r="H715" s="1753"/>
      <c r="I715" s="1753"/>
      <c r="J715" s="1753"/>
      <c r="K715" s="1753"/>
      <c r="L715" s="1753"/>
      <c r="M715" s="1753"/>
      <c r="N715" s="1753"/>
      <c r="O715" s="1753"/>
      <c r="P715" s="1753"/>
      <c r="Q715" s="1754"/>
      <c r="S715" s="3540"/>
    </row>
    <row r="716" spans="1:19" ht="59.25" customHeight="1">
      <c r="B716" s="1806" t="str">
        <f>IF(ISBLANK(C716)=FALSE,"","w")</f>
        <v>w</v>
      </c>
      <c r="C716" s="3458"/>
      <c r="D716" s="3459"/>
      <c r="E716" s="3459"/>
      <c r="F716" s="3459"/>
      <c r="G716" s="3459"/>
      <c r="H716" s="3459"/>
      <c r="I716" s="3459"/>
      <c r="J716" s="3459"/>
      <c r="K716" s="3459"/>
      <c r="L716" s="3459"/>
      <c r="M716" s="3459"/>
      <c r="N716" s="3459"/>
      <c r="O716" s="3460"/>
      <c r="P716" s="1753"/>
      <c r="Q716" s="1754"/>
      <c r="S716" s="3540"/>
    </row>
    <row r="717" spans="1:19" ht="18.75" customHeight="1" thickBot="1">
      <c r="B717" s="1784"/>
      <c r="C717" s="1807"/>
      <c r="D717" s="1808"/>
      <c r="E717" s="1789"/>
      <c r="F717" s="1789"/>
      <c r="G717" s="1789"/>
      <c r="H717" s="1789"/>
      <c r="I717" s="1789"/>
      <c r="J717" s="1789"/>
      <c r="K717" s="1789"/>
      <c r="L717" s="1789"/>
      <c r="M717" s="1789"/>
      <c r="N717" s="1789"/>
      <c r="O717" s="1789"/>
      <c r="P717" s="1789"/>
      <c r="Q717" s="1790"/>
      <c r="S717" s="3540"/>
    </row>
    <row r="718" spans="1:19" ht="9.75" customHeight="1" thickBot="1">
      <c r="S718" s="3540"/>
    </row>
    <row r="719" spans="1:19" ht="8.25" customHeight="1">
      <c r="B719" s="1791"/>
      <c r="C719" s="1792"/>
      <c r="D719" s="1792"/>
      <c r="E719" s="1793"/>
      <c r="F719" s="1794"/>
      <c r="G719" s="1794"/>
      <c r="H719" s="1794"/>
      <c r="I719" s="1794"/>
      <c r="J719" s="1794"/>
      <c r="K719" s="1794"/>
      <c r="L719" s="1794"/>
      <c r="M719" s="1794"/>
      <c r="N719" s="1794"/>
      <c r="O719" s="1794"/>
      <c r="P719" s="1794"/>
      <c r="Q719" s="1795"/>
      <c r="S719" s="3540"/>
    </row>
    <row r="720" spans="1:19" ht="18" customHeight="1">
      <c r="B720" s="1796"/>
      <c r="C720" s="1797" t="s">
        <v>739</v>
      </c>
      <c r="D720" s="1797"/>
      <c r="E720" s="1798"/>
      <c r="F720" s="1799"/>
      <c r="G720" s="1799"/>
      <c r="H720" s="1799"/>
      <c r="I720" s="1799"/>
      <c r="J720" s="1799"/>
      <c r="K720" s="1799"/>
      <c r="L720" s="1799"/>
      <c r="M720" s="1799"/>
      <c r="N720" s="1751"/>
      <c r="O720" s="1751"/>
      <c r="P720" s="1799"/>
      <c r="Q720" s="1800"/>
      <c r="S720" s="3540"/>
    </row>
    <row r="721" spans="2:19" ht="9.75" customHeight="1">
      <c r="B721" s="1796"/>
      <c r="C721" s="1798"/>
      <c r="D721" s="1798"/>
      <c r="E721" s="1798"/>
      <c r="F721" s="1799"/>
      <c r="G721" s="1799"/>
      <c r="H721" s="1799"/>
      <c r="I721" s="1799"/>
      <c r="J721" s="1799"/>
      <c r="K721" s="1799"/>
      <c r="L721" s="1799"/>
      <c r="M721" s="1799"/>
      <c r="N721" s="1799"/>
      <c r="O721" s="1799"/>
      <c r="P721" s="1799"/>
      <c r="Q721" s="1800"/>
      <c r="S721" s="3540"/>
    </row>
    <row r="722" spans="2:19" ht="18" customHeight="1">
      <c r="B722" s="1762"/>
      <c r="C722" s="1801" t="s">
        <v>826</v>
      </c>
      <c r="D722" s="1802"/>
      <c r="E722" s="1753"/>
      <c r="F722" s="1753"/>
      <c r="G722" s="1753"/>
      <c r="H722" s="1753"/>
      <c r="I722" s="1753"/>
      <c r="J722" s="1753"/>
      <c r="K722" s="1753"/>
      <c r="L722" s="1753"/>
      <c r="M722" s="1753"/>
      <c r="N722" s="1753"/>
      <c r="O722" s="1753"/>
      <c r="P722" s="1753"/>
      <c r="Q722" s="1754"/>
      <c r="S722" s="3540"/>
    </row>
    <row r="723" spans="2:19" ht="19.5" customHeight="1">
      <c r="B723" s="1762"/>
      <c r="C723" s="1803" t="s">
        <v>827</v>
      </c>
      <c r="D723" s="1802"/>
      <c r="E723" s="1753"/>
      <c r="F723" s="1753"/>
      <c r="G723" s="1753"/>
      <c r="H723" s="1753"/>
      <c r="I723" s="1753"/>
      <c r="J723" s="1753"/>
      <c r="K723" s="1753"/>
      <c r="L723" s="1753"/>
      <c r="M723" s="1753"/>
      <c r="N723" s="1753"/>
      <c r="O723" s="1753"/>
      <c r="P723" s="1753"/>
      <c r="Q723" s="1754"/>
      <c r="S723" s="3540"/>
    </row>
    <row r="724" spans="2:19" ht="15.75" customHeight="1">
      <c r="B724" s="1762"/>
      <c r="C724" s="1804" t="s">
        <v>742</v>
      </c>
      <c r="D724" s="1802"/>
      <c r="E724" s="1753"/>
      <c r="F724" s="1753"/>
      <c r="G724" s="1753"/>
      <c r="H724" s="1753"/>
      <c r="I724" s="1753"/>
      <c r="J724" s="1753"/>
      <c r="K724" s="1753"/>
      <c r="L724" s="1753"/>
      <c r="M724" s="1753"/>
      <c r="N724" s="1753"/>
      <c r="O724" s="1753"/>
      <c r="P724" s="1753"/>
      <c r="Q724" s="1754"/>
      <c r="S724" s="3540"/>
    </row>
    <row r="725" spans="2:19" ht="9" customHeight="1">
      <c r="B725" s="1762"/>
      <c r="C725" s="1805"/>
      <c r="D725" s="1802"/>
      <c r="E725" s="1753"/>
      <c r="F725" s="1753"/>
      <c r="G725" s="1753"/>
      <c r="H725" s="1753"/>
      <c r="I725" s="1753"/>
      <c r="J725" s="1753"/>
      <c r="K725" s="1753"/>
      <c r="L725" s="1753"/>
      <c r="M725" s="1753"/>
      <c r="N725" s="1753"/>
      <c r="O725" s="1753"/>
      <c r="P725" s="1753"/>
      <c r="Q725" s="1754"/>
      <c r="S725" s="3540"/>
    </row>
    <row r="726" spans="2:19" ht="18" customHeight="1">
      <c r="B726" s="1762"/>
      <c r="C726" s="1849" t="s">
        <v>828</v>
      </c>
      <c r="D726" s="1802"/>
      <c r="E726" s="1753"/>
      <c r="F726" s="1753"/>
      <c r="G726" s="1753"/>
      <c r="H726" s="1753"/>
      <c r="I726" s="1753"/>
      <c r="J726" s="1753"/>
      <c r="K726" s="1753"/>
      <c r="L726" s="1753"/>
      <c r="M726" s="1753"/>
      <c r="N726" s="1753"/>
      <c r="O726" s="1753"/>
      <c r="P726" s="1753"/>
      <c r="Q726" s="1754"/>
      <c r="S726" s="3540"/>
    </row>
    <row r="727" spans="2:19" ht="6" customHeight="1">
      <c r="B727" s="1762"/>
      <c r="C727" s="1801"/>
      <c r="D727" s="1802"/>
      <c r="E727" s="1753"/>
      <c r="F727" s="1753"/>
      <c r="G727" s="1753"/>
      <c r="H727" s="1753"/>
      <c r="I727" s="1753"/>
      <c r="J727" s="1753"/>
      <c r="K727" s="1753"/>
      <c r="L727" s="1753"/>
      <c r="M727" s="1753"/>
      <c r="N727" s="1753"/>
      <c r="O727" s="1753"/>
      <c r="P727" s="1753"/>
      <c r="Q727" s="1754"/>
      <c r="S727" s="3540"/>
    </row>
    <row r="728" spans="2:19" ht="29.25" customHeight="1">
      <c r="B728" s="1806" t="str">
        <f>IF(ISBLANK(C728)=FALSE,"","w")</f>
        <v>w</v>
      </c>
      <c r="C728" s="3458"/>
      <c r="D728" s="3459"/>
      <c r="E728" s="3459"/>
      <c r="F728" s="3459"/>
      <c r="G728" s="3459"/>
      <c r="H728" s="3459"/>
      <c r="I728" s="3459"/>
      <c r="J728" s="3459"/>
      <c r="K728" s="3459"/>
      <c r="L728" s="3459"/>
      <c r="M728" s="3459"/>
      <c r="N728" s="3459"/>
      <c r="O728" s="3460"/>
      <c r="P728" s="1753"/>
      <c r="Q728" s="1754"/>
      <c r="S728" s="3540"/>
    </row>
    <row r="729" spans="2:19" ht="15" thickBot="1">
      <c r="B729" s="1784"/>
      <c r="C729" s="1807"/>
      <c r="D729" s="1808"/>
      <c r="E729" s="1789"/>
      <c r="F729" s="1789"/>
      <c r="G729" s="1789"/>
      <c r="H729" s="1789"/>
      <c r="I729" s="1789"/>
      <c r="J729" s="1789"/>
      <c r="K729" s="1789"/>
      <c r="L729" s="1789"/>
      <c r="M729" s="1789"/>
      <c r="N729" s="1789"/>
      <c r="O729" s="1789"/>
      <c r="P729" s="1789"/>
      <c r="Q729" s="1790"/>
      <c r="S729" s="3541"/>
    </row>
  </sheetData>
  <sheetProtection algorithmName="SHA-512" hashValue="WCDzOe8PtGAUY1fcLKFdBVU87v7nQ2ECJMMtAsY3fK4NnnCf57DliL8zI90xi37XCgsjMDcoDJmvvd6R3BYgoQ==" saltValue="pDI6CihYIyTRqSL/t0sUUQ==" spinCount="100000" sheet="1" objects="1" scenarios="1"/>
  <mergeCells count="808">
    <mergeCell ref="C159:C161"/>
    <mergeCell ref="S718:S729"/>
    <mergeCell ref="C728:O728"/>
    <mergeCell ref="O697:P697"/>
    <mergeCell ref="S697:S699"/>
    <mergeCell ref="C698:E698"/>
    <mergeCell ref="I698:J698"/>
    <mergeCell ref="N698:P698"/>
    <mergeCell ref="C699:E699"/>
    <mergeCell ref="F699:J699"/>
    <mergeCell ref="K699:P699"/>
    <mergeCell ref="I690:J690"/>
    <mergeCell ref="N690:P690"/>
    <mergeCell ref="C691:E691"/>
    <mergeCell ref="K691:P691"/>
    <mergeCell ref="O692:P692"/>
    <mergeCell ref="O700:P700"/>
    <mergeCell ref="S700:S703"/>
    <mergeCell ref="H702:I702"/>
    <mergeCell ref="S707:S717"/>
    <mergeCell ref="C716:O716"/>
    <mergeCell ref="S692:S696"/>
    <mergeCell ref="C693:E693"/>
    <mergeCell ref="I693:J693"/>
    <mergeCell ref="N693:P693"/>
    <mergeCell ref="C694:E694"/>
    <mergeCell ref="I694:J694"/>
    <mergeCell ref="N694:P694"/>
    <mergeCell ref="C695:E695"/>
    <mergeCell ref="I695:J695"/>
    <mergeCell ref="N695:P695"/>
    <mergeCell ref="C696:E696"/>
    <mergeCell ref="F696:J696"/>
    <mergeCell ref="K696:P696"/>
    <mergeCell ref="F691:J691"/>
    <mergeCell ref="C685:E685"/>
    <mergeCell ref="I685:J685"/>
    <mergeCell ref="N685:P685"/>
    <mergeCell ref="C686:E686"/>
    <mergeCell ref="I686:J686"/>
    <mergeCell ref="N686:P686"/>
    <mergeCell ref="C687:E687"/>
    <mergeCell ref="F687:J687"/>
    <mergeCell ref="K687:P687"/>
    <mergeCell ref="O678:P678"/>
    <mergeCell ref="S678:S680"/>
    <mergeCell ref="C679:E679"/>
    <mergeCell ref="I679:J679"/>
    <mergeCell ref="N679:P679"/>
    <mergeCell ref="C680:E680"/>
    <mergeCell ref="F680:J680"/>
    <mergeCell ref="K680:P680"/>
    <mergeCell ref="O688:P688"/>
    <mergeCell ref="S688:S691"/>
    <mergeCell ref="C689:E689"/>
    <mergeCell ref="I689:J689"/>
    <mergeCell ref="N689:P689"/>
    <mergeCell ref="C690:E690"/>
    <mergeCell ref="O681:P681"/>
    <mergeCell ref="S681:S683"/>
    <mergeCell ref="C682:E682"/>
    <mergeCell ref="I682:J682"/>
    <mergeCell ref="N682:P682"/>
    <mergeCell ref="C683:E683"/>
    <mergeCell ref="F683:J683"/>
    <mergeCell ref="K683:P683"/>
    <mergeCell ref="O684:P684"/>
    <mergeCell ref="S684:S687"/>
    <mergeCell ref="O674:P674"/>
    <mergeCell ref="S674:S677"/>
    <mergeCell ref="C675:E675"/>
    <mergeCell ref="I675:J675"/>
    <mergeCell ref="N675:P675"/>
    <mergeCell ref="C676:E676"/>
    <mergeCell ref="I676:J676"/>
    <mergeCell ref="N676:P676"/>
    <mergeCell ref="C677:E677"/>
    <mergeCell ref="F677:J677"/>
    <mergeCell ref="K677:P677"/>
    <mergeCell ref="S645:S665"/>
    <mergeCell ref="C648:M648"/>
    <mergeCell ref="C653:D653"/>
    <mergeCell ref="C654:D654"/>
    <mergeCell ref="F666:J666"/>
    <mergeCell ref="K666:O666"/>
    <mergeCell ref="S666:S673"/>
    <mergeCell ref="C668:E669"/>
    <mergeCell ref="F668:G668"/>
    <mergeCell ref="H668:J668"/>
    <mergeCell ref="C672:E672"/>
    <mergeCell ref="I672:J672"/>
    <mergeCell ref="N672:P672"/>
    <mergeCell ref="C673:E673"/>
    <mergeCell ref="F673:J673"/>
    <mergeCell ref="K673:P673"/>
    <mergeCell ref="K668:L668"/>
    <mergeCell ref="M668:O668"/>
    <mergeCell ref="I669:J669"/>
    <mergeCell ref="N669:P669"/>
    <mergeCell ref="O670:P670"/>
    <mergeCell ref="C671:E671"/>
    <mergeCell ref="I671:J671"/>
    <mergeCell ref="N671:P671"/>
    <mergeCell ref="O638:P638"/>
    <mergeCell ref="S638:S641"/>
    <mergeCell ref="H640:I640"/>
    <mergeCell ref="S633:S637"/>
    <mergeCell ref="C634:E634"/>
    <mergeCell ref="I634:J634"/>
    <mergeCell ref="N634:P634"/>
    <mergeCell ref="C635:E635"/>
    <mergeCell ref="I635:J635"/>
    <mergeCell ref="N635:P635"/>
    <mergeCell ref="C636:E636"/>
    <mergeCell ref="I636:J636"/>
    <mergeCell ref="N636:P636"/>
    <mergeCell ref="O633:P633"/>
    <mergeCell ref="O629:P629"/>
    <mergeCell ref="C637:E637"/>
    <mergeCell ref="F637:J637"/>
    <mergeCell ref="K637:P637"/>
    <mergeCell ref="S629:S632"/>
    <mergeCell ref="C630:E630"/>
    <mergeCell ref="I630:J630"/>
    <mergeCell ref="N630:P630"/>
    <mergeCell ref="C631:E631"/>
    <mergeCell ref="I631:J631"/>
    <mergeCell ref="N631:P631"/>
    <mergeCell ref="C632:E632"/>
    <mergeCell ref="F632:J632"/>
    <mergeCell ref="K632:P632"/>
    <mergeCell ref="O624:P624"/>
    <mergeCell ref="S624:S628"/>
    <mergeCell ref="C625:E625"/>
    <mergeCell ref="I625:J625"/>
    <mergeCell ref="N625:P625"/>
    <mergeCell ref="C626:E626"/>
    <mergeCell ref="I626:J626"/>
    <mergeCell ref="N626:P626"/>
    <mergeCell ref="C627:E627"/>
    <mergeCell ref="I627:J627"/>
    <mergeCell ref="N627:P627"/>
    <mergeCell ref="C628:E628"/>
    <mergeCell ref="F628:J628"/>
    <mergeCell ref="K628:P628"/>
    <mergeCell ref="K619:P619"/>
    <mergeCell ref="O620:P620"/>
    <mergeCell ref="N614:P614"/>
    <mergeCell ref="C615:E615"/>
    <mergeCell ref="F615:J615"/>
    <mergeCell ref="K615:P615"/>
    <mergeCell ref="O616:P616"/>
    <mergeCell ref="S620:S623"/>
    <mergeCell ref="C621:E621"/>
    <mergeCell ref="I621:J621"/>
    <mergeCell ref="N621:P621"/>
    <mergeCell ref="C622:E622"/>
    <mergeCell ref="I622:J622"/>
    <mergeCell ref="N622:P622"/>
    <mergeCell ref="C623:E623"/>
    <mergeCell ref="F623:J623"/>
    <mergeCell ref="K623:P623"/>
    <mergeCell ref="I607:J607"/>
    <mergeCell ref="N607:P607"/>
    <mergeCell ref="C608:E608"/>
    <mergeCell ref="I608:J608"/>
    <mergeCell ref="N608:P608"/>
    <mergeCell ref="S616:S619"/>
    <mergeCell ref="C617:E617"/>
    <mergeCell ref="I617:J617"/>
    <mergeCell ref="N617:P617"/>
    <mergeCell ref="C618:E618"/>
    <mergeCell ref="C611:E611"/>
    <mergeCell ref="F611:J611"/>
    <mergeCell ref="K611:P611"/>
    <mergeCell ref="O612:P612"/>
    <mergeCell ref="S612:S615"/>
    <mergeCell ref="C613:E613"/>
    <mergeCell ref="I613:J613"/>
    <mergeCell ref="N613:P613"/>
    <mergeCell ref="C614:E614"/>
    <mergeCell ref="I614:J614"/>
    <mergeCell ref="I618:J618"/>
    <mergeCell ref="N618:P618"/>
    <mergeCell ref="C619:E619"/>
    <mergeCell ref="F619:J619"/>
    <mergeCell ref="F600:J600"/>
    <mergeCell ref="K600:O600"/>
    <mergeCell ref="S600:S611"/>
    <mergeCell ref="C602:E603"/>
    <mergeCell ref="F602:G602"/>
    <mergeCell ref="C605:E605"/>
    <mergeCell ref="I605:J605"/>
    <mergeCell ref="N605:P605"/>
    <mergeCell ref="C606:E606"/>
    <mergeCell ref="I606:J606"/>
    <mergeCell ref="N606:P606"/>
    <mergeCell ref="H602:J602"/>
    <mergeCell ref="K602:L602"/>
    <mergeCell ref="M602:O602"/>
    <mergeCell ref="I603:J603"/>
    <mergeCell ref="N603:P603"/>
    <mergeCell ref="O604:P604"/>
    <mergeCell ref="C609:E609"/>
    <mergeCell ref="I609:J609"/>
    <mergeCell ref="N609:P609"/>
    <mergeCell ref="C610:E610"/>
    <mergeCell ref="I610:J610"/>
    <mergeCell ref="N610:P610"/>
    <mergeCell ref="C607:E607"/>
    <mergeCell ref="E567:P567"/>
    <mergeCell ref="S568:S575"/>
    <mergeCell ref="E570:H570"/>
    <mergeCell ref="J570:P570"/>
    <mergeCell ref="D572:H572"/>
    <mergeCell ref="J572:P572"/>
    <mergeCell ref="H574:I574"/>
    <mergeCell ref="S579:S599"/>
    <mergeCell ref="C582:M582"/>
    <mergeCell ref="C587:D587"/>
    <mergeCell ref="C588:D588"/>
    <mergeCell ref="O559:P559"/>
    <mergeCell ref="C560:D560"/>
    <mergeCell ref="E560:P560"/>
    <mergeCell ref="S561:S567"/>
    <mergeCell ref="C562:D562"/>
    <mergeCell ref="O562:P562"/>
    <mergeCell ref="C563:D563"/>
    <mergeCell ref="O563:P563"/>
    <mergeCell ref="C564:D564"/>
    <mergeCell ref="O564:P564"/>
    <mergeCell ref="S553:S560"/>
    <mergeCell ref="C554:D554"/>
    <mergeCell ref="O554:P554"/>
    <mergeCell ref="O555:P555"/>
    <mergeCell ref="C556:D556"/>
    <mergeCell ref="O556:P556"/>
    <mergeCell ref="C557:D557"/>
    <mergeCell ref="O557:P557"/>
    <mergeCell ref="O558:P558"/>
    <mergeCell ref="C559:D559"/>
    <mergeCell ref="O565:P565"/>
    <mergeCell ref="C566:D566"/>
    <mergeCell ref="O566:P566"/>
    <mergeCell ref="C567:D567"/>
    <mergeCell ref="S542:S552"/>
    <mergeCell ref="C544:D545"/>
    <mergeCell ref="E544:N544"/>
    <mergeCell ref="O544:P545"/>
    <mergeCell ref="C547:D547"/>
    <mergeCell ref="O547:P547"/>
    <mergeCell ref="C548:D548"/>
    <mergeCell ref="O548:P548"/>
    <mergeCell ref="C549:D549"/>
    <mergeCell ref="O532:P532"/>
    <mergeCell ref="C533:D533"/>
    <mergeCell ref="E533:P533"/>
    <mergeCell ref="O549:P549"/>
    <mergeCell ref="O550:P550"/>
    <mergeCell ref="C551:D551"/>
    <mergeCell ref="O551:P551"/>
    <mergeCell ref="C552:D552"/>
    <mergeCell ref="E552:P552"/>
    <mergeCell ref="C542:F542"/>
    <mergeCell ref="S534:S541"/>
    <mergeCell ref="C535:D535"/>
    <mergeCell ref="O535:P535"/>
    <mergeCell ref="C536:D536"/>
    <mergeCell ref="O536:P536"/>
    <mergeCell ref="C525:D525"/>
    <mergeCell ref="E525:P525"/>
    <mergeCell ref="S526:S533"/>
    <mergeCell ref="C527:D527"/>
    <mergeCell ref="O527:P527"/>
    <mergeCell ref="O528:P528"/>
    <mergeCell ref="C529:D529"/>
    <mergeCell ref="O529:P529"/>
    <mergeCell ref="C530:D530"/>
    <mergeCell ref="O530:P530"/>
    <mergeCell ref="C537:D537"/>
    <mergeCell ref="O537:P537"/>
    <mergeCell ref="O538:P538"/>
    <mergeCell ref="C539:D539"/>
    <mergeCell ref="O539:P539"/>
    <mergeCell ref="C540:D540"/>
    <mergeCell ref="E540:P540"/>
    <mergeCell ref="O531:P531"/>
    <mergeCell ref="C532:D532"/>
    <mergeCell ref="C522:D522"/>
    <mergeCell ref="O522:P522"/>
    <mergeCell ref="O523:P523"/>
    <mergeCell ref="C524:D524"/>
    <mergeCell ref="O524:P524"/>
    <mergeCell ref="S506:S514"/>
    <mergeCell ref="C509:M509"/>
    <mergeCell ref="C515:F515"/>
    <mergeCell ref="S515:S525"/>
    <mergeCell ref="C517:D518"/>
    <mergeCell ref="E517:N517"/>
    <mergeCell ref="O517:P518"/>
    <mergeCell ref="C520:D520"/>
    <mergeCell ref="O520:P520"/>
    <mergeCell ref="C521:D521"/>
    <mergeCell ref="C494:D494"/>
    <mergeCell ref="O494:P494"/>
    <mergeCell ref="S495:S502"/>
    <mergeCell ref="E497:H497"/>
    <mergeCell ref="J497:P497"/>
    <mergeCell ref="D499:H499"/>
    <mergeCell ref="J499:P499"/>
    <mergeCell ref="H501:I501"/>
    <mergeCell ref="O521:P521"/>
    <mergeCell ref="O480:P480"/>
    <mergeCell ref="S480:S494"/>
    <mergeCell ref="O481:P481"/>
    <mergeCell ref="C482:D482"/>
    <mergeCell ref="O482:P482"/>
    <mergeCell ref="O483:P483"/>
    <mergeCell ref="C484:D484"/>
    <mergeCell ref="O484:P484"/>
    <mergeCell ref="C485:D485"/>
    <mergeCell ref="O485:P485"/>
    <mergeCell ref="C490:D490"/>
    <mergeCell ref="O490:P490"/>
    <mergeCell ref="C491:D491"/>
    <mergeCell ref="O491:P491"/>
    <mergeCell ref="C492:D492"/>
    <mergeCell ref="O492:P492"/>
    <mergeCell ref="C486:D486"/>
    <mergeCell ref="O486:P486"/>
    <mergeCell ref="O487:P487"/>
    <mergeCell ref="C488:D488"/>
    <mergeCell ref="O488:P488"/>
    <mergeCell ref="O489:P489"/>
    <mergeCell ref="C493:D493"/>
    <mergeCell ref="E493:P493"/>
    <mergeCell ref="S472:S479"/>
    <mergeCell ref="C473:D473"/>
    <mergeCell ref="O473:P473"/>
    <mergeCell ref="C474:D474"/>
    <mergeCell ref="O474:P474"/>
    <mergeCell ref="O475:P475"/>
    <mergeCell ref="C476:D476"/>
    <mergeCell ref="C468:D468"/>
    <mergeCell ref="O468:P468"/>
    <mergeCell ref="C469:D469"/>
    <mergeCell ref="O469:P469"/>
    <mergeCell ref="C470:D470"/>
    <mergeCell ref="O470:P470"/>
    <mergeCell ref="O476:P476"/>
    <mergeCell ref="C477:D477"/>
    <mergeCell ref="O477:P477"/>
    <mergeCell ref="C478:D478"/>
    <mergeCell ref="O478:P478"/>
    <mergeCell ref="C479:D479"/>
    <mergeCell ref="E479:P479"/>
    <mergeCell ref="C471:D471"/>
    <mergeCell ref="E471:P471"/>
    <mergeCell ref="O472:P472"/>
    <mergeCell ref="O449:P449"/>
    <mergeCell ref="O464:P464"/>
    <mergeCell ref="C465:D465"/>
    <mergeCell ref="O465:P465"/>
    <mergeCell ref="O466:P466"/>
    <mergeCell ref="C467:D467"/>
    <mergeCell ref="O467:P467"/>
    <mergeCell ref="C461:D461"/>
    <mergeCell ref="O461:P461"/>
    <mergeCell ref="C462:D462"/>
    <mergeCell ref="O462:P462"/>
    <mergeCell ref="C463:D463"/>
    <mergeCell ref="O463:P463"/>
    <mergeCell ref="S449:S450"/>
    <mergeCell ref="C452:F452"/>
    <mergeCell ref="S452:S471"/>
    <mergeCell ref="C454:D455"/>
    <mergeCell ref="E454:N454"/>
    <mergeCell ref="O454:P455"/>
    <mergeCell ref="O444:P444"/>
    <mergeCell ref="C445:D445"/>
    <mergeCell ref="O445:P445"/>
    <mergeCell ref="C446:D446"/>
    <mergeCell ref="O446:P446"/>
    <mergeCell ref="C447:D447"/>
    <mergeCell ref="O447:P447"/>
    <mergeCell ref="S435:S448"/>
    <mergeCell ref="O456:P456"/>
    <mergeCell ref="O457:P457"/>
    <mergeCell ref="C458:D458"/>
    <mergeCell ref="O458:P458"/>
    <mergeCell ref="O459:P459"/>
    <mergeCell ref="C460:D460"/>
    <mergeCell ref="O460:P460"/>
    <mergeCell ref="C448:D448"/>
    <mergeCell ref="E448:P448"/>
    <mergeCell ref="C449:D449"/>
    <mergeCell ref="C443:D443"/>
    <mergeCell ref="O443:P443"/>
    <mergeCell ref="C434:D434"/>
    <mergeCell ref="E434:P434"/>
    <mergeCell ref="O435:P435"/>
    <mergeCell ref="O436:P436"/>
    <mergeCell ref="C437:D437"/>
    <mergeCell ref="O437:P437"/>
    <mergeCell ref="O438:P438"/>
    <mergeCell ref="C439:D439"/>
    <mergeCell ref="O439:P439"/>
    <mergeCell ref="O425:P425"/>
    <mergeCell ref="C426:D426"/>
    <mergeCell ref="E426:P426"/>
    <mergeCell ref="O427:P427"/>
    <mergeCell ref="C440:D440"/>
    <mergeCell ref="O440:P440"/>
    <mergeCell ref="C441:D441"/>
    <mergeCell ref="O441:P441"/>
    <mergeCell ref="O442:P442"/>
    <mergeCell ref="O414:P414"/>
    <mergeCell ref="C415:D415"/>
    <mergeCell ref="O415:P415"/>
    <mergeCell ref="C416:D416"/>
    <mergeCell ref="O416:P416"/>
    <mergeCell ref="S427:S434"/>
    <mergeCell ref="C428:D428"/>
    <mergeCell ref="O428:P428"/>
    <mergeCell ref="O429:P429"/>
    <mergeCell ref="O430:P430"/>
    <mergeCell ref="O421:P421"/>
    <mergeCell ref="C422:D422"/>
    <mergeCell ref="O422:P422"/>
    <mergeCell ref="C423:D423"/>
    <mergeCell ref="O423:P423"/>
    <mergeCell ref="C424:D424"/>
    <mergeCell ref="O424:P424"/>
    <mergeCell ref="C431:D431"/>
    <mergeCell ref="O431:P431"/>
    <mergeCell ref="C432:D432"/>
    <mergeCell ref="O432:P432"/>
    <mergeCell ref="C433:D433"/>
    <mergeCell ref="O433:P433"/>
    <mergeCell ref="C425:D425"/>
    <mergeCell ref="T409:T410"/>
    <mergeCell ref="U409:AD409"/>
    <mergeCell ref="AE409:AE410"/>
    <mergeCell ref="AF409:AF410"/>
    <mergeCell ref="AG409:AG410"/>
    <mergeCell ref="AH409:AH410"/>
    <mergeCell ref="S384:S406"/>
    <mergeCell ref="C405:G405"/>
    <mergeCell ref="J405:K405"/>
    <mergeCell ref="M405:N405"/>
    <mergeCell ref="C407:F407"/>
    <mergeCell ref="S407:S426"/>
    <mergeCell ref="C409:D410"/>
    <mergeCell ref="E409:N409"/>
    <mergeCell ref="O409:P410"/>
    <mergeCell ref="O411:P411"/>
    <mergeCell ref="C417:D417"/>
    <mergeCell ref="O417:P417"/>
    <mergeCell ref="C418:D418"/>
    <mergeCell ref="O418:P418"/>
    <mergeCell ref="O419:P419"/>
    <mergeCell ref="O420:P420"/>
    <mergeCell ref="O412:P412"/>
    <mergeCell ref="O413:P413"/>
    <mergeCell ref="S367:S373"/>
    <mergeCell ref="E369:H369"/>
    <mergeCell ref="J369:P369"/>
    <mergeCell ref="D371:H371"/>
    <mergeCell ref="J371:P371"/>
    <mergeCell ref="S374:S383"/>
    <mergeCell ref="C377:M377"/>
    <mergeCell ref="S358:S366"/>
    <mergeCell ref="C359:C361"/>
    <mergeCell ref="F359:G359"/>
    <mergeCell ref="M359:N359"/>
    <mergeCell ref="F363:G363"/>
    <mergeCell ref="M363:N363"/>
    <mergeCell ref="G365:H365"/>
    <mergeCell ref="I365:O365"/>
    <mergeCell ref="S326:S333"/>
    <mergeCell ref="E328:H328"/>
    <mergeCell ref="J328:P328"/>
    <mergeCell ref="D330:H330"/>
    <mergeCell ref="J330:P330"/>
    <mergeCell ref="H332:I332"/>
    <mergeCell ref="S337:S347"/>
    <mergeCell ref="C340:M340"/>
    <mergeCell ref="S348:S357"/>
    <mergeCell ref="C349:C352"/>
    <mergeCell ref="F349:G349"/>
    <mergeCell ref="M349:N349"/>
    <mergeCell ref="F353:G353"/>
    <mergeCell ref="M353:N353"/>
    <mergeCell ref="G355:H355"/>
    <mergeCell ref="I355:O355"/>
    <mergeCell ref="F314:H314"/>
    <mergeCell ref="I314:O314"/>
    <mergeCell ref="D315:E315"/>
    <mergeCell ref="F315:H315"/>
    <mergeCell ref="I315:O315"/>
    <mergeCell ref="D316:E316"/>
    <mergeCell ref="F316:H316"/>
    <mergeCell ref="I316:O316"/>
    <mergeCell ref="S308:S325"/>
    <mergeCell ref="D311:E311"/>
    <mergeCell ref="F311:H311"/>
    <mergeCell ref="D312:E312"/>
    <mergeCell ref="F312:H312"/>
    <mergeCell ref="I312:O312"/>
    <mergeCell ref="D313:E313"/>
    <mergeCell ref="F313:H313"/>
    <mergeCell ref="I313:O313"/>
    <mergeCell ref="D314:E314"/>
    <mergeCell ref="F317:H317"/>
    <mergeCell ref="I317:O317"/>
    <mergeCell ref="C319:E320"/>
    <mergeCell ref="F319:O320"/>
    <mergeCell ref="S294:S307"/>
    <mergeCell ref="C297:M297"/>
    <mergeCell ref="C302:G303"/>
    <mergeCell ref="H302:K303"/>
    <mergeCell ref="L302:O302"/>
    <mergeCell ref="L303:O304"/>
    <mergeCell ref="F305:G305"/>
    <mergeCell ref="H305:O305"/>
    <mergeCell ref="F274:H274"/>
    <mergeCell ref="I274:O274"/>
    <mergeCell ref="C276:E277"/>
    <mergeCell ref="F276:O277"/>
    <mergeCell ref="S283:S290"/>
    <mergeCell ref="E285:H285"/>
    <mergeCell ref="J285:P285"/>
    <mergeCell ref="D287:H287"/>
    <mergeCell ref="J287:P287"/>
    <mergeCell ref="H289:I289"/>
    <mergeCell ref="D273:E273"/>
    <mergeCell ref="F273:H273"/>
    <mergeCell ref="I273:O273"/>
    <mergeCell ref="S264:S282"/>
    <mergeCell ref="D268:E268"/>
    <mergeCell ref="F268:H268"/>
    <mergeCell ref="D269:E269"/>
    <mergeCell ref="F269:H269"/>
    <mergeCell ref="I269:O269"/>
    <mergeCell ref="D270:E270"/>
    <mergeCell ref="F270:H270"/>
    <mergeCell ref="I270:O270"/>
    <mergeCell ref="D271:E271"/>
    <mergeCell ref="L258:O258"/>
    <mergeCell ref="L259:O260"/>
    <mergeCell ref="F261:G261"/>
    <mergeCell ref="H261:O261"/>
    <mergeCell ref="F271:H271"/>
    <mergeCell ref="I271:O271"/>
    <mergeCell ref="D272:E272"/>
    <mergeCell ref="F272:H272"/>
    <mergeCell ref="I272:O272"/>
    <mergeCell ref="D229:E229"/>
    <mergeCell ref="I229:J229"/>
    <mergeCell ref="M229:O229"/>
    <mergeCell ref="S230:S246"/>
    <mergeCell ref="C231:E231"/>
    <mergeCell ref="F231:O231"/>
    <mergeCell ref="E241:H241"/>
    <mergeCell ref="J241:P241"/>
    <mergeCell ref="D243:H243"/>
    <mergeCell ref="J243:P243"/>
    <mergeCell ref="S220:S229"/>
    <mergeCell ref="H245:I245"/>
    <mergeCell ref="D227:E227"/>
    <mergeCell ref="I227:J227"/>
    <mergeCell ref="M227:O227"/>
    <mergeCell ref="D228:E228"/>
    <mergeCell ref="I228:J228"/>
    <mergeCell ref="M228:O228"/>
    <mergeCell ref="D225:E225"/>
    <mergeCell ref="I225:J225"/>
    <mergeCell ref="M225:O225"/>
    <mergeCell ref="D226:E226"/>
    <mergeCell ref="I226:J226"/>
    <mergeCell ref="M226:O226"/>
    <mergeCell ref="D202:E202"/>
    <mergeCell ref="F202:G202"/>
    <mergeCell ref="H202:I202"/>
    <mergeCell ref="J202:K202"/>
    <mergeCell ref="D223:E223"/>
    <mergeCell ref="I223:J223"/>
    <mergeCell ref="M223:O223"/>
    <mergeCell ref="D224:E224"/>
    <mergeCell ref="I224:J224"/>
    <mergeCell ref="M224:O224"/>
    <mergeCell ref="D220:E220"/>
    <mergeCell ref="I220:J220"/>
    <mergeCell ref="M220:O220"/>
    <mergeCell ref="D221:E221"/>
    <mergeCell ref="I221:J221"/>
    <mergeCell ref="M221:O221"/>
    <mergeCell ref="D222:E222"/>
    <mergeCell ref="I222:J222"/>
    <mergeCell ref="M222:O222"/>
    <mergeCell ref="D200:E200"/>
    <mergeCell ref="F200:G200"/>
    <mergeCell ref="H200:I200"/>
    <mergeCell ref="J200:K200"/>
    <mergeCell ref="L200:O200"/>
    <mergeCell ref="C212:F212"/>
    <mergeCell ref="S212:S219"/>
    <mergeCell ref="C215:P215"/>
    <mergeCell ref="C216:P216"/>
    <mergeCell ref="D219:E219"/>
    <mergeCell ref="I219:J219"/>
    <mergeCell ref="M219:O219"/>
    <mergeCell ref="D203:E203"/>
    <mergeCell ref="F203:G203"/>
    <mergeCell ref="H203:I203"/>
    <mergeCell ref="J203:K203"/>
    <mergeCell ref="L203:O203"/>
    <mergeCell ref="C205:E205"/>
    <mergeCell ref="F205:O205"/>
    <mergeCell ref="S192:S211"/>
    <mergeCell ref="D201:E201"/>
    <mergeCell ref="F201:G201"/>
    <mergeCell ref="H201:I201"/>
    <mergeCell ref="J201:K201"/>
    <mergeCell ref="D199:E199"/>
    <mergeCell ref="F199:G199"/>
    <mergeCell ref="C192:F192"/>
    <mergeCell ref="C195:P195"/>
    <mergeCell ref="C196:P196"/>
    <mergeCell ref="D198:E198"/>
    <mergeCell ref="F198:G198"/>
    <mergeCell ref="H198:I198"/>
    <mergeCell ref="J198:K198"/>
    <mergeCell ref="H199:I199"/>
    <mergeCell ref="J199:K199"/>
    <mergeCell ref="L199:O199"/>
    <mergeCell ref="I159:J159"/>
    <mergeCell ref="G162:H162"/>
    <mergeCell ref="I162:J162"/>
    <mergeCell ref="K162:L162"/>
    <mergeCell ref="S178:S191"/>
    <mergeCell ref="C181:M181"/>
    <mergeCell ref="C186:G187"/>
    <mergeCell ref="H186:K187"/>
    <mergeCell ref="L187:O188"/>
    <mergeCell ref="F189:G189"/>
    <mergeCell ref="H189:O189"/>
    <mergeCell ref="E169:H169"/>
    <mergeCell ref="J169:P169"/>
    <mergeCell ref="D171:H171"/>
    <mergeCell ref="J171:P171"/>
    <mergeCell ref="H173:I173"/>
    <mergeCell ref="D163:E165"/>
    <mergeCell ref="G163:H163"/>
    <mergeCell ref="I163:J163"/>
    <mergeCell ref="K163:L163"/>
    <mergeCell ref="G165:H165"/>
    <mergeCell ref="I165:J165"/>
    <mergeCell ref="K165:L165"/>
    <mergeCell ref="M165:O165"/>
    <mergeCell ref="G164:H164"/>
    <mergeCell ref="M163:O163"/>
    <mergeCell ref="D160:E162"/>
    <mergeCell ref="G160:H160"/>
    <mergeCell ref="I160:J160"/>
    <mergeCell ref="K160:L160"/>
    <mergeCell ref="M160:O160"/>
    <mergeCell ref="G161:H161"/>
    <mergeCell ref="I161:J161"/>
    <mergeCell ref="K161:L161"/>
    <mergeCell ref="I164:J164"/>
    <mergeCell ref="K164:L164"/>
    <mergeCell ref="M164:O164"/>
    <mergeCell ref="J144:L144"/>
    <mergeCell ref="M144:O144"/>
    <mergeCell ref="E145:O145"/>
    <mergeCell ref="H147:I147"/>
    <mergeCell ref="J147:O147"/>
    <mergeCell ref="H149:I149"/>
    <mergeCell ref="J149:O149"/>
    <mergeCell ref="H153:I153"/>
    <mergeCell ref="J153:O153"/>
    <mergeCell ref="J135:L135"/>
    <mergeCell ref="M135:O135"/>
    <mergeCell ref="H137:I138"/>
    <mergeCell ref="H141:I141"/>
    <mergeCell ref="J141:O141"/>
    <mergeCell ref="S125:S133"/>
    <mergeCell ref="J126:L126"/>
    <mergeCell ref="M126:O126"/>
    <mergeCell ref="H128:I129"/>
    <mergeCell ref="H132:I132"/>
    <mergeCell ref="J132:O132"/>
    <mergeCell ref="C118:C124"/>
    <mergeCell ref="D119:G120"/>
    <mergeCell ref="H120:M120"/>
    <mergeCell ref="H121:M121"/>
    <mergeCell ref="F123:G123"/>
    <mergeCell ref="H123:M123"/>
    <mergeCell ref="S104:S116"/>
    <mergeCell ref="J105:L105"/>
    <mergeCell ref="M105:O105"/>
    <mergeCell ref="E106:O106"/>
    <mergeCell ref="H108:I108"/>
    <mergeCell ref="J108:O108"/>
    <mergeCell ref="H110:I110"/>
    <mergeCell ref="J110:O110"/>
    <mergeCell ref="H114:I114"/>
    <mergeCell ref="J114:O114"/>
    <mergeCell ref="G55:H57"/>
    <mergeCell ref="I55:O60"/>
    <mergeCell ref="O64:Q64"/>
    <mergeCell ref="S95:S103"/>
    <mergeCell ref="J96:L96"/>
    <mergeCell ref="M96:O96"/>
    <mergeCell ref="H98:I99"/>
    <mergeCell ref="H102:I102"/>
    <mergeCell ref="J102:O102"/>
    <mergeCell ref="S86:S94"/>
    <mergeCell ref="J87:L87"/>
    <mergeCell ref="M87:O87"/>
    <mergeCell ref="H89:I90"/>
    <mergeCell ref="H93:I93"/>
    <mergeCell ref="J93:O93"/>
    <mergeCell ref="D37:E37"/>
    <mergeCell ref="F37:G37"/>
    <mergeCell ref="H37:I37"/>
    <mergeCell ref="J37:K37"/>
    <mergeCell ref="S78:S85"/>
    <mergeCell ref="C79:C85"/>
    <mergeCell ref="D80:G81"/>
    <mergeCell ref="H81:M81"/>
    <mergeCell ref="H82:M82"/>
    <mergeCell ref="F84:G84"/>
    <mergeCell ref="H84:M84"/>
    <mergeCell ref="C57:D57"/>
    <mergeCell ref="E57:F57"/>
    <mergeCell ref="E58:F58"/>
    <mergeCell ref="E59:F59"/>
    <mergeCell ref="E60:F60"/>
    <mergeCell ref="S66:S77"/>
    <mergeCell ref="C69:M69"/>
    <mergeCell ref="C72:P72"/>
    <mergeCell ref="C73:O73"/>
    <mergeCell ref="C74:D74"/>
    <mergeCell ref="S43:S62"/>
    <mergeCell ref="C55:D55"/>
    <mergeCell ref="E55:F55"/>
    <mergeCell ref="D40:E40"/>
    <mergeCell ref="F40:G40"/>
    <mergeCell ref="H40:I40"/>
    <mergeCell ref="J40:K40"/>
    <mergeCell ref="N40:O40"/>
    <mergeCell ref="N3:Q3"/>
    <mergeCell ref="O21:Q21"/>
    <mergeCell ref="C34:C36"/>
    <mergeCell ref="D35:E35"/>
    <mergeCell ref="F35:G35"/>
    <mergeCell ref="H35:I35"/>
    <mergeCell ref="J35:K35"/>
    <mergeCell ref="N35:O35"/>
    <mergeCell ref="D39:E39"/>
    <mergeCell ref="F39:G39"/>
    <mergeCell ref="H39:I39"/>
    <mergeCell ref="J39:K39"/>
    <mergeCell ref="N39:O39"/>
    <mergeCell ref="N37:O37"/>
    <mergeCell ref="D38:E38"/>
    <mergeCell ref="F38:G38"/>
    <mergeCell ref="H38:I38"/>
    <mergeCell ref="J38:K38"/>
    <mergeCell ref="N38:O38"/>
    <mergeCell ref="H6:I6"/>
    <mergeCell ref="J6:K6"/>
    <mergeCell ref="L6:M6"/>
    <mergeCell ref="N6:O6"/>
    <mergeCell ref="D36:E36"/>
    <mergeCell ref="F36:G36"/>
    <mergeCell ref="H36:I36"/>
    <mergeCell ref="J36:K36"/>
    <mergeCell ref="N36:O36"/>
    <mergeCell ref="D30:F30"/>
    <mergeCell ref="H30:K30"/>
    <mergeCell ref="M30:O30"/>
    <mergeCell ref="O176:Q176"/>
    <mergeCell ref="O248:Q248"/>
    <mergeCell ref="O292:Q292"/>
    <mergeCell ref="O335:Q335"/>
    <mergeCell ref="O504:Q504"/>
    <mergeCell ref="O577:Q577"/>
    <mergeCell ref="O643:Q643"/>
    <mergeCell ref="O705:Q705"/>
    <mergeCell ref="S2:S3"/>
    <mergeCell ref="S5:S19"/>
    <mergeCell ref="S23:S42"/>
    <mergeCell ref="S117:S124"/>
    <mergeCell ref="S134:S142"/>
    <mergeCell ref="M162:O162"/>
    <mergeCell ref="M161:O161"/>
    <mergeCell ref="S143:S155"/>
    <mergeCell ref="S167:S174"/>
    <mergeCell ref="S156:S166"/>
    <mergeCell ref="L202:O202"/>
    <mergeCell ref="L201:O201"/>
    <mergeCell ref="S250:S263"/>
    <mergeCell ref="C253:M253"/>
    <mergeCell ref="C258:G259"/>
    <mergeCell ref="H258:K259"/>
  </mergeCells>
  <conditionalFormatting sqref="C716 C728">
    <cfRule type="notContainsBlanks" dxfId="431" priority="5">
      <formula>LEN(TRIM(C716))&gt;0</formula>
    </cfRule>
  </conditionalFormatting>
  <conditionalFormatting sqref="D199:D201 F199:F201 H199:H201 J199:J201">
    <cfRule type="notContainsBlanks" dxfId="429" priority="7">
      <formula>LEN(TRIM(D199))&gt;0</formula>
    </cfRule>
  </conditionalFormatting>
  <conditionalFormatting sqref="E413:N414 E420:N421 E428:N430 E437:N438 E443:N444">
    <cfRule type="notContainsBlanks" dxfId="423" priority="9">
      <formula>LEN(TRIM(E413))&gt;0</formula>
    </cfRule>
  </conditionalFormatting>
  <conditionalFormatting sqref="E458:N459 E465:N466 E473:N475 E482:N483 E488:N489">
    <cfRule type="notContainsBlanks" dxfId="422" priority="8">
      <formula>LEN(TRIM(E458))&gt;0</formula>
    </cfRule>
  </conditionalFormatting>
  <conditionalFormatting sqref="E521:N522 E529:N530 E536:N537 E548:N549 E556:N557 E563:N564">
    <cfRule type="notContainsBlanks" dxfId="421" priority="6">
      <formula>LEN(TRIM(E521))&gt;0</formula>
    </cfRule>
  </conditionalFormatting>
  <conditionalFormatting sqref="F351 H351 K351 M351 O351 F361 H361 K361 M361 O361">
    <cfRule type="notContainsBlanks" dxfId="420" priority="10">
      <formula>LEN(TRIM(F351))&gt;0</formula>
    </cfRule>
  </conditionalFormatting>
  <conditionalFormatting sqref="F605:F610 K605:K610 F613:F614 K613:K614 F617:F618 K617:K618 F621:F622 K621:K622 F625:F627 K625:K627 F630:F631 K630:K631 F634:F636 K634:K636">
    <cfRule type="notContainsBlanks" dxfId="419" priority="3">
      <formula>LEN(TRIM(F605))&gt;0</formula>
    </cfRule>
  </conditionalFormatting>
  <conditionalFormatting sqref="F671:F672 K671:K672 F675:F676 K675:K676 F679 K679 F682 K682 F685:F686 K685:K686 F689:F690 K689:K690 F693:F695 K693:K695 F698 K698">
    <cfRule type="notContainsBlanks" dxfId="418" priority="4">
      <formula>LEN(TRIM(F671))&gt;0</formula>
    </cfRule>
  </conditionalFormatting>
  <conditionalFormatting sqref="G89 J89:N89 G91">
    <cfRule type="expression" dxfId="417" priority="16">
      <formula>OR($O$81=1,$O$81=3)</formula>
    </cfRule>
  </conditionalFormatting>
  <conditionalFormatting sqref="G98 J98:N98 G100">
    <cfRule type="expression" dxfId="416" priority="15">
      <formula>OR($O$81=1,$O$81=2)</formula>
    </cfRule>
  </conditionalFormatting>
  <conditionalFormatting sqref="G128 J128:N128 G130">
    <cfRule type="expression" dxfId="415" priority="14">
      <formula>OR($O$120=1,$O$120=3)</formula>
    </cfRule>
  </conditionalFormatting>
  <conditionalFormatting sqref="G137 J137:N137 G139">
    <cfRule type="expression" dxfId="414" priority="13">
      <formula>OR($O$120=1,$O$120=2)</formula>
    </cfRule>
  </conditionalFormatting>
  <conditionalFormatting sqref="G157 H81:M81 G89 J89:N89 G91 G98 J98:N98 G100 H120:M120 G128 J128:N128 G130 G137 J137:N137 G139">
    <cfRule type="notContainsBlanks" dxfId="413" priority="12">
      <formula>LEN(TRIM(G81))&gt;0</formula>
    </cfRule>
  </conditionalFormatting>
  <conditionalFormatting sqref="G157">
    <cfRule type="expression" dxfId="412" priority="1">
      <formula>$C$159="Il n'est pas nécessaire de remplir cette section pour les Régies."</formula>
    </cfRule>
  </conditionalFormatting>
  <conditionalFormatting sqref="H186 D220:J222 H258 F269:H273 H302 F312:H316">
    <cfRule type="notContainsBlanks" dxfId="411" priority="11">
      <formula>LEN(TRIM(D186))&gt;0</formula>
    </cfRule>
  </conditionalFormatting>
  <conditionalFormatting sqref="I169 I171 I241 I243 I285 I287 I328 I330 I369 I371 I497 I499 I570 I572">
    <cfRule type="containsText" dxfId="410" priority="19" operator="containsText" text="Complété">
      <formula>NOT(ISERROR(SEARCH("Complété",I169)))</formula>
    </cfRule>
    <cfRule type="containsText" dxfId="409" priority="20" operator="containsText" text="À compléter">
      <formula>NOT(ISERROR(SEARCH("À compléter",I169)))</formula>
    </cfRule>
  </conditionalFormatting>
  <conditionalFormatting sqref="O24 O45 O67 O179 O251 O295 O338 O375 O507 O580 O646">
    <cfRule type="containsText" dxfId="408" priority="21" operator="containsText" text="Complété">
      <formula>NOT(ISERROR(SEARCH("Complété",O24)))</formula>
    </cfRule>
    <cfRule type="containsText" dxfId="407" priority="22" operator="containsText" text="À compléter">
      <formula>NOT(ISERROR(SEARCH("À compléter",O24)))</formula>
    </cfRule>
  </conditionalFormatting>
  <dataValidations count="1">
    <dataValidation allowBlank="1" showInputMessage="1" showErrorMessage="1" promptTitle="Explications: " prompt="Indiquer le total des coûts additionnels à planifier sur la ligne rose. Ce coût peut être un montant global ou l'addition des coûts inscrits sur les lignes jaunes facultatives, qui permettent de détailler ces coûts additionnels (plus de détails dans AIDE)" sqref="D414 D438 D421 D430 D444 D459 D466 D475 D483 D489" xr:uid="{00000000-0002-0000-0900-000000000000}"/>
  </dataValidations>
  <hyperlinks>
    <hyperlink ref="C16" location="'FORMULAIRE PGA Eaux usées'!A577" display="Partie 7A" xr:uid="{00000000-0004-0000-0900-000000000000}"/>
    <hyperlink ref="C8" location="'FORMULAIRE PGA Eaux usées'!A21" display="Partie 1" xr:uid="{00000000-0004-0000-0900-000001000000}"/>
    <hyperlink ref="C9" location="'FORMULAIRE PGA Eaux usées'!A64" display="Partie 2" xr:uid="{00000000-0004-0000-0900-000002000000}"/>
    <hyperlink ref="C10" location="'FORMULAIRE PGA Eaux usées'!A176" display="Partie 3" xr:uid="{00000000-0004-0000-0900-000003000000}"/>
    <hyperlink ref="C12" location="'FORMULAIRE PGA Eaux usées'!A292" display="Partie 4B" xr:uid="{00000000-0004-0000-0900-000004000000}"/>
    <hyperlink ref="H173:I173" location="'SOMMAIRE PGA Eaux usées'!B8" display="Voir le sommaire du portrait des actifs" xr:uid="{00000000-0004-0000-0900-000005000000}"/>
    <hyperlink ref="H245:I245" location="'SOMMAIRE PGA Eaux usées'!B36" display="Voir le sommaire niveaux de service" xr:uid="{00000000-0004-0000-0900-000006000000}"/>
    <hyperlink ref="C13" location="'FORMULAIRE PGA Eaux usées'!A335" display="Partie 5A" xr:uid="{00000000-0004-0000-0900-000007000000}"/>
    <hyperlink ref="C15" location="'FORMULAIRE PGA Eaux usées'!A504" display="Partie 6" xr:uid="{00000000-0004-0000-0900-000008000000}"/>
    <hyperlink ref="C11" location="'FORMULAIRE PGA Eaux usées'!A248" display="Partie 4A" xr:uid="{00000000-0004-0000-0900-000009000000}"/>
    <hyperlink ref="C14" location="'FORMULAIRE PGA Eaux usées'!A375" display="Partie 5B" xr:uid="{00000000-0004-0000-0900-00000A000000}"/>
    <hyperlink ref="C17" location="'FORMULAIRE PGA Eaux usées'!A643" display="Partie 7B" xr:uid="{00000000-0004-0000-0900-00000B000000}"/>
    <hyperlink ref="H332:I332" location="'SOMMAIRE PGA Eaux usées'!AT54" display="Voir le sommaire de la demande à venir" xr:uid="{00000000-0004-0000-0900-00000C000000}"/>
    <hyperlink ref="H289:I289" location="'SOMMAIRE PGA Eaux usées'!B54" display="Voir le sommaire pour les risques" xr:uid="{00000000-0004-0000-0900-00000D000000}"/>
    <hyperlink ref="H501:I501" location="'SOMMAIRE PGA Eaux usées'!B78" display="Voir le sommaire des prévisions" xr:uid="{00000000-0004-0000-0900-00000E000000}"/>
    <hyperlink ref="H574:I574" location="'SOMMAIRE PGA Eaux usées'!B119" display="Voir le sommaire du financement" xr:uid="{00000000-0004-0000-0900-00000F000000}"/>
    <hyperlink ref="H640:I640" location="'SOMMAIRE PGA Eaux usées'!AT135" display="Voir le sommaire du niveau de confiance" xr:uid="{00000000-0004-0000-0900-000010000000}"/>
    <hyperlink ref="H702:I702" location="'SOMMAIRE PGA Eaux usées'!B135" display="Voir le sommaire du niveau de progression" xr:uid="{00000000-0004-0000-0900-000011000000}"/>
    <hyperlink ref="J169:P169" location="'FORMULAIRE PGA Eaux usées'!A604" display="Aller à la partie 7 pour déterminer maintenant le niveau de confiance de votre municipalité pour cette partie du PGA" xr:uid="{00000000-0004-0000-0900-000012000000}"/>
    <hyperlink ref="J171:P171" location="'FORMULAIRE PGA Eaux usées'!A670" display="Aller à la partie 7 pour déterminer maintenant le niveau de progression de votre municipalité pour cette partie du PGA" xr:uid="{00000000-0004-0000-0900-000013000000}"/>
    <hyperlink ref="J241:P241" location="'FORMULAIRE PGA Eaux usées'!A612" display="Aller à la partie 7 pour déterminer maintenant le niveau de confiance de votre municipalité pour cette partie du PGA" xr:uid="{00000000-0004-0000-0900-000014000000}"/>
    <hyperlink ref="J328:P328" location="'FORMULAIRE PGA Eaux usées'!A620" display="Aller à la partie 7 pour déterminer maintenant le niveau de confiance de votre municipalité pour cette partie du PGA" xr:uid="{00000000-0004-0000-0900-000016000000}"/>
    <hyperlink ref="J330:P330" location="'FORMULAIRE PGA Eaux usées'!A681" display="Aller à la partie 7 pour déterminer maintenant le niveau de progression de votre municipalité pour cette partie du PGA" xr:uid="{00000000-0004-0000-0900-000017000000}"/>
    <hyperlink ref="J285:P285" location="'FORMULAIRE PGA Eaux usées'!A616" display="Aller à la partie 7 pour déterminer maintenant le niveau de confiance de votre municipalité pour cette partie du PGA" xr:uid="{00000000-0004-0000-0900-000018000000}"/>
    <hyperlink ref="J287:P287" location="'FORMULAIRE PGA Eaux usées'!A678" display="Aller à la partie 7 pour déterminer maintenant le niveau de progression de votre municipalité pour cette partie du PGA" xr:uid="{00000000-0004-0000-0900-000019000000}"/>
    <hyperlink ref="J369:P369" location="'FORMULAIRE PGA Eaux usées'!A624" display="Aller à la partie 7 pour déterminer maintenant le niveau de confiance de votre municipalité pour cette partie du PGA" xr:uid="{00000000-0004-0000-0900-00001A000000}"/>
    <hyperlink ref="J371:P371" location="'FORMULAIRE PGA Eaux usées'!A684" display="Aller à la partie 7 pour déterminer maintenant le niveau de progression de votre municipalité pour cette partie du PGA" xr:uid="{00000000-0004-0000-0900-00001B000000}"/>
    <hyperlink ref="J497:P497" location="'FORMULAIRE PGA Eaux usées'!A624" display="Aller à la partie 7 pour déterminer maintenant le niveau de confiance de votre municipalité pour cette partie du PGA" xr:uid="{00000000-0004-0000-0900-00001C000000}"/>
    <hyperlink ref="J499:P499" location="'FORMULAIRE PGA Eaux usées'!A684" display="Aller à la partie 7 pour déterminer maintenant le niveau de progression de votre municipalité pour cette partie du PGA" xr:uid="{00000000-0004-0000-0900-00001D000000}"/>
    <hyperlink ref="J570:P570" location="'FORMULAIRE PGA Eaux usées'!A633" display="Aller à la partie 7 pour déterminer maintenant le niveau de confiance de votre municipalité pour cette partie du PGA" xr:uid="{00000000-0004-0000-0900-00001E000000}"/>
    <hyperlink ref="J572:P572" location="'FORMULAIRE PGA Eaux usées'!A692" display="Aller à la partie 7 pour déterminer maintenant le niveau de progression de votre municipalité pour cette partie du PGA" xr:uid="{00000000-0004-0000-0900-00001F000000}"/>
    <hyperlink ref="C604" location="'FORMULAIRE PGA Eaux usées'!A64" display="PORTRAIT DES ACTIFS" xr:uid="{00000000-0004-0000-0900-000020000000}"/>
    <hyperlink ref="C612" location="'FORMULAIRE PGA Eaux usées'!A176" display="NIVEAUX DE SERVICE" xr:uid="{00000000-0004-0000-0900-000021000000}"/>
    <hyperlink ref="C620" location="'FORMULAIRE PGA Eaux usées'!A292" display="DEMANDE À VENIR" xr:uid="{00000000-0004-0000-0900-000022000000}"/>
    <hyperlink ref="C616" location="'FORMULAIRE PGA Eaux usées'!A248" display="GESTION DES RISQUES" xr:uid="{00000000-0004-0000-0900-000023000000}"/>
    <hyperlink ref="C624" location="'FORMULAIRE PGA Eaux usées'!A375" display="CYCLE DE VIE - IMMOBILISATIONS" xr:uid="{00000000-0004-0000-0900-000024000000}"/>
    <hyperlink ref="C629" location="'FORMULAIRE PGA Eaux usées'!A375" display="CYCLE DE VIE - FONCTIONNEMENT" xr:uid="{00000000-0004-0000-0900-000025000000}"/>
    <hyperlink ref="C633" location="'FORMULAIRE PGA Eaux usées'!A504" display="RÉSUMÉ FINANCIER" xr:uid="{00000000-0004-0000-0900-000026000000}"/>
    <hyperlink ref="C670" location="'FORMULAIRE PGA Eaux usées'!A64" display="PORTRAIT DES ACTIFS" xr:uid="{00000000-0004-0000-0900-000027000000}"/>
    <hyperlink ref="C674" location="'FORMULAIRE PGA Eaux usées'!A176" display="NIVEAUX DE SERVICE" xr:uid="{00000000-0004-0000-0900-000028000000}"/>
    <hyperlink ref="C681" location="'FORMULAIRE PGA Eaux usées'!A292" display="DEMANDE À VENIR" xr:uid="{00000000-0004-0000-0900-000029000000}"/>
    <hyperlink ref="C678" location="'FORMULAIRE PGA Eaux usées'!A248" display="GESTION DES RISQUES" xr:uid="{00000000-0004-0000-0900-00002A000000}"/>
    <hyperlink ref="C684" location="'FORMULAIRE PGA Eaux usées'!A375" display="CYCLE DE VIE - IMMOBILISATIONS" xr:uid="{00000000-0004-0000-0900-00002B000000}"/>
    <hyperlink ref="C688" location="'FORMULAIRE PGA Eaux usées'!A375" display="CYCLE DE VIE - FONCTIONNEMENT" xr:uid="{00000000-0004-0000-0900-00002C000000}"/>
    <hyperlink ref="C692" location="'FORMULAIRE PGA Eaux usées'!A504" display="RÉSUMÉ FINANCIER" xr:uid="{00000000-0004-0000-0900-00002D000000}"/>
    <hyperlink ref="C697" location="'FORMULAIRE PGA Eaux usées'!A577" display="AMÉLIORATION ET SUIVI" xr:uid="{00000000-0004-0000-0900-00002E000000}"/>
    <hyperlink ref="C18" location="'FORMULAIRE PGA Eaux usées'!A705" display="Partie 8" xr:uid="{00000000-0004-0000-0900-00002F000000}"/>
    <hyperlink ref="O21:Q21" location="AIDE!A21" display="AIDE" xr:uid="{00000000-0004-0000-0900-000030000000}"/>
    <hyperlink ref="O64:Q64" location="AIDE!A47" display="AIDE" xr:uid="{00000000-0004-0000-0900-000031000000}"/>
    <hyperlink ref="O176:Q176" location="AIDE!A87" display="AIDE" xr:uid="{00000000-0004-0000-0900-000032000000}"/>
    <hyperlink ref="O248:Q248" location="AIDE!A137" display="AIDE" xr:uid="{00000000-0004-0000-0900-000033000000}"/>
    <hyperlink ref="O292:Q292" location="AIDE!A137" display="AIDE" xr:uid="{00000000-0004-0000-0900-000034000000}"/>
    <hyperlink ref="O335:Q335" location="AIDE!A173" display="AIDE" xr:uid="{00000000-0004-0000-0900-000035000000}"/>
    <hyperlink ref="O504:Q504" location="AIDE!A216" display="AIDE" xr:uid="{00000000-0004-0000-0900-000036000000}"/>
    <hyperlink ref="O577:Q577" location="AIDE!A236" display="AIDE" xr:uid="{00000000-0004-0000-0900-000037000000}"/>
    <hyperlink ref="O643:Q643" location="AIDE!A236" display="AIDE" xr:uid="{00000000-0004-0000-0900-000038000000}"/>
    <hyperlink ref="O705:Q705" location="AIDE!A267" display="AIDE" xr:uid="{00000000-0004-0000-0900-000039000000}"/>
    <hyperlink ref="J243:P243" location="'FORMULAIRE PGA Eaux usées'!A674" display="Aller à la partie 7 pour déterminer maintenant le niveau de progression de votre municipalité pour cette partie du PGA" xr:uid="{00000000-0004-0000-0900-000015000000}"/>
  </hyperlinks>
  <pageMargins left="0.82677165354330717" right="0.62992125984251968" top="0.47244094488188981" bottom="0.47244094488188981" header="0.31496062992125984" footer="0.31496062992125984"/>
  <pageSetup scale="54" fitToHeight="0" orientation="landscape" r:id="rId1"/>
  <headerFooter>
    <oddFooter>&amp;L&amp;K08-040Version 1.0    © CERIU, 2023&amp;R&amp;K08-038FORMULAIRE PGA Eaux usées
  Page &amp;P / &amp;N</oddFooter>
  </headerFooter>
  <rowBreaks count="17" manualBreakCount="17">
    <brk id="63" max="16383" man="1"/>
    <brk id="116" max="16383" man="1"/>
    <brk id="175" max="16383" man="1"/>
    <brk id="211" max="16383" man="1"/>
    <brk id="247" max="16383" man="1"/>
    <brk id="291" max="16383" man="1"/>
    <brk id="334" max="16383" man="1"/>
    <brk id="373" max="16383" man="1"/>
    <brk id="405" max="16383" man="1"/>
    <brk id="450" max="17" man="1"/>
    <brk id="503" max="16383" man="1"/>
    <brk id="541" max="16383" man="1"/>
    <brk id="576" max="16383" man="1"/>
    <brk id="598" max="16383" man="1"/>
    <brk id="642" max="16383" man="1"/>
    <brk id="664" max="16383" man="1"/>
    <brk id="704" max="16383" man="1"/>
  </rowBreaks>
  <colBreaks count="1" manualBreakCount="1">
    <brk id="1" max="729" man="1"/>
  </colBreaks>
  <extLst>
    <ext xmlns:x14="http://schemas.microsoft.com/office/spreadsheetml/2009/9/main" uri="{78C0D931-6437-407d-A8EE-F0AAD7539E65}">
      <x14:conditionalFormattings>
        <x14:conditionalFormatting xmlns:xm="http://schemas.microsoft.com/office/excel/2006/main">
          <x14:cfRule type="notContainsBlanks" priority="17" id="{08AC2E59-0421-4C64-8142-8764D73D0499}">
            <xm:f>LEN(TRIM(IDENTIFICATION!D31))&gt;0</xm:f>
            <x14:dxf>
              <fill>
                <patternFill>
                  <bgColor theme="9" tint="0.59996337778862885"/>
                </patternFill>
              </fill>
            </x14:dxf>
          </x14:cfRule>
          <xm:sqref>D30 M30</xm:sqref>
        </x14:conditionalFormatting>
        <x14:conditionalFormatting xmlns:xm="http://schemas.microsoft.com/office/excel/2006/main">
          <x14:cfRule type="notContainsBlanks" priority="23" id="{838002AE-C6B4-4867-A895-3F846D72DCF5}">
            <xm:f>LEN(TRIM(IDENTIFICATION!E49))&gt;0</xm:f>
            <x14:dxf>
              <fill>
                <patternFill>
                  <bgColor theme="9" tint="0.59996337778862885"/>
                </patternFill>
              </fill>
            </x14:dxf>
          </x14:cfRule>
          <xm:sqref>E51 E53</xm:sqref>
        </x14:conditionalFormatting>
        <x14:conditionalFormatting xmlns:xm="http://schemas.microsoft.com/office/excel/2006/main">
          <x14:cfRule type="notContainsBlanks" priority="3642" id="{DD66703D-DB79-42A8-A9D0-2DBF7409A768}">
            <xm:f>LEN(TRIM(IDENTIFICATION!F55))&gt;0</xm:f>
            <x14:dxf>
              <fill>
                <patternFill>
                  <bgColor theme="9" tint="0.59996337778862885"/>
                </patternFill>
              </fill>
            </x14:dxf>
          </x14:cfRule>
          <xm:sqref>E55</xm:sqref>
        </x14:conditionalFormatting>
        <x14:conditionalFormatting xmlns:xm="http://schemas.microsoft.com/office/excel/2006/main">
          <x14:cfRule type="notContainsBlanks" priority="3643" id="{DD66703D-DB79-42A8-A9D0-2DBF7409A768}">
            <xm:f>LEN(TRIM(IDENTIFICATION!F59))&gt;0</xm:f>
            <x14:dxf>
              <fill>
                <patternFill>
                  <bgColor theme="9" tint="0.59996337778862885"/>
                </patternFill>
              </fill>
            </x14:dxf>
          </x14:cfRule>
          <xm:sqref>E57</xm:sqref>
        </x14:conditionalFormatting>
        <x14:conditionalFormatting xmlns:xm="http://schemas.microsoft.com/office/excel/2006/main">
          <x14:cfRule type="notContainsBlanks" priority="3982" id="{DD66703D-DB79-42A8-A9D0-2DBF7409A768}">
            <xm:f>LEN(TRIM(IDENTIFICATION!F67))&gt;0</xm:f>
            <x14:dxf>
              <fill>
                <patternFill>
                  <bgColor theme="9" tint="0.59996337778862885"/>
                </patternFill>
              </fill>
            </x14:dxf>
          </x14:cfRule>
          <xm:sqref>E58</xm:sqref>
        </x14:conditionalFormatting>
        <x14:conditionalFormatting xmlns:xm="http://schemas.microsoft.com/office/excel/2006/main">
          <x14:cfRule type="notContainsBlanks" priority="2964" id="{DD66703D-DB79-42A8-A9D0-2DBF7409A768}">
            <xm:f>LEN(TRIM(IDENTIFICATION!F69))&gt;0</xm:f>
            <x14:dxf>
              <fill>
                <patternFill>
                  <bgColor theme="9" tint="0.59996337778862885"/>
                </patternFill>
              </fill>
            </x14:dxf>
          </x14:cfRule>
          <xm:sqref>E59:E60</xm:sqref>
        </x14:conditionalFormatting>
      </x14:conditionalFormattings>
    </ext>
    <ext xmlns:x14="http://schemas.microsoft.com/office/spreadsheetml/2009/9/main" uri="{CCE6A557-97BC-4b89-ADB6-D9C93CAAB3DF}">
      <x14:dataValidations xmlns:xm="http://schemas.microsoft.com/office/excel/2006/main" count="19">
        <x14:dataValidation type="list" allowBlank="1" showInputMessage="1" showErrorMessage="1" xr:uid="{00000000-0002-0000-0900-000001000000}">
          <x14:formula1>
            <xm:f>'MENU DÉROULANT'!$E$113:$E$117</xm:f>
          </x14:formula1>
          <xm:sqref>F675:F676 K698 F698 K693:K695 F693:F695 K689:K690 F689:F690 K685:K686 F685:F686 K682 F682 K679 F679 K675:K676</xm:sqref>
        </x14:dataValidation>
        <x14:dataValidation type="list" allowBlank="1" showInputMessage="1" showErrorMessage="1" xr:uid="{00000000-0002-0000-0900-000002000000}">
          <x14:formula1>
            <xm:f>'MENU DÉROULANT'!$G$79:$G$80</xm:f>
          </x14:formula1>
          <xm:sqref>H199:I203</xm:sqref>
        </x14:dataValidation>
        <x14:dataValidation type="list" allowBlank="1" showInputMessage="1" showErrorMessage="1" xr:uid="{00000000-0002-0000-0900-000003000000}">
          <x14:formula1>
            <xm:f>'MENU DÉROULANT'!$C$95:$C$97</xm:f>
          </x14:formula1>
          <xm:sqref>H302:K303</xm:sqref>
        </x14:dataValidation>
        <x14:dataValidation type="list" allowBlank="1" showInputMessage="1" showErrorMessage="1" xr:uid="{00000000-0002-0000-0900-000004000000}">
          <x14:formula1>
            <xm:f>'MENU DÉROULANT'!$C$99:$C$103</xm:f>
          </x14:formula1>
          <xm:sqref>F312:H317</xm:sqref>
        </x14:dataValidation>
        <x14:dataValidation type="list" allowBlank="1" showInputMessage="1" showErrorMessage="1" xr:uid="{00000000-0002-0000-0900-000005000000}">
          <x14:formula1>
            <xm:f>'MENU DÉROULANT'!$C$84:$C$86</xm:f>
          </x14:formula1>
          <xm:sqref>H258:K259</xm:sqref>
        </x14:dataValidation>
        <x14:dataValidation type="list" allowBlank="1" showInputMessage="1" showErrorMessage="1" xr:uid="{00000000-0002-0000-0900-000006000000}">
          <x14:formula1>
            <xm:f>'MENU DÉROULANT'!$C$71:$C$73</xm:f>
          </x14:formula1>
          <xm:sqref>H186:K187</xm:sqref>
        </x14:dataValidation>
        <x14:dataValidation type="list" allowBlank="1" showInputMessage="1" showErrorMessage="1" xr:uid="{00000000-0002-0000-0900-000007000000}">
          <x14:formula1>
            <xm:f>'MENU DÉROULANT'!$F$44:$F$48</xm:f>
          </x14:formula1>
          <xm:sqref>H120:M120</xm:sqref>
        </x14:dataValidation>
        <x14:dataValidation type="list" allowBlank="1" showInputMessage="1" showErrorMessage="1" xr:uid="{00000000-0002-0000-0900-000008000000}">
          <x14:formula1>
            <xm:f>'MENU DÉROULANT'!$D$113:$D$118</xm:f>
          </x14:formula1>
          <xm:sqref>F605:F610 K605:K610</xm:sqref>
        </x14:dataValidation>
        <x14:dataValidation type="list" allowBlank="1" showInputMessage="1" showErrorMessage="1" xr:uid="{00000000-0002-0000-0900-000009000000}">
          <x14:formula1>
            <xm:f>'MENU DÉROULANT'!$C$50:$C$51</xm:f>
          </x14:formula1>
          <xm:sqref>G157</xm:sqref>
        </x14:dataValidation>
        <x14:dataValidation type="list" allowBlank="1" showInputMessage="1" showErrorMessage="1" xr:uid="{00000000-0002-0000-0900-00000A000000}">
          <x14:formula1>
            <xm:f>'MENU DÉROULANT'!$D$76:$D$77</xm:f>
          </x14:formula1>
          <xm:sqref>G220:G229</xm:sqref>
        </x14:dataValidation>
        <x14:dataValidation type="list" allowBlank="1" showInputMessage="1" showErrorMessage="1" xr:uid="{00000000-0002-0000-0900-00000B000000}">
          <x14:formula1>
            <xm:f>'MENU DÉROULANT'!$C$76:$C$80</xm:f>
          </x14:formula1>
          <xm:sqref>F220:F229</xm:sqref>
        </x14:dataValidation>
        <x14:dataValidation type="list" allowBlank="1" showInputMessage="1" showErrorMessage="1" xr:uid="{00000000-0002-0000-0900-00000C000000}">
          <x14:formula1>
            <xm:f>'MENU DÉROULANT'!$F$76:$F$79</xm:f>
          </x14:formula1>
          <xm:sqref>I220:J229</xm:sqref>
        </x14:dataValidation>
        <x14:dataValidation type="list" allowBlank="1" showInputMessage="1" showErrorMessage="1" xr:uid="{00000000-0002-0000-0900-00000D000000}">
          <x14:formula1>
            <xm:f>'MENU DÉROULANT'!$C$113:$C$116</xm:f>
          </x14:formula1>
          <xm:sqref>H605:H610 M698 H698 M693:M695 H693:H695 M689:M690 H689:H690 M685:M686 H685:H686 M682 H682 M679 H679 M675:M676 H675:H676 M671:M672 H671:H672 M634:M636 H634:H636 M630:M631 H630:H631 M625:M627 H625:H627 M621:M622 H621:H622 M617:M618 H617:H618 M613:M614 H613:H614 M605:M610</xm:sqref>
        </x14:dataValidation>
        <x14:dataValidation type="list" allowBlank="1" showInputMessage="1" showErrorMessage="1" xr:uid="{00000000-0002-0000-0900-00000E000000}">
          <x14:formula1>
            <xm:f>'MENU DÉROULANT'!$C$88:$C$91</xm:f>
          </x14:formula1>
          <xm:sqref>F269:H274</xm:sqref>
        </x14:dataValidation>
        <x14:dataValidation type="list" allowBlank="1" showInputMessage="1" showErrorMessage="1" xr:uid="{00000000-0002-0000-0900-00000F000000}">
          <x14:formula1>
            <xm:f>'MENU DÉROULANT'!$E$76:$E$79</xm:f>
          </x14:formula1>
          <xm:sqref>H220:H229</xm:sqref>
        </x14:dataValidation>
        <x14:dataValidation type="list" allowBlank="1" showInputMessage="1" showErrorMessage="1" xr:uid="{00000000-0002-0000-0900-000010000000}">
          <x14:formula1>
            <xm:f>'MENU DÉROULANT'!$E$113:$E$118</xm:f>
          </x14:formula1>
          <xm:sqref>F671:F672 K671:K672</xm:sqref>
        </x14:dataValidation>
        <x14:dataValidation type="list" allowBlank="1" showInputMessage="1" showErrorMessage="1" xr:uid="{00000000-0002-0000-0900-000011000000}">
          <x14:formula1>
            <xm:f>'MENU DÉROULANT'!$D$113:$D$117</xm:f>
          </x14:formula1>
          <xm:sqref>F613:F614 K634:K636 F634:F636 K630:K631 K625:K627 F630:F631 F625:F627 K621:K622 F621:F622 K617:K618 F617:F618 K613:K614</xm:sqref>
        </x14:dataValidation>
        <x14:dataValidation type="list" allowBlank="1" showInputMessage="1" showErrorMessage="1" xr:uid="{00000000-0002-0000-0900-000012000000}">
          <x14:formula1>
            <xm:f>'MENU DÉROULANT'!$C$44:$C$48</xm:f>
          </x14:formula1>
          <xm:sqref>H81:M81</xm:sqref>
        </x14:dataValidation>
        <x14:dataValidation type="list" allowBlank="1" showInputMessage="1" showErrorMessage="1" xr:uid="{00000000-0002-0000-0900-000013000000}">
          <x14:formula1>
            <xm:f>'MENU DÉROULANT'!$F$50:$F$54</xm:f>
          </x14:formula1>
          <xm:sqref>K160:L165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499984740745262"/>
    <pageSetUpPr fitToPage="1"/>
  </sheetPr>
  <dimension ref="A1:Q351"/>
  <sheetViews>
    <sheetView zoomScaleNormal="100" workbookViewId="0">
      <selection activeCell="N14" sqref="N14"/>
    </sheetView>
  </sheetViews>
  <sheetFormatPr baseColWidth="10" defaultColWidth="11.44140625" defaultRowHeight="14.4"/>
  <cols>
    <col min="1" max="1" width="3.6640625" style="55" customWidth="1"/>
    <col min="2" max="2" width="20.44140625" style="28" customWidth="1"/>
    <col min="3" max="3" width="1.5546875" style="28" customWidth="1"/>
    <col min="4" max="4" width="25.5546875" style="28" customWidth="1"/>
    <col min="5" max="5" width="13.44140625" style="28" customWidth="1"/>
    <col min="6" max="15" width="11.6640625" style="28" customWidth="1"/>
    <col min="16" max="16" width="74.33203125" style="28" customWidth="1"/>
    <col min="17" max="17" width="28.44140625" style="28" customWidth="1"/>
    <col min="18" max="16384" width="11.44140625" style="28"/>
  </cols>
  <sheetData>
    <row r="1" spans="2:17" s="55" customFormat="1" ht="9" customHeight="1" thickBot="1"/>
    <row r="2" spans="2:17" s="55" customFormat="1" ht="32.25" customHeight="1">
      <c r="B2" s="1233" t="s">
        <v>829</v>
      </c>
      <c r="C2" s="1234"/>
      <c r="D2" s="1235"/>
      <c r="E2" s="1235"/>
      <c r="F2" s="1235"/>
      <c r="G2" s="1235"/>
      <c r="H2" s="1235"/>
      <c r="I2" s="1235"/>
      <c r="J2" s="1235"/>
      <c r="K2" s="1235"/>
      <c r="L2" s="1235"/>
      <c r="M2" s="1235"/>
      <c r="N2" s="1235"/>
      <c r="O2" s="1235"/>
      <c r="P2" s="1235"/>
      <c r="Q2" s="1236"/>
    </row>
    <row r="3" spans="2:17" s="55" customFormat="1" ht="57.75" customHeight="1">
      <c r="P3" s="2955" t="s">
        <v>2395</v>
      </c>
    </row>
    <row r="4" spans="2:17" ht="31.5" customHeight="1">
      <c r="B4" s="1237" t="s">
        <v>0</v>
      </c>
      <c r="C4" s="1237"/>
      <c r="D4" s="1238"/>
      <c r="E4" s="1238"/>
      <c r="F4" s="1238"/>
      <c r="G4" s="1238"/>
      <c r="H4" s="1238"/>
      <c r="I4" s="1238"/>
      <c r="J4" s="1238"/>
      <c r="K4" s="1238"/>
      <c r="L4" s="1238"/>
      <c r="M4" s="1238"/>
      <c r="N4" s="1238"/>
      <c r="O4" s="1238"/>
      <c r="P4" s="1238"/>
      <c r="Q4" s="1238"/>
    </row>
    <row r="6" spans="2:17" ht="26.25" customHeight="1">
      <c r="B6" s="1239" t="s">
        <v>7</v>
      </c>
      <c r="C6" s="1239"/>
      <c r="D6" s="1239"/>
      <c r="E6" s="1239"/>
      <c r="F6" s="1239"/>
      <c r="G6" s="1239"/>
      <c r="H6" s="1239"/>
      <c r="I6" s="1239"/>
      <c r="J6" s="1239"/>
      <c r="K6" s="1239"/>
      <c r="L6" s="1239"/>
      <c r="M6" s="1239"/>
      <c r="N6" s="1239"/>
      <c r="O6" s="1239"/>
      <c r="P6" s="1239"/>
      <c r="Q6" s="1239"/>
    </row>
    <row r="7" spans="2:17" ht="21">
      <c r="B7" s="1585"/>
      <c r="C7" s="1585"/>
    </row>
    <row r="8" spans="2:17">
      <c r="D8" s="1240" t="str">
        <f>IF(IDENTIFICATION!$D$62='MENU DÉROULANT'!$D$19,"MUNICIPALITÉ :  ",IF(IDENTIFICATION!$D$62='MENU DÉROULANT'!$D$20,"RÉGIE :  ","ORGANISATION :  "))</f>
        <v xml:space="preserve">ORGANISATION :  </v>
      </c>
      <c r="E8" s="1241"/>
      <c r="G8" s="1242" t="str">
        <f>IF(AND(IDENTIFICATION!$D$62='MENU DÉROULANT'!$D$19,IDENTIFICATION!$H$72&lt;&gt;""),IDENTIFICATION!$H$72,IF(AND(IDENTIFICATION!$D$62='MENU DÉROULANT'!$D$20,IDENTIFICATION!$H$81&lt;&gt;""),IDENTIFICATION!$H$81,IF(AND(IDENTIFICATION!$D$62='MENU DÉROULANT'!$D$21,IDENTIFICATION!$H$102&lt;&gt;""),IDENTIFICATION!$H$102,"##")))</f>
        <v>##</v>
      </c>
      <c r="H8" s="1243"/>
      <c r="I8" s="1243"/>
      <c r="J8" s="1243"/>
      <c r="K8" s="1241"/>
      <c r="M8" s="1404"/>
      <c r="N8" s="1346"/>
      <c r="O8" s="2889" t="s">
        <v>2281</v>
      </c>
      <c r="P8" s="2890">
        <f>IDENTIFICATION!$F$126</f>
        <v>0</v>
      </c>
    </row>
    <row r="9" spans="2:17">
      <c r="D9" s="1240" t="str">
        <f>IF(IDENTIFICATION!$D$62='MENU DÉROULANT'!$D$19,"CODE GÉOGRAPHIQUE :  ",IF(IDENTIFICATION!$D$62='MENU DÉROULANT'!$D$20,"CODE DE LA RÉGIE :  ",IF(AND(IDENTIFICATION!$D$62='MENU DÉROULANT'!$D$21,IDENTIFICATION!D102=""),"","CODE DE L'ORGANISATION :  ")))</f>
        <v xml:space="preserve">CODE DE L'ORGANISATION :  </v>
      </c>
      <c r="E9" s="1241"/>
      <c r="G9" s="1242" t="str">
        <f>IF(AND(IDENTIFICATION!$D$62='MENU DÉROULANT'!$D$19,IDENTIFICATION!$D$72&lt;&gt;""),IDENTIFICATION!$D$72,IF(AND(IDENTIFICATION!$D$62='MENU DÉROULANT'!$D$20,IDENTIFICATION!$D$81&lt;&gt;""),IDENTIFICATION!$D$81,IF(AND(IDENTIFICATION!$D$62='MENU DÉROULANT'!$D$21,IDENTIFICATION!$D$102=""),"",IF(AND(IDENTIFICATION!$D$62='MENU DÉROULANT'!$D$21,IDENTIFICATION!$D$102&lt;&gt;""),IDENTIFICATION!$D$102,"##"))))</f>
        <v>##</v>
      </c>
      <c r="H9" s="1243"/>
      <c r="I9" s="1243"/>
      <c r="J9" s="1243"/>
      <c r="K9" s="1241"/>
      <c r="M9" s="104"/>
      <c r="O9" s="1098" t="s">
        <v>2282</v>
      </c>
      <c r="P9" s="2891">
        <f>IDENTIFICATION!$I$126</f>
        <v>0</v>
      </c>
    </row>
    <row r="10" spans="2:17">
      <c r="D10" s="1240" t="str">
        <f>IF(IDENTIFICATION!$D$62='MENU DÉROULANT'!$D$19,"RÉGION ADMINISTRATIVE :  ",IF(IDENTIFICATION!$D$62='MENU DÉROULANT'!$D$20,"RÉGION ADMINISTRATIVE :  ",IF(AND(IDENTIFICATION!$D$62='MENU DÉROULANT'!$D$21,IDENTIFICATION!N102=""),"","RÉGION ADMINISTRATIVE :  ")))</f>
        <v xml:space="preserve">RÉGION ADMINISTRATIVE :  </v>
      </c>
      <c r="E10" s="1241"/>
      <c r="G10" s="1242" t="str">
        <f>IF(AND(IDENTIFICATION!$D$62='MENU DÉROULANT'!$D$19,IDENTIFICATION!$N$72&lt;&gt;""),IDENTIFICATION!$N$72,IF(AND(IDENTIFICATION!$D$62='MENU DÉROULANT'!$D$20,IDENTIFICATION!$N$81&lt;&gt;""),IDENTIFICATION!$N$81,IF(AND(IDENTIFICATION!$D$62='MENU DÉROULANT'!$D$21,IDENTIFICATION!$N$102=""),"",IF(AND(IDENTIFICATION!$D$62='MENU DÉROULANT'!$D$21,IDENTIFICATION!$N$102&lt;&gt;""),IDENTIFICATION!$N$102,"##"))))</f>
        <v>##</v>
      </c>
      <c r="H10" s="1243"/>
      <c r="I10" s="1243"/>
      <c r="J10" s="1243"/>
      <c r="K10" s="1241"/>
      <c r="M10" s="1284"/>
      <c r="N10" s="509"/>
      <c r="O10" s="1411" t="s">
        <v>2283</v>
      </c>
      <c r="P10" s="2892">
        <f>IDENTIFICATION!$L$126</f>
        <v>0</v>
      </c>
    </row>
    <row r="11" spans="2:17">
      <c r="D11" s="1211" t="s">
        <v>4031</v>
      </c>
      <c r="E11" s="1586"/>
      <c r="G11" s="1244" t="str">
        <f>IF(ISBLANK(IDENTIFICATION!$E$116)=TRUE,"##",IDENTIFICATION!$E$116)</f>
        <v>##</v>
      </c>
      <c r="H11" s="1243"/>
      <c r="I11" s="1243"/>
      <c r="J11" s="1243"/>
      <c r="K11" s="1241"/>
      <c r="L11" s="104"/>
      <c r="M11" s="3549" t="s">
        <v>2284</v>
      </c>
      <c r="N11" s="3550"/>
      <c r="O11" s="3550"/>
      <c r="P11" s="3547">
        <f>IDENTIFICATION!$G$142</f>
        <v>0</v>
      </c>
    </row>
    <row r="12" spans="2:17">
      <c r="D12" s="1587"/>
      <c r="E12" s="1588"/>
      <c r="G12" s="1245" t="str">
        <f>IF(IDENTIFICATION!$D$62="","","(")</f>
        <v/>
      </c>
      <c r="H12" s="1246" t="str">
        <f>IF(IDENTIFICATION!$D$62="","",IF(ISBLANK(IDENTIFICATION!$E$118)=TRUE,"##",IDENTIFICATION!$E$118))</f>
        <v/>
      </c>
      <c r="I12" s="1240" t="str">
        <f>IF(IDENTIFICATION!$D$62='MENU DÉROULANT'!$D$19,"  PGA remis par la municipalité)",IF(IDENTIFICATION!$D$62='MENU DÉROULANT'!$D$20,"  PGA remis par la régie)",IF(IDENTIFICATION!$D$62='MENU DÉROULANT'!$D$21,"  PGA réalisé par l'organisation)","")))</f>
        <v/>
      </c>
      <c r="J12" s="1243"/>
      <c r="K12" s="1241"/>
      <c r="L12" s="104"/>
      <c r="M12" s="3551"/>
      <c r="N12" s="3552"/>
      <c r="O12" s="3552"/>
      <c r="P12" s="3548"/>
    </row>
    <row r="13" spans="2:17">
      <c r="D13" s="1240" t="s">
        <v>4030</v>
      </c>
      <c r="E13" s="1241"/>
      <c r="G13" s="1247" t="str">
        <f>IF(ISBLANK(IDENTIFICATION!$H$180)=TRUE,"##",IDENTIFICATION!$H$180)</f>
        <v>##</v>
      </c>
      <c r="H13" s="1243"/>
      <c r="I13" s="1243"/>
      <c r="J13" s="1243"/>
      <c r="K13" s="1241"/>
      <c r="L13" s="104"/>
    </row>
    <row r="14" spans="2:17">
      <c r="O14" s="292" t="s">
        <v>4038</v>
      </c>
      <c r="P14" s="2992" t="str">
        <f>IF(IDENTIFICATION!$D$62='MENU DÉROULANT'!$D$20,"Il n'est pas nécessaire de remplir cette section pour les Régies.","")</f>
        <v/>
      </c>
    </row>
    <row r="16" spans="2:17" ht="31.5" customHeight="1">
      <c r="B16" s="1237" t="s">
        <v>1</v>
      </c>
      <c r="C16" s="1237"/>
      <c r="D16" s="1238"/>
      <c r="E16" s="1238"/>
      <c r="F16" s="1238"/>
      <c r="G16" s="1238"/>
      <c r="H16" s="1238"/>
      <c r="I16" s="1238"/>
      <c r="J16" s="1238"/>
      <c r="K16" s="1238"/>
      <c r="L16" s="1238"/>
      <c r="M16" s="1238"/>
      <c r="N16" s="1238"/>
      <c r="O16" s="1238"/>
      <c r="P16" s="1238"/>
      <c r="Q16" s="1238"/>
    </row>
    <row r="18" spans="1:17" ht="22.5" customHeight="1">
      <c r="B18" s="1239" t="s">
        <v>8</v>
      </c>
      <c r="C18" s="1239"/>
      <c r="D18" s="1239"/>
      <c r="E18" s="1239"/>
      <c r="F18" s="1239"/>
      <c r="G18" s="1239"/>
      <c r="H18" s="1239"/>
      <c r="I18" s="1239"/>
      <c r="J18" s="1239"/>
      <c r="K18" s="1239"/>
      <c r="L18" s="1239"/>
      <c r="M18" s="1239"/>
      <c r="N18" s="1239"/>
      <c r="O18" s="1239"/>
      <c r="P18" s="1239"/>
      <c r="Q18" s="1239"/>
    </row>
    <row r="19" spans="1:17" ht="22.5" customHeight="1">
      <c r="B19" s="1248"/>
      <c r="C19" s="1248"/>
      <c r="D19" s="1248"/>
      <c r="E19" s="1248"/>
      <c r="F19" s="1248"/>
      <c r="G19" s="1248"/>
      <c r="H19" s="1248"/>
      <c r="I19" s="1248"/>
      <c r="J19" s="1248"/>
      <c r="M19" s="1248"/>
      <c r="N19" s="1248"/>
      <c r="O19" s="1248"/>
      <c r="P19" s="1248"/>
      <c r="Q19" s="1248"/>
    </row>
    <row r="20" spans="1:17" s="72" customFormat="1" ht="43.5" customHeight="1">
      <c r="A20" s="82"/>
      <c r="B20" s="1249"/>
      <c r="C20" s="1250"/>
      <c r="D20" s="1251"/>
      <c r="E20" s="1252" t="s">
        <v>22</v>
      </c>
      <c r="F20" s="1253" t="s">
        <v>23</v>
      </c>
      <c r="G20" s="1254" t="s">
        <v>406</v>
      </c>
      <c r="H20" s="1251"/>
      <c r="I20" s="1253" t="s">
        <v>407</v>
      </c>
      <c r="J20" s="1255" t="s">
        <v>24</v>
      </c>
    </row>
    <row r="21" spans="1:17" ht="15" customHeight="1">
      <c r="B21" s="1256"/>
      <c r="C21" s="1257"/>
      <c r="D21" s="1258" t="s">
        <v>830</v>
      </c>
      <c r="E21" s="1259">
        <f>'FORMULAIRE PGA Eaux usées'!G91</f>
        <v>0</v>
      </c>
      <c r="F21" s="1260" t="str">
        <f>IF(G21=0,"Aucun",G21)</f>
        <v>Aucun</v>
      </c>
      <c r="G21" s="1261">
        <f>'FORMULAIRE PGA Eaux usées'!G89</f>
        <v>0</v>
      </c>
      <c r="H21" s="1262"/>
      <c r="I21" s="1263" t="e">
        <f t="shared" ref="I21:I26" si="0">E21/$E$28</f>
        <v>#DIV/0!</v>
      </c>
      <c r="J21" s="363">
        <f>ROUNDDOWN(AVERAGE('FORMULAIRE PGA Eaux usées'!G605,'FORMULAIRE PGA Eaux usées'!G607),0)</f>
        <v>0</v>
      </c>
      <c r="K21" s="2752"/>
      <c r="O21" s="2446"/>
      <c r="P21" s="2534"/>
      <c r="Q21" s="2447"/>
    </row>
    <row r="22" spans="1:17" ht="19.5" customHeight="1">
      <c r="B22" s="1264"/>
      <c r="C22" s="1265"/>
      <c r="D22" s="1266" t="s">
        <v>831</v>
      </c>
      <c r="E22" s="1267">
        <f>'FORMULAIRE PGA Eaux usées'!G100</f>
        <v>0</v>
      </c>
      <c r="F22" s="1268" t="str">
        <f>IF(G22=0,"Aucun",G22)</f>
        <v>Aucun</v>
      </c>
      <c r="G22" s="1269">
        <f>'FORMULAIRE PGA Eaux usées'!G98</f>
        <v>0</v>
      </c>
      <c r="H22" s="1262"/>
      <c r="I22" s="1270" t="e">
        <f t="shared" si="0"/>
        <v>#DIV/0!</v>
      </c>
      <c r="J22" s="1271">
        <f>ROUNDDOWN(AVERAGE('FORMULAIRE PGA Eaux usées'!G606,'FORMULAIRE PGA Eaux usées'!G608),0)</f>
        <v>0</v>
      </c>
      <c r="K22" s="2752"/>
      <c r="O22" s="1296"/>
      <c r="P22" s="2534"/>
    </row>
    <row r="23" spans="1:17" ht="15" customHeight="1">
      <c r="B23" s="1272"/>
      <c r="C23" s="1273"/>
      <c r="D23" s="1274" t="s">
        <v>832</v>
      </c>
      <c r="E23" s="1275">
        <f>'FORMULAIRE PGA Eaux usées'!G112</f>
        <v>0</v>
      </c>
      <c r="F23" s="1276" t="str">
        <f>IF(AND(G23=0,H23=0),"Aucun",CONCATENATE(G23," km; ",H23," ouvrages"))</f>
        <v>Aucun</v>
      </c>
      <c r="G23" s="1286">
        <f>'FORMULAIRE PGA Eaux usées'!G108</f>
        <v>0</v>
      </c>
      <c r="H23" s="1287">
        <f>'FORMULAIRE PGA Eaux usées'!G110</f>
        <v>0</v>
      </c>
      <c r="I23" s="1288" t="e">
        <f t="shared" si="0"/>
        <v>#DIV/0!</v>
      </c>
      <c r="J23" s="2271"/>
      <c r="K23" s="2753"/>
      <c r="O23" s="1296"/>
      <c r="P23" s="2534"/>
    </row>
    <row r="24" spans="1:17" ht="19.5" customHeight="1">
      <c r="B24" s="1256"/>
      <c r="C24" s="1257"/>
      <c r="D24" s="1277" t="s">
        <v>833</v>
      </c>
      <c r="E24" s="1259">
        <f>'FORMULAIRE PGA Eaux usées'!G130</f>
        <v>0</v>
      </c>
      <c r="F24" s="1260" t="str">
        <f>IF(G24=0,"Aucun",G24)</f>
        <v>Aucun</v>
      </c>
      <c r="G24" s="1261">
        <f>'FORMULAIRE PGA Eaux usées'!G128</f>
        <v>0</v>
      </c>
      <c r="H24" s="1262"/>
      <c r="I24" s="1263" t="e">
        <f t="shared" si="0"/>
        <v>#DIV/0!</v>
      </c>
      <c r="J24" s="363">
        <f>ROUNDDOWN(AVERAGE('FORMULAIRE PGA Eaux usées'!L605,'FORMULAIRE PGA Eaux usées'!L607),0)</f>
        <v>0</v>
      </c>
      <c r="K24" s="2753"/>
      <c r="O24" s="2446"/>
    </row>
    <row r="25" spans="1:17" ht="15" customHeight="1">
      <c r="B25" s="1278"/>
      <c r="C25" s="1279"/>
      <c r="D25" s="1280" t="s">
        <v>834</v>
      </c>
      <c r="E25" s="1281">
        <f>'FORMULAIRE PGA Eaux usées'!G139</f>
        <v>0</v>
      </c>
      <c r="F25" s="1282" t="str">
        <f>IF(G25=0,"Aucun",G25)</f>
        <v>Aucun</v>
      </c>
      <c r="G25" s="1269">
        <f>'FORMULAIRE PGA Eaux usées'!G137</f>
        <v>0</v>
      </c>
      <c r="H25" s="1283"/>
      <c r="I25" s="1270" t="e">
        <f t="shared" si="0"/>
        <v>#DIV/0!</v>
      </c>
      <c r="J25" s="1271">
        <f>ROUNDDOWN(AVERAGE('FORMULAIRE PGA Eaux usées'!L606,'FORMULAIRE PGA Eaux usées'!L608),0)</f>
        <v>0</v>
      </c>
      <c r="K25" s="2754"/>
      <c r="O25" s="1296"/>
    </row>
    <row r="26" spans="1:17" ht="19.5" customHeight="1">
      <c r="B26" s="1284"/>
      <c r="C26" s="509"/>
      <c r="D26" s="1274" t="s">
        <v>835</v>
      </c>
      <c r="E26" s="1285">
        <f>'FORMULAIRE PGA Eaux usées'!G151</f>
        <v>0</v>
      </c>
      <c r="F26" s="1276" t="str">
        <f>IF(AND(G26=0,H26=0),"Aucun",CONCATENATE(G26," km; ",H26," ouvrages"))</f>
        <v>Aucun</v>
      </c>
      <c r="G26" s="1286">
        <f>'FORMULAIRE PGA Eaux usées'!G147</f>
        <v>0</v>
      </c>
      <c r="H26" s="1287">
        <f>'FORMULAIRE PGA Eaux usées'!G149</f>
        <v>0</v>
      </c>
      <c r="I26" s="1288" t="e">
        <f t="shared" si="0"/>
        <v>#DIV/0!</v>
      </c>
      <c r="J26" s="2271"/>
      <c r="K26" s="2754"/>
      <c r="O26" s="1296"/>
    </row>
    <row r="27" spans="1:17" ht="15" customHeight="1">
      <c r="D27" s="1289"/>
      <c r="E27" s="1290"/>
      <c r="F27" s="1291"/>
      <c r="G27" s="1292"/>
      <c r="H27" s="1293"/>
      <c r="J27" s="1294" t="s">
        <v>414</v>
      </c>
      <c r="K27" s="2755"/>
      <c r="L27" s="1356" t="s">
        <v>415</v>
      </c>
      <c r="O27" s="1296"/>
    </row>
    <row r="28" spans="1:17" ht="19.5" customHeight="1">
      <c r="D28" s="1289" t="s">
        <v>416</v>
      </c>
      <c r="E28" s="3559">
        <f>SUM(E21:E26)</f>
        <v>0</v>
      </c>
      <c r="F28" s="3559"/>
      <c r="G28" s="1292"/>
      <c r="H28" s="1293"/>
      <c r="I28" s="292" t="s">
        <v>107</v>
      </c>
      <c r="J28" s="363">
        <f>IF(I33=1,0,IF(I33=2,J21,IF(I33=3,J22,ROUNDDOWN(AVERAGE(J21:J22),0))))</f>
        <v>0</v>
      </c>
      <c r="K28" s="2755"/>
      <c r="L28" s="1357" t="s">
        <v>418</v>
      </c>
      <c r="O28" s="1296"/>
    </row>
    <row r="29" spans="1:17" ht="15" customHeight="1">
      <c r="D29" s="1289"/>
      <c r="E29" s="3559"/>
      <c r="F29" s="3559"/>
      <c r="G29" s="1292"/>
      <c r="H29" s="1293"/>
      <c r="I29" s="292" t="s">
        <v>108</v>
      </c>
      <c r="J29" s="1295">
        <f>IF(I41=1,0,IF(I41=2,J24,IF(I41=3,J25,ROUNDDOWN(AVERAGE(J24:J25),0))))</f>
        <v>0</v>
      </c>
      <c r="K29" s="2756"/>
      <c r="L29" s="2294" t="s">
        <v>420</v>
      </c>
      <c r="O29" s="1296"/>
    </row>
    <row r="30" spans="1:17" ht="19.5" customHeight="1">
      <c r="B30" s="1297" t="s">
        <v>421</v>
      </c>
      <c r="C30" s="1297"/>
      <c r="D30" s="1298" t="s">
        <v>422</v>
      </c>
      <c r="E30" s="1299"/>
      <c r="F30" s="1293"/>
      <c r="G30" s="1292"/>
      <c r="H30" s="1293"/>
      <c r="J30" s="1295">
        <f>IF(I33=1,J29,IF(I41=1,J28,ROUNDDOWN(AVERAGE(J28:J29),0)))</f>
        <v>0</v>
      </c>
      <c r="K30" s="2756"/>
      <c r="L30" s="1357" t="s">
        <v>423</v>
      </c>
      <c r="O30" s="1296"/>
    </row>
    <row r="31" spans="1:17" ht="15" customHeight="1">
      <c r="J31" s="1296"/>
      <c r="K31" s="2757"/>
      <c r="O31" s="1296"/>
    </row>
    <row r="32" spans="1:17" ht="15.75" customHeight="1">
      <c r="B32" s="2258" t="s">
        <v>25</v>
      </c>
      <c r="C32" s="2259"/>
      <c r="D32" s="2259"/>
      <c r="E32" s="2260"/>
      <c r="F32" s="2261"/>
      <c r="G32" s="2262"/>
      <c r="H32" s="2261"/>
      <c r="I32" s="2259"/>
      <c r="J32" s="1296"/>
      <c r="K32" s="2757"/>
      <c r="O32" s="1296"/>
    </row>
    <row r="33" spans="2:15" ht="19.5" customHeight="1">
      <c r="B33" s="2263" t="s">
        <v>836</v>
      </c>
      <c r="C33" s="2263"/>
      <c r="D33" s="2264">
        <f>'FORMULAIRE PGA Eaux usées'!H81</f>
        <v>0</v>
      </c>
      <c r="E33" s="2265"/>
      <c r="F33" s="2266"/>
      <c r="G33" s="2267"/>
      <c r="H33" s="2266"/>
      <c r="I33" s="2264">
        <f>IF('FORMULAIRE PGA Eaux usées'!O81="",0,'FORMULAIRE PGA Eaux usées'!O81)</f>
        <v>0</v>
      </c>
      <c r="J33" s="1296"/>
      <c r="K33" s="2448"/>
      <c r="O33" s="1296"/>
    </row>
    <row r="34" spans="2:15" ht="15" customHeight="1">
      <c r="B34" s="2259"/>
      <c r="C34" s="2259"/>
      <c r="D34" s="2268" t="s">
        <v>837</v>
      </c>
      <c r="E34" s="3564" t="str">
        <f>IF(I33=1,"Aucun actif lié au sous-service Collecte dans la municipalité.","")</f>
        <v/>
      </c>
      <c r="F34" s="3564"/>
      <c r="G34" s="3564"/>
      <c r="H34" s="3564"/>
      <c r="I34" s="2259"/>
      <c r="M34" s="1296"/>
      <c r="N34" s="1296"/>
      <c r="O34" s="1296"/>
    </row>
    <row r="35" spans="2:15">
      <c r="B35" s="2269"/>
      <c r="C35" s="2269"/>
      <c r="D35" s="2268"/>
      <c r="E35" s="3564"/>
      <c r="F35" s="3564"/>
      <c r="G35" s="3564"/>
      <c r="H35" s="3564"/>
      <c r="I35" s="2259"/>
      <c r="M35" s="1296"/>
      <c r="N35" s="1296"/>
      <c r="O35" s="1296"/>
    </row>
    <row r="36" spans="2:15" ht="15" customHeight="1">
      <c r="B36" s="2259"/>
      <c r="C36" s="2259"/>
      <c r="D36" s="2268" t="s">
        <v>426</v>
      </c>
      <c r="E36" s="3564" t="str">
        <f>IF(I33=2,"(Aucun actif ponctuel pour Collecte)","")</f>
        <v/>
      </c>
      <c r="F36" s="3564"/>
      <c r="G36" s="3564"/>
      <c r="H36" s="3564"/>
      <c r="I36" s="2259"/>
      <c r="M36" s="1296"/>
      <c r="N36" s="1296"/>
      <c r="O36" s="1296"/>
    </row>
    <row r="37" spans="2:15">
      <c r="B37" s="2269"/>
      <c r="C37" s="2269"/>
      <c r="D37" s="2259"/>
      <c r="E37" s="3564"/>
      <c r="F37" s="3564"/>
      <c r="G37" s="3564"/>
      <c r="H37" s="3564"/>
      <c r="I37" s="2259"/>
      <c r="M37" s="1296"/>
      <c r="N37" s="1296"/>
      <c r="O37" s="1296"/>
    </row>
    <row r="38" spans="2:15" ht="15" customHeight="1">
      <c r="B38" s="2259"/>
      <c r="C38" s="2259"/>
      <c r="D38" s="2268" t="s">
        <v>427</v>
      </c>
      <c r="E38" s="3564" t="str">
        <f>IF(I33=3,"(Aucun actif linéaire pour Collecte)","")</f>
        <v/>
      </c>
      <c r="F38" s="3564"/>
      <c r="G38" s="3564"/>
      <c r="H38" s="3564"/>
      <c r="I38" s="2259"/>
      <c r="M38" s="1296"/>
      <c r="N38" s="1296"/>
      <c r="O38" s="1296"/>
    </row>
    <row r="39" spans="2:15">
      <c r="B39" s="2269"/>
      <c r="C39" s="2269"/>
      <c r="D39" s="2268"/>
      <c r="E39" s="3564"/>
      <c r="F39" s="3564"/>
      <c r="G39" s="3564"/>
      <c r="H39" s="3564"/>
      <c r="I39" s="2259"/>
      <c r="M39" s="1296"/>
      <c r="N39" s="1296"/>
      <c r="O39" s="1296"/>
    </row>
    <row r="40" spans="2:15">
      <c r="B40" s="2269"/>
      <c r="C40" s="2269"/>
      <c r="D40" s="2268"/>
      <c r="E40" s="2270"/>
      <c r="F40" s="2270"/>
      <c r="G40" s="2270"/>
      <c r="H40" s="2270"/>
      <c r="I40" s="2259"/>
      <c r="M40" s="1296"/>
      <c r="N40" s="1296"/>
      <c r="O40" s="1296"/>
    </row>
    <row r="41" spans="2:15" ht="19.5" customHeight="1">
      <c r="B41" s="2263" t="s">
        <v>838</v>
      </c>
      <c r="C41" s="2263"/>
      <c r="D41" s="2264">
        <f>'FORMULAIRE PGA Eaux usées'!H120</f>
        <v>0</v>
      </c>
      <c r="E41" s="2260"/>
      <c r="F41" s="2261"/>
      <c r="G41" s="2262"/>
      <c r="H41" s="2261"/>
      <c r="I41" s="2264">
        <f>IF('FORMULAIRE PGA Eaux usées'!O120="",0,'FORMULAIRE PGA Eaux usées'!O120)</f>
        <v>0</v>
      </c>
      <c r="J41" s="1296"/>
      <c r="M41" s="1296"/>
      <c r="N41" s="1296"/>
      <c r="O41" s="1296"/>
    </row>
    <row r="42" spans="2:15">
      <c r="B42" s="2269"/>
      <c r="C42" s="2269"/>
      <c r="D42" s="2268" t="s">
        <v>839</v>
      </c>
      <c r="E42" s="3564" t="str">
        <f>IF(I41=1,"Aucun actif lié au sous-service Traitement dans la municipalité.","")</f>
        <v/>
      </c>
      <c r="F42" s="3564"/>
      <c r="G42" s="3564"/>
      <c r="H42" s="3564"/>
      <c r="I42" s="2259"/>
      <c r="J42" s="1296"/>
      <c r="M42" s="1296"/>
      <c r="N42" s="1296"/>
      <c r="O42" s="1296"/>
    </row>
    <row r="43" spans="2:15">
      <c r="B43" s="2269"/>
      <c r="C43" s="2269"/>
      <c r="D43" s="2268"/>
      <c r="E43" s="3564"/>
      <c r="F43" s="3564"/>
      <c r="G43" s="3564"/>
      <c r="H43" s="3564"/>
      <c r="I43" s="2259"/>
      <c r="J43" s="1296"/>
      <c r="M43" s="1296"/>
      <c r="N43" s="1296"/>
      <c r="O43" s="1296"/>
    </row>
    <row r="44" spans="2:15">
      <c r="B44" s="2269"/>
      <c r="C44" s="2269"/>
      <c r="D44" s="2268" t="s">
        <v>426</v>
      </c>
      <c r="E44" s="3564" t="str">
        <f>IF(I41=2,"(Aucun actif ponctuel pour Traitement)","")</f>
        <v/>
      </c>
      <c r="F44" s="3564"/>
      <c r="G44" s="3564"/>
      <c r="H44" s="3564"/>
      <c r="I44" s="2259"/>
      <c r="J44" s="1296"/>
      <c r="M44" s="1296"/>
      <c r="N44" s="1296"/>
      <c r="O44" s="1296"/>
    </row>
    <row r="45" spans="2:15">
      <c r="B45" s="2269"/>
      <c r="C45" s="2269"/>
      <c r="D45" s="2259"/>
      <c r="E45" s="3564"/>
      <c r="F45" s="3564"/>
      <c r="G45" s="3564"/>
      <c r="H45" s="3564"/>
      <c r="I45" s="2259"/>
      <c r="J45" s="1296"/>
      <c r="M45" s="1296"/>
      <c r="N45" s="1296"/>
      <c r="O45" s="1296"/>
    </row>
    <row r="46" spans="2:15">
      <c r="B46" s="2269"/>
      <c r="C46" s="2269"/>
      <c r="D46" s="2268" t="s">
        <v>427</v>
      </c>
      <c r="E46" s="3564" t="str">
        <f>IF(I41=3,"(Aucun actif linéaire pour Traitement)","")</f>
        <v/>
      </c>
      <c r="F46" s="3564"/>
      <c r="G46" s="3564"/>
      <c r="H46" s="3564"/>
      <c r="I46" s="2259"/>
      <c r="J46" s="1296"/>
      <c r="M46" s="1296"/>
      <c r="N46" s="1296"/>
      <c r="O46" s="1296"/>
    </row>
    <row r="47" spans="2:15">
      <c r="B47" s="2259"/>
      <c r="C47" s="2259"/>
      <c r="D47" s="2268"/>
      <c r="E47" s="3564"/>
      <c r="F47" s="3564"/>
      <c r="G47" s="3564"/>
      <c r="H47" s="3564"/>
      <c r="I47" s="2259"/>
      <c r="J47" s="1296"/>
      <c r="O47" s="1296"/>
    </row>
    <row r="48" spans="2:15" ht="21" customHeight="1"/>
    <row r="49" spans="1:17" ht="20.25" customHeight="1">
      <c r="E49" s="2759"/>
      <c r="F49" s="2759"/>
    </row>
    <row r="50" spans="1:17" ht="22.5" customHeight="1">
      <c r="B50" s="1239" t="s">
        <v>9</v>
      </c>
      <c r="C50" s="1239"/>
      <c r="D50" s="1239"/>
      <c r="E50" s="1239"/>
      <c r="F50" s="1239"/>
      <c r="G50" s="1239"/>
      <c r="H50" s="1239"/>
      <c r="I50" s="1239"/>
      <c r="J50" s="1239"/>
      <c r="K50" s="1239"/>
      <c r="L50" s="1239"/>
      <c r="M50" s="1239"/>
      <c r="N50" s="1239"/>
      <c r="O50" s="1239"/>
      <c r="P50" s="1239"/>
      <c r="Q50" s="1239"/>
    </row>
    <row r="51" spans="1:17" ht="18">
      <c r="B51" s="1248"/>
      <c r="C51" s="1248"/>
      <c r="D51" s="1248"/>
      <c r="E51" s="1248"/>
      <c r="F51" s="1248"/>
      <c r="G51" s="1248"/>
      <c r="H51" s="1248"/>
      <c r="I51" s="1248"/>
      <c r="J51" s="1248"/>
      <c r="K51" s="1248"/>
      <c r="L51" s="1248"/>
      <c r="M51" s="1248"/>
      <c r="N51" s="1248"/>
      <c r="O51" s="1248"/>
      <c r="P51" s="1248"/>
    </row>
    <row r="52" spans="1:17" ht="24">
      <c r="B52" s="509"/>
      <c r="C52" s="509"/>
      <c r="D52" s="509"/>
      <c r="E52" s="2283" t="s">
        <v>61</v>
      </c>
      <c r="F52" s="2284" t="s">
        <v>62</v>
      </c>
      <c r="G52" s="2284" t="s">
        <v>2290</v>
      </c>
      <c r="H52" s="2284" t="s">
        <v>64</v>
      </c>
      <c r="I52" s="2284" t="s">
        <v>65</v>
      </c>
      <c r="J52" s="2284" t="s">
        <v>66</v>
      </c>
      <c r="K52" s="2285" t="s">
        <v>430</v>
      </c>
      <c r="L52" s="2284" t="s">
        <v>33</v>
      </c>
      <c r="M52" s="2284" t="s">
        <v>431</v>
      </c>
      <c r="N52" s="2284" t="s">
        <v>432</v>
      </c>
    </row>
    <row r="53" spans="1:17" s="308" customFormat="1" ht="22.5" customHeight="1">
      <c r="A53" s="671"/>
      <c r="B53" s="374" t="s">
        <v>107</v>
      </c>
      <c r="C53" s="374"/>
      <c r="D53" s="374" t="s">
        <v>34</v>
      </c>
      <c r="E53" s="2279">
        <f>'FORMULAIRE PGA Eaux usées'!J89</f>
        <v>0</v>
      </c>
      <c r="F53" s="1301">
        <f>'FORMULAIRE PGA Eaux usées'!K89</f>
        <v>0</v>
      </c>
      <c r="G53" s="1301">
        <f>'FORMULAIRE PGA Eaux usées'!L89</f>
        <v>0</v>
      </c>
      <c r="H53" s="1301">
        <f>'FORMULAIRE PGA Eaux usées'!M89</f>
        <v>0</v>
      </c>
      <c r="I53" s="1301">
        <f>'FORMULAIRE PGA Eaux usées'!N89</f>
        <v>0</v>
      </c>
      <c r="J53" s="1301">
        <f>IF('FORMULAIRE PGA Eaux usées'!O89="",0,'FORMULAIRE PGA Eaux usées'!O89)</f>
        <v>0</v>
      </c>
      <c r="K53" s="2281">
        <f>SUM(E53:J53)</f>
        <v>0</v>
      </c>
      <c r="L53" s="308">
        <f>'FORMULAIRE PGA Eaux usées'!G609</f>
        <v>0</v>
      </c>
      <c r="M53" s="3555">
        <f>IF(I33=1,0,IF(I33=2,L53,IF(I33=3,L54,ROUNDDOWN(AVERAGE(L53:L54),0))))</f>
        <v>0</v>
      </c>
      <c r="N53" s="3555">
        <f>IF(I33=1,M53,IF(I41=1,M55,ROUNDDOWN(AVERAGE(M53:M56),0)))</f>
        <v>0</v>
      </c>
    </row>
    <row r="54" spans="1:17" s="308" customFormat="1" ht="22.5" customHeight="1">
      <c r="A54" s="671"/>
      <c r="B54" s="2276" t="s">
        <v>107</v>
      </c>
      <c r="C54" s="2276"/>
      <c r="D54" s="2276" t="s">
        <v>35</v>
      </c>
      <c r="E54" s="2280">
        <f>'FORMULAIRE PGA Eaux usées'!J98</f>
        <v>0</v>
      </c>
      <c r="F54" s="2277">
        <f>'FORMULAIRE PGA Eaux usées'!K98</f>
        <v>0</v>
      </c>
      <c r="G54" s="2277">
        <f>'FORMULAIRE PGA Eaux usées'!L98</f>
        <v>0</v>
      </c>
      <c r="H54" s="2277">
        <f>'FORMULAIRE PGA Eaux usées'!M98</f>
        <v>0</v>
      </c>
      <c r="I54" s="2277">
        <f>'FORMULAIRE PGA Eaux usées'!N98</f>
        <v>0</v>
      </c>
      <c r="J54" s="2277">
        <f>IF('FORMULAIRE PGA Eaux usées'!O98="",0,'FORMULAIRE PGA Eaux usées'!O98)</f>
        <v>0</v>
      </c>
      <c r="K54" s="2282">
        <f>SUM(E54:J54)</f>
        <v>0</v>
      </c>
      <c r="L54" s="2278">
        <f>'FORMULAIRE PGA Eaux usées'!G610</f>
        <v>0</v>
      </c>
      <c r="M54" s="3557"/>
      <c r="N54" s="3556"/>
    </row>
    <row r="55" spans="1:17" s="308" customFormat="1" ht="22.5" customHeight="1">
      <c r="A55" s="671"/>
      <c r="B55" s="374" t="s">
        <v>108</v>
      </c>
      <c r="C55" s="374"/>
      <c r="D55" s="374" t="s">
        <v>34</v>
      </c>
      <c r="E55" s="2279">
        <f>'FORMULAIRE PGA Eaux usées'!J128</f>
        <v>0</v>
      </c>
      <c r="F55" s="1301">
        <f>'FORMULAIRE PGA Eaux usées'!K128</f>
        <v>0</v>
      </c>
      <c r="G55" s="1301">
        <f>'FORMULAIRE PGA Eaux usées'!L128</f>
        <v>0</v>
      </c>
      <c r="H55" s="1301">
        <f>'FORMULAIRE PGA Eaux usées'!M128</f>
        <v>0</v>
      </c>
      <c r="I55" s="1301">
        <f>'FORMULAIRE PGA Eaux usées'!N128</f>
        <v>0</v>
      </c>
      <c r="J55" s="1301">
        <f>IF('FORMULAIRE PGA Eaux usées'!O128="",0,'FORMULAIRE PGA Eaux usées'!O128)</f>
        <v>0</v>
      </c>
      <c r="K55" s="2281">
        <f>SUM(E55:J55)</f>
        <v>0</v>
      </c>
      <c r="L55" s="308">
        <f>'FORMULAIRE PGA Eaux usées'!L609</f>
        <v>0</v>
      </c>
      <c r="M55" s="3555">
        <f>IF(I41=1,0,IF(I41=2,L55,IF(I41=3,L56,ROUNDDOWN(AVERAGE(L55:L56),0))))</f>
        <v>0</v>
      </c>
      <c r="N55" s="3556"/>
    </row>
    <row r="56" spans="1:17" s="308" customFormat="1" ht="22.5" customHeight="1">
      <c r="A56" s="671"/>
      <c r="B56" s="2276" t="s">
        <v>108</v>
      </c>
      <c r="C56" s="2276"/>
      <c r="D56" s="2276" t="s">
        <v>35</v>
      </c>
      <c r="E56" s="2280">
        <f>'FORMULAIRE PGA Eaux usées'!J137</f>
        <v>0</v>
      </c>
      <c r="F56" s="2277">
        <f>'FORMULAIRE PGA Eaux usées'!K137</f>
        <v>0</v>
      </c>
      <c r="G56" s="2277">
        <f>'FORMULAIRE PGA Eaux usées'!L137</f>
        <v>0</v>
      </c>
      <c r="H56" s="2277">
        <f>'FORMULAIRE PGA Eaux usées'!M137</f>
        <v>0</v>
      </c>
      <c r="I56" s="2277">
        <f>'FORMULAIRE PGA Eaux usées'!N137</f>
        <v>0</v>
      </c>
      <c r="J56" s="2277">
        <f>IF('FORMULAIRE PGA Eaux usées'!O137="",0,'FORMULAIRE PGA Eaux usées'!O137)</f>
        <v>0</v>
      </c>
      <c r="K56" s="2282">
        <f>SUM(E56:J56)</f>
        <v>0</v>
      </c>
      <c r="L56" s="2278">
        <f>'FORMULAIRE PGA Eaux usées'!L610</f>
        <v>0</v>
      </c>
      <c r="M56" s="3557"/>
      <c r="N56" s="3557"/>
    </row>
    <row r="57" spans="1:17" s="308" customFormat="1" ht="17.25" customHeight="1">
      <c r="A57" s="671"/>
      <c r="B57" s="374"/>
      <c r="C57" s="374"/>
      <c r="D57" s="374"/>
      <c r="E57" s="1301"/>
      <c r="F57" s="1301"/>
      <c r="G57" s="1301"/>
      <c r="H57" s="1301"/>
      <c r="I57" s="1301"/>
      <c r="J57" s="1301"/>
      <c r="K57" s="1302"/>
    </row>
    <row r="59" spans="1:17" ht="31.5" customHeight="1">
      <c r="B59" s="1237" t="s">
        <v>2</v>
      </c>
      <c r="C59" s="1237"/>
      <c r="D59" s="1238"/>
      <c r="E59" s="1238"/>
      <c r="F59" s="1238"/>
      <c r="G59" s="1238"/>
      <c r="H59" s="1238"/>
      <c r="I59" s="1238"/>
      <c r="J59" s="1238"/>
      <c r="K59" s="1238"/>
      <c r="L59" s="1238"/>
      <c r="M59" s="1238"/>
      <c r="N59" s="1238"/>
      <c r="O59" s="1238"/>
      <c r="P59" s="1238"/>
      <c r="Q59" s="1238"/>
    </row>
    <row r="61" spans="1:17" ht="22.5" customHeight="1">
      <c r="B61" s="1239" t="s">
        <v>10</v>
      </c>
      <c r="C61" s="1239"/>
      <c r="D61" s="1239"/>
      <c r="E61" s="1239"/>
      <c r="F61" s="1239"/>
      <c r="G61" s="1239"/>
      <c r="H61" s="1239"/>
      <c r="I61" s="1239"/>
      <c r="J61" s="1239"/>
      <c r="K61" s="1239"/>
      <c r="L61" s="1239"/>
      <c r="M61" s="1239"/>
      <c r="N61" s="1239"/>
      <c r="O61" s="1239"/>
      <c r="P61" s="1239"/>
      <c r="Q61" s="1239"/>
    </row>
    <row r="62" spans="1:17" ht="18">
      <c r="B62" s="1248"/>
      <c r="C62" s="1248"/>
      <c r="D62" s="1248"/>
      <c r="E62" s="1248"/>
      <c r="F62" s="1248"/>
      <c r="G62" s="1248"/>
      <c r="H62" s="1248"/>
      <c r="I62" s="1248"/>
      <c r="J62" s="1248"/>
      <c r="K62" s="1248"/>
      <c r="L62" s="1248"/>
      <c r="M62" s="1248"/>
      <c r="N62" s="1248"/>
      <c r="O62" s="1248"/>
      <c r="P62" s="1248"/>
      <c r="Q62" s="1248"/>
    </row>
    <row r="63" spans="1:17" ht="25.5" customHeight="1">
      <c r="B63" s="1248"/>
      <c r="C63" s="1248"/>
      <c r="D63" s="2888" t="s">
        <v>2280</v>
      </c>
      <c r="E63" s="2886"/>
      <c r="F63" s="2886"/>
      <c r="G63" s="1334"/>
      <c r="H63" s="2888" t="s">
        <v>494</v>
      </c>
      <c r="I63" s="1248"/>
      <c r="L63" s="1248"/>
      <c r="N63" s="1304" t="s">
        <v>33</v>
      </c>
      <c r="O63" s="1305">
        <f>IF(I33=1,'FORMULAIRE PGA Eaux usées'!L613,IF(I44=1,'FORMULAIRE PGA Eaux usées'!G613,ROUNDDOWN(AVERAGE('FORMULAIRE PGA Eaux usées'!G613,'FORMULAIRE PGA Eaux usées'!L613),0)))</f>
        <v>0</v>
      </c>
      <c r="P63" s="1248"/>
      <c r="Q63" s="1248"/>
    </row>
    <row r="64" spans="1:17" ht="18.75" customHeight="1">
      <c r="B64" s="1429">
        <v>1</v>
      </c>
      <c r="C64" s="1248"/>
      <c r="D64" s="1337">
        <f>'FORMULAIRE PGA Eaux usées'!D199</f>
        <v>0</v>
      </c>
      <c r="E64" s="1424"/>
      <c r="F64" s="1424"/>
      <c r="G64" s="1424"/>
      <c r="H64" s="1337">
        <f>'FORMULAIRE PGA Eaux usées'!J199</f>
        <v>0</v>
      </c>
      <c r="I64" s="1248"/>
      <c r="L64" s="1248"/>
      <c r="N64" s="2887"/>
      <c r="O64" s="2887"/>
      <c r="P64" s="1248"/>
      <c r="Q64" s="1248"/>
    </row>
    <row r="65" spans="2:17" ht="18.75" customHeight="1">
      <c r="B65" s="1429">
        <v>2</v>
      </c>
      <c r="C65" s="1248"/>
      <c r="D65" s="1337">
        <f>'FORMULAIRE PGA Eaux usées'!D200</f>
        <v>0</v>
      </c>
      <c r="E65" s="1424"/>
      <c r="F65" s="1424"/>
      <c r="G65" s="1424"/>
      <c r="H65" s="1337">
        <f>'FORMULAIRE PGA Eaux usées'!J200</f>
        <v>0</v>
      </c>
      <c r="I65" s="1248"/>
      <c r="L65" s="1248"/>
      <c r="N65" s="2887"/>
      <c r="O65" s="2887"/>
      <c r="P65" s="1248"/>
      <c r="Q65" s="1248"/>
    </row>
    <row r="66" spans="2:17" ht="18.75" customHeight="1">
      <c r="B66" s="1429">
        <v>3</v>
      </c>
      <c r="C66" s="1248"/>
      <c r="D66" s="1337">
        <f>'FORMULAIRE PGA Eaux usées'!D201</f>
        <v>0</v>
      </c>
      <c r="E66" s="1424"/>
      <c r="F66" s="1424"/>
      <c r="G66" s="1424"/>
      <c r="H66" s="1337">
        <f>'FORMULAIRE PGA Eaux usées'!J201</f>
        <v>0</v>
      </c>
      <c r="I66" s="1248"/>
      <c r="L66" s="1248"/>
      <c r="N66" s="2887"/>
      <c r="O66" s="2887"/>
      <c r="P66" s="1248"/>
      <c r="Q66" s="1248"/>
    </row>
    <row r="67" spans="2:17" ht="18">
      <c r="B67" s="1248"/>
      <c r="C67" s="1248"/>
      <c r="D67" s="1248"/>
      <c r="E67" s="1248"/>
      <c r="F67" s="1248"/>
      <c r="G67" s="1248"/>
      <c r="H67" s="1248"/>
      <c r="I67" s="1248"/>
      <c r="J67" s="1248"/>
      <c r="K67" s="1248"/>
      <c r="L67" s="1248"/>
      <c r="O67" s="1248"/>
      <c r="P67" s="1248"/>
      <c r="Q67" s="1248"/>
    </row>
    <row r="68" spans="2:17" ht="18">
      <c r="B68" s="1248"/>
      <c r="C68" s="1248"/>
      <c r="D68" s="1248"/>
      <c r="E68" s="1248"/>
      <c r="F68" s="1248"/>
      <c r="G68" s="1248"/>
      <c r="H68" s="1248"/>
      <c r="I68" s="1248"/>
      <c r="J68" s="1248"/>
      <c r="K68" s="1248"/>
      <c r="L68" s="1248"/>
      <c r="M68" s="1248"/>
      <c r="N68" s="1248"/>
      <c r="O68" s="1248"/>
      <c r="P68" s="1248"/>
      <c r="Q68" s="1248"/>
    </row>
    <row r="69" spans="2:17" ht="22.5" customHeight="1">
      <c r="B69" s="1239" t="s">
        <v>11</v>
      </c>
      <c r="C69" s="1239"/>
      <c r="D69" s="1239"/>
      <c r="E69" s="1239"/>
      <c r="F69" s="1239"/>
      <c r="G69" s="1239"/>
      <c r="H69" s="1239"/>
      <c r="I69" s="1239"/>
      <c r="J69" s="1239"/>
      <c r="K69" s="1239"/>
      <c r="L69" s="1239"/>
      <c r="M69" s="1239"/>
      <c r="N69" s="1239"/>
      <c r="O69" s="1239"/>
      <c r="P69" s="1239"/>
      <c r="Q69" s="1239"/>
    </row>
    <row r="70" spans="2:17" ht="18">
      <c r="B70" s="1248"/>
      <c r="C70" s="1248"/>
      <c r="D70" s="1248"/>
      <c r="E70" s="1248"/>
      <c r="F70" s="1248"/>
      <c r="G70" s="1248"/>
      <c r="H70" s="1248"/>
      <c r="I70" s="1248"/>
      <c r="J70" s="1248"/>
      <c r="K70" s="1248"/>
      <c r="L70" s="1248"/>
      <c r="M70" s="1248"/>
      <c r="N70" s="1248"/>
      <c r="O70" s="1248"/>
      <c r="P70" s="1248"/>
      <c r="Q70" s="1248"/>
    </row>
    <row r="71" spans="2:17" ht="25.5" customHeight="1">
      <c r="D71" s="1306" t="s">
        <v>26</v>
      </c>
      <c r="E71" s="1306" t="s">
        <v>433</v>
      </c>
      <c r="F71" s="1306" t="s">
        <v>434</v>
      </c>
      <c r="G71" s="1307"/>
      <c r="H71" s="308"/>
      <c r="I71" s="1308"/>
      <c r="J71" s="1309" t="str">
        <f>'MENU DÉROULANT'!D76</f>
        <v>Technique</v>
      </c>
      <c r="K71" s="1310" t="str">
        <f>'MENU DÉROULANT'!D77</f>
        <v>Citoyen</v>
      </c>
      <c r="L71" s="319"/>
      <c r="N71" s="1304" t="s">
        <v>33</v>
      </c>
      <c r="O71" s="1305">
        <f>O63</f>
        <v>0</v>
      </c>
    </row>
    <row r="72" spans="2:17" ht="18" customHeight="1">
      <c r="B72" s="292"/>
      <c r="C72" s="292"/>
      <c r="D72" s="1097">
        <f>'FORMULAIRE PGA Eaux usées'!D220</f>
        <v>0</v>
      </c>
      <c r="E72" s="1097">
        <f>'FORMULAIRE PGA Eaux usées'!F220</f>
        <v>0</v>
      </c>
      <c r="F72" s="1097">
        <f>'FORMULAIRE PGA Eaux usées'!G220</f>
        <v>0</v>
      </c>
      <c r="G72" s="28">
        <v>1</v>
      </c>
      <c r="H72" s="1311"/>
      <c r="I72" s="1312" t="str">
        <f>'MENU DÉROULANT'!C76</f>
        <v>Fonction</v>
      </c>
      <c r="J72" s="1313">
        <f>SUMIFS($G$72:$G$81,$E$72:$E$81,I72,$F$72:$F$81,$J$71)</f>
        <v>0</v>
      </c>
      <c r="K72" s="1314">
        <f>SUMIFS($G$72:$G$81,$E$72:$E$81,I72,$F$72:$F$81,$K$71)</f>
        <v>0</v>
      </c>
      <c r="L72" s="319"/>
      <c r="M72" s="319"/>
      <c r="N72" s="148"/>
    </row>
    <row r="73" spans="2:17" ht="18" customHeight="1">
      <c r="B73" s="292"/>
      <c r="C73" s="292"/>
      <c r="D73" s="1097">
        <f>'FORMULAIRE PGA Eaux usées'!D221</f>
        <v>0</v>
      </c>
      <c r="E73" s="1097">
        <f>'FORMULAIRE PGA Eaux usées'!F221</f>
        <v>0</v>
      </c>
      <c r="F73" s="1097">
        <f>'FORMULAIRE PGA Eaux usées'!G221</f>
        <v>0</v>
      </c>
      <c r="G73" s="28">
        <v>1</v>
      </c>
      <c r="H73" s="1311"/>
      <c r="I73" s="1312" t="str">
        <f>'MENU DÉROULANT'!C77</f>
        <v>Qualité</v>
      </c>
      <c r="J73" s="1315">
        <f>SUMIFS($G$72:$G$81,$E$72:$E$81,I73,$F$72:$F$81,$J$71)</f>
        <v>0</v>
      </c>
      <c r="K73" s="1316">
        <f>SUMIFS($G$72:$G$81,$E$72:$E$81,I73,$F$72:$F$81,$K$71)</f>
        <v>0</v>
      </c>
      <c r="L73" s="319"/>
      <c r="M73" s="319"/>
    </row>
    <row r="74" spans="2:17" ht="18" customHeight="1">
      <c r="B74" s="292"/>
      <c r="C74" s="292"/>
      <c r="D74" s="1097">
        <f>'FORMULAIRE PGA Eaux usées'!D222</f>
        <v>0</v>
      </c>
      <c r="E74" s="1097">
        <f>'FORMULAIRE PGA Eaux usées'!F222</f>
        <v>0</v>
      </c>
      <c r="F74" s="1097">
        <f>'FORMULAIRE PGA Eaux usées'!G222</f>
        <v>0</v>
      </c>
      <c r="G74" s="28">
        <v>1</v>
      </c>
      <c r="H74" s="1311"/>
      <c r="I74" s="1312" t="str">
        <f>'MENU DÉROULANT'!C78</f>
        <v>État</v>
      </c>
      <c r="J74" s="1315">
        <f>SUMIFS($G$72:$G$81,$E$72:$E$81,I74,$F$72:$F$81,$J$71)</f>
        <v>0</v>
      </c>
      <c r="K74" s="1316">
        <f>SUMIFS($G$72:$G$81,$E$72:$E$81,I74,$F$72:$F$81,$K$71)</f>
        <v>0</v>
      </c>
      <c r="L74" s="319"/>
      <c r="M74" s="319"/>
      <c r="N74" s="148"/>
    </row>
    <row r="75" spans="2:17" ht="18" customHeight="1">
      <c r="B75" s="292"/>
      <c r="C75" s="292"/>
      <c r="D75" s="1097">
        <f>'FORMULAIRE PGA Eaux usées'!D223</f>
        <v>0</v>
      </c>
      <c r="E75" s="1097">
        <f>'FORMULAIRE PGA Eaux usées'!F223</f>
        <v>0</v>
      </c>
      <c r="F75" s="1097">
        <f>'FORMULAIRE PGA Eaux usées'!G223</f>
        <v>0</v>
      </c>
      <c r="G75" s="28">
        <v>1</v>
      </c>
      <c r="H75" s="1311"/>
      <c r="I75" s="1312" t="str">
        <f>'MENU DÉROULANT'!C79</f>
        <v>Capacité</v>
      </c>
      <c r="J75" s="1315">
        <f>SUMIFS($G$72:$G$81,$E$72:$E$81,I75,$F$72:$F$81,$J$71)</f>
        <v>0</v>
      </c>
      <c r="K75" s="1316">
        <f>SUMIFS($G$72:$G$81,$E$72:$E$81,I75,$F$72:$F$81,$K$71)</f>
        <v>0</v>
      </c>
      <c r="L75" s="319"/>
      <c r="M75" s="319"/>
      <c r="N75" s="148"/>
    </row>
    <row r="76" spans="2:17" ht="18" customHeight="1">
      <c r="B76" s="292"/>
      <c r="C76" s="292"/>
      <c r="D76" s="1097">
        <f>'FORMULAIRE PGA Eaux usées'!D224</f>
        <v>0</v>
      </c>
      <c r="E76" s="1097">
        <f>'FORMULAIRE PGA Eaux usées'!F224</f>
        <v>0</v>
      </c>
      <c r="F76" s="1097">
        <f>'FORMULAIRE PGA Eaux usées'!G224</f>
        <v>0</v>
      </c>
      <c r="G76" s="28">
        <v>1</v>
      </c>
      <c r="H76" s="1311"/>
      <c r="I76" s="1317" t="str">
        <f>'MENU DÉROULANT'!C80</f>
        <v>Autre</v>
      </c>
      <c r="J76" s="1318">
        <f>SUMIFS($G$72:$G$81,$E$72:$E$81,I76,$F$72:$F$81,$J$71)</f>
        <v>0</v>
      </c>
      <c r="K76" s="1319">
        <f>SUMIFS($G$72:$G$81,$E$72:$E$81,I76,$F$72:$F$81,$K$71)</f>
        <v>0</v>
      </c>
      <c r="L76" s="319"/>
      <c r="M76" s="319"/>
      <c r="N76" s="148"/>
    </row>
    <row r="77" spans="2:17" ht="18" customHeight="1">
      <c r="D77" s="1097">
        <f>'FORMULAIRE PGA Eaux usées'!D225</f>
        <v>0</v>
      </c>
      <c r="E77" s="1097">
        <f>'FORMULAIRE PGA Eaux usées'!F225</f>
        <v>0</v>
      </c>
      <c r="F77" s="1097">
        <f>'FORMULAIRE PGA Eaux usées'!G225</f>
        <v>0</v>
      </c>
      <c r="G77" s="28">
        <v>1</v>
      </c>
      <c r="H77" s="1311"/>
      <c r="I77" s="1311"/>
      <c r="K77" s="1097"/>
      <c r="L77" s="319"/>
      <c r="M77" s="319"/>
    </row>
    <row r="78" spans="2:17" ht="18" customHeight="1">
      <c r="D78" s="1097">
        <f>'FORMULAIRE PGA Eaux usées'!D226</f>
        <v>0</v>
      </c>
      <c r="E78" s="1097">
        <f>'FORMULAIRE PGA Eaux usées'!F226</f>
        <v>0</v>
      </c>
      <c r="F78" s="1097">
        <f>'FORMULAIRE PGA Eaux usées'!G226</f>
        <v>0</v>
      </c>
      <c r="G78" s="28">
        <v>1</v>
      </c>
      <c r="H78" s="1311"/>
      <c r="I78" s="1311"/>
      <c r="J78" s="319"/>
      <c r="K78" s="1097"/>
      <c r="L78" s="319"/>
      <c r="M78" s="1320"/>
      <c r="N78" s="319"/>
    </row>
    <row r="79" spans="2:17" ht="18" customHeight="1">
      <c r="D79" s="1097">
        <f>'FORMULAIRE PGA Eaux usées'!D227</f>
        <v>0</v>
      </c>
      <c r="E79" s="1097">
        <f>'FORMULAIRE PGA Eaux usées'!F227</f>
        <v>0</v>
      </c>
      <c r="F79" s="1097">
        <f>'FORMULAIRE PGA Eaux usées'!G227</f>
        <v>0</v>
      </c>
      <c r="G79" s="28">
        <v>1</v>
      </c>
      <c r="H79" s="1311"/>
      <c r="I79" s="1311"/>
      <c r="J79" s="319"/>
      <c r="K79" s="1097"/>
      <c r="L79" s="319"/>
      <c r="M79" s="1320"/>
      <c r="N79" s="319"/>
    </row>
    <row r="80" spans="2:17" ht="18" customHeight="1">
      <c r="D80" s="1097">
        <f>'FORMULAIRE PGA Eaux usées'!D228</f>
        <v>0</v>
      </c>
      <c r="E80" s="1097">
        <f>'FORMULAIRE PGA Eaux usées'!F228</f>
        <v>0</v>
      </c>
      <c r="F80" s="1097">
        <f>'FORMULAIRE PGA Eaux usées'!G228</f>
        <v>0</v>
      </c>
      <c r="G80" s="28">
        <v>1</v>
      </c>
      <c r="H80" s="1311"/>
      <c r="I80" s="1311"/>
      <c r="J80" s="319"/>
      <c r="K80" s="1097"/>
      <c r="L80" s="319"/>
      <c r="M80" s="1320"/>
      <c r="N80" s="319"/>
    </row>
    <row r="81" spans="2:17" ht="18" customHeight="1">
      <c r="D81" s="1097">
        <f>'FORMULAIRE PGA Eaux usées'!D229</f>
        <v>0</v>
      </c>
      <c r="E81" s="1097">
        <f>'FORMULAIRE PGA Eaux usées'!F229</f>
        <v>0</v>
      </c>
      <c r="F81" s="1097">
        <f>'FORMULAIRE PGA Eaux usées'!G229</f>
        <v>0</v>
      </c>
      <c r="G81" s="28">
        <v>1</v>
      </c>
      <c r="H81" s="1311"/>
      <c r="I81" s="1311"/>
      <c r="J81" s="319"/>
      <c r="K81" s="1097"/>
      <c r="L81" s="319"/>
      <c r="M81" s="1320"/>
      <c r="N81" s="319"/>
    </row>
    <row r="82" spans="2:17" ht="18" customHeight="1">
      <c r="D82" s="1097"/>
      <c r="E82" s="1097"/>
      <c r="F82" s="1097"/>
      <c r="H82" s="1311"/>
      <c r="I82" s="1311"/>
      <c r="J82" s="319"/>
      <c r="K82" s="1097"/>
      <c r="L82" s="319"/>
      <c r="M82" s="1320"/>
      <c r="N82" s="319"/>
    </row>
    <row r="83" spans="2:17">
      <c r="M83" s="1097"/>
    </row>
    <row r="84" spans="2:17" ht="22.5" customHeight="1">
      <c r="B84" s="1239" t="s">
        <v>12</v>
      </c>
      <c r="C84" s="1239"/>
      <c r="D84" s="1239"/>
      <c r="E84" s="1239"/>
      <c r="F84" s="1239"/>
      <c r="G84" s="1239"/>
      <c r="H84" s="1239"/>
      <c r="I84" s="1239"/>
      <c r="J84" s="1239"/>
      <c r="K84" s="1239"/>
      <c r="L84" s="1239"/>
      <c r="M84" s="1239"/>
      <c r="N84" s="1239"/>
      <c r="O84" s="1239"/>
      <c r="P84" s="1239"/>
      <c r="Q84" s="1239"/>
    </row>
    <row r="86" spans="2:17" ht="25.5" customHeight="1">
      <c r="D86" s="1970" t="s">
        <v>26</v>
      </c>
      <c r="E86" s="1321" t="s">
        <v>435</v>
      </c>
      <c r="F86" s="1321" t="s">
        <v>436</v>
      </c>
      <c r="G86" s="72"/>
      <c r="H86" s="1321"/>
      <c r="I86" s="3553" t="s">
        <v>435</v>
      </c>
      <c r="J86" s="3554"/>
      <c r="K86" s="3553" t="s">
        <v>436</v>
      </c>
      <c r="L86" s="3554"/>
      <c r="N86" s="1304" t="s">
        <v>33</v>
      </c>
      <c r="O86" s="1305">
        <f>O63</f>
        <v>0</v>
      </c>
    </row>
    <row r="87" spans="2:17">
      <c r="D87" s="292">
        <f>'FORMULAIRE PGA Eaux usées'!D220</f>
        <v>0</v>
      </c>
      <c r="E87" s="319">
        <f>'FORMULAIRE PGA Eaux usées'!H220</f>
        <v>0</v>
      </c>
      <c r="F87" s="319">
        <f>'FORMULAIRE PGA Eaux usées'!I220</f>
        <v>0</v>
      </c>
      <c r="I87" s="1322" t="str">
        <f>IF(E87=$G$94,"h",IF(E87=$G$95,"g",IF((E87=$G$96),"i","")))</f>
        <v/>
      </c>
      <c r="J87" s="1262" t="str">
        <f>IF(E87=$G$97,"Inconnu","")</f>
        <v/>
      </c>
      <c r="K87" s="1323" t="str">
        <f>IF(F87=$J$94,5,IF(F87=$J$95,0,IF((F87=$J$96),6,"")))</f>
        <v/>
      </c>
      <c r="L87" s="1324" t="str">
        <f>IF(F87=$J$97,"Aucun","")</f>
        <v/>
      </c>
    </row>
    <row r="88" spans="2:17">
      <c r="D88" s="292">
        <f>'FORMULAIRE PGA Eaux usées'!D221</f>
        <v>0</v>
      </c>
      <c r="E88" s="319">
        <f>'FORMULAIRE PGA Eaux usées'!H221</f>
        <v>0</v>
      </c>
      <c r="F88" s="319">
        <f>'FORMULAIRE PGA Eaux usées'!I221</f>
        <v>0</v>
      </c>
      <c r="I88" s="1322" t="str">
        <f>IF(E88=$G$94,"h",IF(E88=$G$95,"g",IF((E88=$G$96),"i","")))</f>
        <v/>
      </c>
      <c r="J88" s="1262" t="str">
        <f>IF(E88=$G$97,"Inconnu","")</f>
        <v/>
      </c>
      <c r="K88" s="1323" t="str">
        <f>IF(F88=$J$94,5,IF(F88=$J$95,0,IF((F88=$J$96),6,"")))</f>
        <v/>
      </c>
      <c r="L88" s="1324" t="str">
        <f>IF(F88=$J$97,"Aucun","")</f>
        <v/>
      </c>
    </row>
    <row r="89" spans="2:17">
      <c r="D89" s="292">
        <f>'FORMULAIRE PGA Eaux usées'!D222</f>
        <v>0</v>
      </c>
      <c r="E89" s="319">
        <f>'FORMULAIRE PGA Eaux usées'!H222</f>
        <v>0</v>
      </c>
      <c r="F89" s="319">
        <f>'FORMULAIRE PGA Eaux usées'!I222</f>
        <v>0</v>
      </c>
      <c r="I89" s="1325" t="str">
        <f>IF(E89=$G$94,"h",IF(E89=$G$95,"g",IF((E89=$G$96),"i","")))</f>
        <v/>
      </c>
      <c r="J89" s="1326" t="str">
        <f>IF(E89=$G$97,"Inconnu","")</f>
        <v/>
      </c>
      <c r="K89" s="1327" t="str">
        <f>IF(F89=$J$94,5,IF(F89=$J$95,0,IF((F89=$J$96),6,"")))</f>
        <v/>
      </c>
      <c r="L89" s="1328" t="str">
        <f>IF(F89=$J$97,"Aucun","")</f>
        <v/>
      </c>
    </row>
    <row r="90" spans="2:17">
      <c r="I90" s="1329" t="str">
        <f>IF(E90=$G$94,"h",IF(E90=$G$95,"g",IF((E90=$G$96),"i","")))</f>
        <v/>
      </c>
      <c r="J90" s="1330" t="str">
        <f>IF(E90=$G$97,"Inconnu","")</f>
        <v/>
      </c>
      <c r="K90" s="1329" t="str">
        <f>IF(F90=$J$94,5,IF(F90=$J$95,0,IF((F90=$J$96),6,"")))</f>
        <v/>
      </c>
      <c r="L90" s="1331" t="str">
        <f>IF(F90=$J$97,"Aucun","")</f>
        <v/>
      </c>
    </row>
    <row r="91" spans="2:17">
      <c r="I91" s="1325" t="str">
        <f>IF(E91=$G$94,"h",IF(E91=$G$95,"g",IF((E91=$G$96),"i","")))</f>
        <v/>
      </c>
      <c r="J91" s="1326" t="str">
        <f>IF(E91=$G$97,"Inconnu","")</f>
        <v/>
      </c>
      <c r="K91" s="1325" t="str">
        <f>IF(F91=$J$94,5,IF(F91=$J$95,0,IF((F91=$J$96),6,"")))</f>
        <v/>
      </c>
      <c r="L91" s="1328" t="str">
        <f>IF(F91=$J$97,"Aucun","")</f>
        <v/>
      </c>
    </row>
    <row r="92" spans="2:17">
      <c r="I92" s="1320"/>
      <c r="K92" s="1320"/>
    </row>
    <row r="93" spans="2:17" ht="15.6">
      <c r="F93" s="1332"/>
      <c r="G93" s="1333" t="s">
        <v>437</v>
      </c>
      <c r="H93" s="1334"/>
      <c r="I93" s="1332"/>
      <c r="J93" s="1333" t="s">
        <v>438</v>
      </c>
      <c r="K93" s="1320"/>
    </row>
    <row r="94" spans="2:17">
      <c r="G94" s="1320" t="str">
        <f>'MENU DÉROULANT'!E76</f>
        <v>Amélioration</v>
      </c>
      <c r="H94" s="319"/>
      <c r="J94" s="1320" t="str">
        <f>'MENU DÉROULANT'!F76</f>
        <v>Augmenter la performance</v>
      </c>
      <c r="K94" s="1320"/>
    </row>
    <row r="95" spans="2:17">
      <c r="G95" s="1320" t="str">
        <f>'MENU DÉROULANT'!E77</f>
        <v>Stabilité</v>
      </c>
      <c r="H95" s="319"/>
      <c r="J95" s="1320" t="str">
        <f>'MENU DÉROULANT'!F77</f>
        <v>Maintenir la performance</v>
      </c>
      <c r="K95" s="1320"/>
    </row>
    <row r="96" spans="2:17">
      <c r="G96" s="1320" t="str">
        <f>'MENU DÉROULANT'!E78</f>
        <v>Détérioration</v>
      </c>
      <c r="H96" s="319"/>
      <c r="J96" s="1320" t="str">
        <f>'MENU DÉROULANT'!F78</f>
        <v>Diminuer la performance</v>
      </c>
      <c r="K96" s="1320"/>
    </row>
    <row r="97" spans="2:17">
      <c r="G97" s="1320" t="str">
        <f>'MENU DÉROULANT'!E79</f>
        <v>Inconnu</v>
      </c>
      <c r="J97" s="1320" t="str">
        <f>'MENU DÉROULANT'!F79</f>
        <v>Aucun objectif pour le moment</v>
      </c>
      <c r="K97" s="319"/>
    </row>
    <row r="98" spans="2:17">
      <c r="G98" s="1320"/>
      <c r="J98" s="1320"/>
      <c r="K98" s="319"/>
    </row>
    <row r="99" spans="2:17">
      <c r="I99" s="319"/>
      <c r="K99" s="319"/>
    </row>
    <row r="100" spans="2:17" ht="31.5" customHeight="1">
      <c r="B100" s="1237" t="s">
        <v>3</v>
      </c>
      <c r="C100" s="1237"/>
      <c r="D100" s="1238"/>
      <c r="E100" s="1238"/>
      <c r="F100" s="1238"/>
      <c r="G100" s="1238"/>
      <c r="H100" s="1238"/>
      <c r="I100" s="1238"/>
      <c r="J100" s="1238"/>
      <c r="K100" s="1238"/>
      <c r="L100" s="1238"/>
      <c r="M100" s="1238"/>
      <c r="N100" s="1238"/>
      <c r="O100" s="1238"/>
      <c r="P100" s="1238"/>
      <c r="Q100" s="1238"/>
    </row>
    <row r="102" spans="2:17" ht="22.5" customHeight="1">
      <c r="B102" s="1239" t="s">
        <v>13</v>
      </c>
      <c r="C102" s="1239"/>
      <c r="D102" s="1239"/>
      <c r="E102" s="1239"/>
      <c r="F102" s="1239"/>
      <c r="G102" s="1239"/>
      <c r="H102" s="1239"/>
      <c r="I102" s="1239"/>
      <c r="J102" s="1239"/>
      <c r="K102" s="1239"/>
      <c r="L102" s="1239"/>
      <c r="M102" s="1239"/>
      <c r="N102" s="1239"/>
      <c r="O102" s="1239"/>
      <c r="P102" s="1239"/>
      <c r="Q102" s="1239"/>
    </row>
    <row r="104" spans="2:17" ht="18">
      <c r="D104" s="1335" t="str">
        <f>'FORMULAIRE PGA Eaux usées'!D311</f>
        <v>Catégories de changements</v>
      </c>
    </row>
    <row r="105" spans="2:17">
      <c r="D105" s="1320" t="str">
        <f>'FORMULAIRE PGA Eaux usées'!D312</f>
        <v>Démographiques</v>
      </c>
      <c r="E105" s="1336">
        <f>'FORMULAIRE PGA Eaux usées'!F312</f>
        <v>0</v>
      </c>
      <c r="I105" s="28">
        <f t="shared" ref="I105:I110" si="1">IF(E105=$L$109,4,IF(E105=$L$108,3,IF(E105=$L$107,2,IF(E105=$L$106,1,0))))</f>
        <v>0</v>
      </c>
      <c r="K105" s="28" t="s">
        <v>439</v>
      </c>
      <c r="L105" s="1337" t="str">
        <f>'MENU DÉROULANT'!C99</f>
        <v>Aucun changement n'est anticipé.</v>
      </c>
    </row>
    <row r="106" spans="2:17">
      <c r="D106" s="1320" t="str">
        <f>'FORMULAIRE PGA Eaux usées'!D313</f>
        <v>Climatiques</v>
      </c>
      <c r="E106" s="1336">
        <f>'FORMULAIRE PGA Eaux usées'!F313</f>
        <v>0</v>
      </c>
      <c r="I106" s="28">
        <f t="shared" si="1"/>
        <v>0</v>
      </c>
      <c r="L106" s="1337" t="str">
        <f>'MENU DÉROULANT'!C100</f>
        <v>Des changements sont anticipés à court terme (1-4 ans).</v>
      </c>
    </row>
    <row r="107" spans="2:17">
      <c r="D107" s="1320" t="str">
        <f>'FORMULAIRE PGA Eaux usées'!D314</f>
        <v>Cadre légal et règlementaire</v>
      </c>
      <c r="E107" s="1336">
        <f>'FORMULAIRE PGA Eaux usées'!F314</f>
        <v>0</v>
      </c>
      <c r="I107" s="28">
        <f t="shared" si="1"/>
        <v>0</v>
      </c>
      <c r="L107" s="1337" t="str">
        <f>'MENU DÉROULANT'!C101</f>
        <v>Des changements sont anticipés à moyen terme (5-7 ans).</v>
      </c>
    </row>
    <row r="108" spans="2:17">
      <c r="D108" s="1320" t="str">
        <f>'FORMULAIRE PGA Eaux usées'!D315</f>
        <v>Économiques</v>
      </c>
      <c r="E108" s="1336">
        <f>'FORMULAIRE PGA Eaux usées'!F315</f>
        <v>0</v>
      </c>
      <c r="I108" s="28">
        <f t="shared" si="1"/>
        <v>0</v>
      </c>
      <c r="L108" s="1337" t="str">
        <f>'MENU DÉROULANT'!C102</f>
        <v>Des changements sont à prévoir à long terme (8-10 ans).</v>
      </c>
    </row>
    <row r="109" spans="2:17">
      <c r="D109" s="1320" t="str">
        <f>'FORMULAIRE PGA Eaux usées'!D316</f>
        <v>Technologiques</v>
      </c>
      <c r="E109" s="1336">
        <f>'FORMULAIRE PGA Eaux usées'!F316</f>
        <v>0</v>
      </c>
      <c r="I109" s="28">
        <f t="shared" si="1"/>
        <v>0</v>
      </c>
      <c r="L109" s="1337" t="str">
        <f>'MENU DÉROULANT'!C103</f>
        <v>Des changements sont à prévoir continuellement sur 10 ans.</v>
      </c>
    </row>
    <row r="110" spans="2:17">
      <c r="D110" s="1320" t="str">
        <f>CONCATENATE(K110,L110)</f>
        <v xml:space="preserve">Autre </v>
      </c>
      <c r="E110" s="1336">
        <f>'FORMULAIRE PGA Eaux usées'!F317</f>
        <v>0</v>
      </c>
      <c r="I110" s="28">
        <f t="shared" si="1"/>
        <v>0</v>
      </c>
      <c r="K110" s="1338" t="s">
        <v>42</v>
      </c>
      <c r="L110" s="3562" t="str">
        <f>IF('FORMULAIRE PGA Eaux usées'!E317=0,"",CONCATENATE("(",'FORMULAIRE PGA Eaux usées'!E317,")"))</f>
        <v/>
      </c>
      <c r="M110" s="3562"/>
      <c r="N110" s="3562"/>
    </row>
    <row r="112" spans="2:17" ht="24.75" customHeight="1">
      <c r="D112" s="1339"/>
      <c r="K112" s="1340" t="s">
        <v>440</v>
      </c>
      <c r="L112" s="1341">
        <f>IF(I33=1,'FORMULAIRE PGA Eaux usées'!L621,IF(I44=1,'FORMULAIRE PGA Eaux usées'!G621,ROUNDDOWN(AVERAGE('FORMULAIRE PGA Eaux usées'!G621,'FORMULAIRE PGA Eaux usées'!L621),0)))</f>
        <v>0</v>
      </c>
    </row>
    <row r="115" spans="2:17" ht="22.5" customHeight="1">
      <c r="B115" s="1239" t="s">
        <v>14</v>
      </c>
      <c r="C115" s="1239"/>
      <c r="D115" s="1239"/>
      <c r="E115" s="1239"/>
      <c r="F115" s="1239"/>
      <c r="G115" s="1239"/>
      <c r="H115" s="1239"/>
      <c r="I115" s="1239"/>
      <c r="J115" s="1239"/>
      <c r="K115" s="1239"/>
      <c r="L115" s="1239"/>
      <c r="M115" s="1239"/>
      <c r="N115" s="1239"/>
      <c r="O115" s="1239"/>
      <c r="P115" s="1239"/>
      <c r="Q115" s="1239"/>
    </row>
    <row r="117" spans="2:17" ht="18">
      <c r="D117" s="1335" t="str">
        <f>'FORMULAIRE PGA Eaux usées'!D268</f>
        <v>Catégories de risques</v>
      </c>
    </row>
    <row r="118" spans="2:17">
      <c r="D118" s="1320" t="str">
        <f>CONCATENATE(K123,L123)</f>
        <v xml:space="preserve">Autre </v>
      </c>
      <c r="E118" s="1336">
        <f>'FORMULAIRE PGA Eaux usées'!F274</f>
        <v>0</v>
      </c>
      <c r="I118" s="28">
        <f t="shared" ref="I118:I123" si="2">IF(E118=$L$121,3,IF(E118=$L$120,2,IF(E118=$L$119,1,0)))</f>
        <v>0</v>
      </c>
      <c r="K118" s="28" t="s">
        <v>439</v>
      </c>
      <c r="L118" s="319" t="str">
        <f>'MENU DÉROULANT'!C88</f>
        <v>Aucun risque associé n'a été déterminé.</v>
      </c>
    </row>
    <row r="119" spans="2:17">
      <c r="D119" s="1320" t="str">
        <f>'FORMULAIRE PGA Eaux usées'!D272</f>
        <v>Manque d'informations</v>
      </c>
      <c r="E119" s="1336">
        <f>'FORMULAIRE PGA Eaux usées'!F272</f>
        <v>0</v>
      </c>
      <c r="I119" s="28">
        <f t="shared" si="2"/>
        <v>0</v>
      </c>
      <c r="L119" s="319" t="str">
        <f>'MENU DÉROULANT'!C89</f>
        <v>Les risques associés sont de niveau modéré ou faible.</v>
      </c>
    </row>
    <row r="120" spans="2:17">
      <c r="D120" s="1320" t="str">
        <f>'FORMULAIRE PGA Eaux usées'!D273</f>
        <v>Changements climatiques</v>
      </c>
      <c r="E120" s="1336">
        <f>'FORMULAIRE PGA Eaux usées'!F273</f>
        <v>0</v>
      </c>
      <c r="I120" s="28">
        <f t="shared" si="2"/>
        <v>0</v>
      </c>
      <c r="L120" s="319" t="str">
        <f>'MENU DÉROULANT'!C90</f>
        <v>Certains risques associés sont de niveau élevé.</v>
      </c>
    </row>
    <row r="121" spans="2:17">
      <c r="D121" s="1320" t="str">
        <f>'FORMULAIRE PGA Eaux usées'!D271</f>
        <v>Sous-financement</v>
      </c>
      <c r="E121" s="1336">
        <f>'FORMULAIRE PGA Eaux usées'!F271</f>
        <v>0</v>
      </c>
      <c r="I121" s="28">
        <f t="shared" si="2"/>
        <v>0</v>
      </c>
      <c r="L121" s="319" t="str">
        <f>'MENU DÉROULANT'!C91</f>
        <v>Certains risques associés sont de niveau très élevé.</v>
      </c>
    </row>
    <row r="122" spans="2:17">
      <c r="D122" s="1320" t="str">
        <f>'FORMULAIRE PGA Eaux usées'!D270</f>
        <v>Dotation de personnel</v>
      </c>
      <c r="E122" s="1336">
        <f>'FORMULAIRE PGA Eaux usées'!F270</f>
        <v>0</v>
      </c>
      <c r="I122" s="28">
        <f t="shared" si="2"/>
        <v>0</v>
      </c>
    </row>
    <row r="123" spans="2:17">
      <c r="D123" s="1320" t="str">
        <f>'FORMULAIRE PGA Eaux usées'!D269</f>
        <v>Actifs critiques</v>
      </c>
      <c r="E123" s="1336">
        <f>'FORMULAIRE PGA Eaux usées'!F269</f>
        <v>0</v>
      </c>
      <c r="I123" s="28">
        <f t="shared" si="2"/>
        <v>0</v>
      </c>
      <c r="K123" s="1343" t="s">
        <v>42</v>
      </c>
      <c r="L123" s="3562" t="str">
        <f>IF('FORMULAIRE PGA Eaux usées'!E274=0,"",CONCATENATE("(",'FORMULAIRE PGA Eaux usées'!E274,")"))</f>
        <v/>
      </c>
      <c r="M123" s="3562"/>
      <c r="N123" s="3562"/>
    </row>
    <row r="125" spans="2:17" ht="24.75" customHeight="1">
      <c r="K125" s="1340" t="s">
        <v>440</v>
      </c>
      <c r="L125" s="1341">
        <f>IF(I33=1,'FORMULAIRE PGA Eaux usées'!L617,IF(I44=1,'FORMULAIRE PGA Eaux usées'!G617,ROUNDDOWN(AVERAGE('FORMULAIRE PGA Eaux usées'!G617,'FORMULAIRE PGA Eaux usées'!L617),0)))</f>
        <v>0</v>
      </c>
    </row>
    <row r="129" spans="2:17" ht="31.5" customHeight="1">
      <c r="B129" s="1237" t="s">
        <v>4</v>
      </c>
      <c r="C129" s="1237"/>
      <c r="D129" s="1238"/>
      <c r="E129" s="1238"/>
      <c r="F129" s="1238"/>
      <c r="G129" s="1238"/>
      <c r="H129" s="1238"/>
      <c r="I129" s="1238"/>
      <c r="J129" s="1238"/>
      <c r="K129" s="1238"/>
      <c r="L129" s="1238"/>
      <c r="M129" s="1238"/>
      <c r="N129" s="1238"/>
      <c r="O129" s="1238"/>
      <c r="P129" s="1238"/>
      <c r="Q129" s="1238"/>
    </row>
    <row r="132" spans="2:17" ht="22.5" customHeight="1">
      <c r="B132" s="1239" t="s">
        <v>15</v>
      </c>
      <c r="C132" s="1239"/>
      <c r="D132" s="1239"/>
      <c r="E132" s="1239"/>
      <c r="F132" s="1239"/>
      <c r="G132" s="1239"/>
      <c r="H132" s="1239"/>
      <c r="I132" s="1239"/>
      <c r="J132" s="1239"/>
      <c r="K132" s="1239"/>
      <c r="L132" s="1239"/>
      <c r="M132" s="1239"/>
      <c r="N132" s="1239"/>
      <c r="O132" s="1239"/>
      <c r="P132" s="1239"/>
      <c r="Q132" s="1239"/>
    </row>
    <row r="133" spans="2:17" ht="21">
      <c r="B133" s="1344"/>
      <c r="C133" s="1344"/>
    </row>
    <row r="134" spans="2:17" ht="24.75" customHeight="1">
      <c r="D134" s="1345" t="s">
        <v>441</v>
      </c>
      <c r="E134" s="1299"/>
      <c r="F134" s="1299"/>
      <c r="G134" s="1299"/>
      <c r="H134" s="1299"/>
      <c r="I134" s="1299"/>
      <c r="J134" s="1299"/>
      <c r="K134" s="1299"/>
      <c r="L134" s="1299"/>
      <c r="M134" s="1299"/>
      <c r="N134" s="1299"/>
      <c r="O134" s="1299"/>
    </row>
    <row r="135" spans="2:17" ht="6" customHeight="1">
      <c r="B135" s="1344"/>
      <c r="C135" s="1344"/>
    </row>
    <row r="136" spans="2:17" ht="6" customHeight="1">
      <c r="B136" s="1344"/>
      <c r="C136" s="1344"/>
    </row>
    <row r="137" spans="2:17">
      <c r="B137" s="308"/>
      <c r="C137" s="308"/>
      <c r="D137" s="1346"/>
      <c r="E137" s="1346">
        <f>'FORMULAIRE PGA Eaux usées'!E410</f>
        <v>0</v>
      </c>
      <c r="F137" s="1346">
        <f>E137+1</f>
        <v>1</v>
      </c>
      <c r="G137" s="1346">
        <f t="shared" ref="G137:N137" si="3">F137+1</f>
        <v>2</v>
      </c>
      <c r="H137" s="1346">
        <f t="shared" si="3"/>
        <v>3</v>
      </c>
      <c r="I137" s="1346">
        <f t="shared" si="3"/>
        <v>4</v>
      </c>
      <c r="J137" s="1346">
        <f t="shared" si="3"/>
        <v>5</v>
      </c>
      <c r="K137" s="1346">
        <f t="shared" si="3"/>
        <v>6</v>
      </c>
      <c r="L137" s="1346">
        <f t="shared" si="3"/>
        <v>7</v>
      </c>
      <c r="M137" s="1346">
        <f t="shared" si="3"/>
        <v>8</v>
      </c>
      <c r="N137" s="1346">
        <f t="shared" si="3"/>
        <v>9</v>
      </c>
      <c r="O137" s="1347" t="s">
        <v>442</v>
      </c>
    </row>
    <row r="138" spans="2:17">
      <c r="D138" s="1348" t="s">
        <v>100</v>
      </c>
      <c r="E138" s="1349">
        <f>E192+E209</f>
        <v>0</v>
      </c>
      <c r="F138" s="1349">
        <f>E138</f>
        <v>0</v>
      </c>
      <c r="G138" s="1349">
        <f t="shared" ref="G138:N138" si="4">F138</f>
        <v>0</v>
      </c>
      <c r="H138" s="1349">
        <f t="shared" si="4"/>
        <v>0</v>
      </c>
      <c r="I138" s="1349">
        <f t="shared" si="4"/>
        <v>0</v>
      </c>
      <c r="J138" s="1349">
        <f t="shared" si="4"/>
        <v>0</v>
      </c>
      <c r="K138" s="1349">
        <f t="shared" si="4"/>
        <v>0</v>
      </c>
      <c r="L138" s="1349">
        <f t="shared" si="4"/>
        <v>0</v>
      </c>
      <c r="M138" s="1349">
        <f t="shared" si="4"/>
        <v>0</v>
      </c>
      <c r="N138" s="1349">
        <f t="shared" si="4"/>
        <v>0</v>
      </c>
      <c r="O138" s="1350">
        <f t="shared" ref="O138:O143" si="5">SUM(E138:N138)</f>
        <v>0</v>
      </c>
    </row>
    <row r="139" spans="2:17">
      <c r="D139" s="903" t="s">
        <v>101</v>
      </c>
      <c r="E139" s="1299">
        <f>E193+E210</f>
        <v>0</v>
      </c>
      <c r="F139" s="1299">
        <f t="shared" ref="F139:N139" si="6">F193+F210</f>
        <v>0</v>
      </c>
      <c r="G139" s="1299">
        <f t="shared" si="6"/>
        <v>0</v>
      </c>
      <c r="H139" s="1299">
        <f t="shared" si="6"/>
        <v>0</v>
      </c>
      <c r="I139" s="1299">
        <f t="shared" si="6"/>
        <v>0</v>
      </c>
      <c r="J139" s="1299">
        <f t="shared" si="6"/>
        <v>0</v>
      </c>
      <c r="K139" s="1299">
        <f t="shared" si="6"/>
        <v>0</v>
      </c>
      <c r="L139" s="1299">
        <f t="shared" si="6"/>
        <v>0</v>
      </c>
      <c r="M139" s="1299">
        <f t="shared" si="6"/>
        <v>0</v>
      </c>
      <c r="N139" s="1299">
        <f t="shared" si="6"/>
        <v>0</v>
      </c>
      <c r="O139" s="1299">
        <f t="shared" si="5"/>
        <v>0</v>
      </c>
    </row>
    <row r="140" spans="2:17">
      <c r="D140" s="903" t="s">
        <v>102</v>
      </c>
      <c r="E140" s="1299">
        <f t="shared" ref="E140:N143" si="7">E194+E211</f>
        <v>0</v>
      </c>
      <c r="F140" s="1299">
        <f t="shared" si="7"/>
        <v>0</v>
      </c>
      <c r="G140" s="1299">
        <f t="shared" si="7"/>
        <v>0</v>
      </c>
      <c r="H140" s="1299">
        <f t="shared" si="7"/>
        <v>0</v>
      </c>
      <c r="I140" s="1299">
        <f t="shared" si="7"/>
        <v>0</v>
      </c>
      <c r="J140" s="1299">
        <f t="shared" si="7"/>
        <v>0</v>
      </c>
      <c r="K140" s="1299">
        <f t="shared" si="7"/>
        <v>0</v>
      </c>
      <c r="L140" s="1299">
        <f t="shared" si="7"/>
        <v>0</v>
      </c>
      <c r="M140" s="1299">
        <f t="shared" si="7"/>
        <v>0</v>
      </c>
      <c r="N140" s="1299">
        <f t="shared" si="7"/>
        <v>0</v>
      </c>
      <c r="O140" s="1299">
        <f t="shared" si="5"/>
        <v>0</v>
      </c>
    </row>
    <row r="141" spans="2:17">
      <c r="D141" s="903" t="s">
        <v>103</v>
      </c>
      <c r="E141" s="1299">
        <f t="shared" si="7"/>
        <v>0</v>
      </c>
      <c r="F141" s="1299">
        <f t="shared" si="7"/>
        <v>0</v>
      </c>
      <c r="G141" s="1299">
        <f t="shared" si="7"/>
        <v>0</v>
      </c>
      <c r="H141" s="1299">
        <f t="shared" si="7"/>
        <v>0</v>
      </c>
      <c r="I141" s="1299">
        <f t="shared" si="7"/>
        <v>0</v>
      </c>
      <c r="J141" s="1299">
        <f t="shared" si="7"/>
        <v>0</v>
      </c>
      <c r="K141" s="1299">
        <f t="shared" si="7"/>
        <v>0</v>
      </c>
      <c r="L141" s="1299">
        <f t="shared" si="7"/>
        <v>0</v>
      </c>
      <c r="M141" s="1299">
        <f t="shared" si="7"/>
        <v>0</v>
      </c>
      <c r="N141" s="1299">
        <f t="shared" si="7"/>
        <v>0</v>
      </c>
      <c r="O141" s="1299">
        <f t="shared" si="5"/>
        <v>0</v>
      </c>
    </row>
    <row r="142" spans="2:17">
      <c r="D142" s="903" t="s">
        <v>104</v>
      </c>
      <c r="E142" s="1299">
        <f t="shared" si="7"/>
        <v>0</v>
      </c>
      <c r="F142" s="1299">
        <f t="shared" si="7"/>
        <v>0</v>
      </c>
      <c r="G142" s="1299">
        <f t="shared" si="7"/>
        <v>0</v>
      </c>
      <c r="H142" s="1299">
        <f t="shared" si="7"/>
        <v>0</v>
      </c>
      <c r="I142" s="1299">
        <f t="shared" si="7"/>
        <v>0</v>
      </c>
      <c r="J142" s="1299">
        <f t="shared" si="7"/>
        <v>0</v>
      </c>
      <c r="K142" s="1299">
        <f t="shared" si="7"/>
        <v>0</v>
      </c>
      <c r="L142" s="1299">
        <f t="shared" si="7"/>
        <v>0</v>
      </c>
      <c r="M142" s="1299">
        <f t="shared" si="7"/>
        <v>0</v>
      </c>
      <c r="N142" s="1299">
        <f t="shared" si="7"/>
        <v>0</v>
      </c>
      <c r="O142" s="1299">
        <f t="shared" si="5"/>
        <v>0</v>
      </c>
    </row>
    <row r="143" spans="2:17">
      <c r="D143" s="1351" t="s">
        <v>105</v>
      </c>
      <c r="E143" s="1352">
        <f t="shared" si="7"/>
        <v>0</v>
      </c>
      <c r="F143" s="1352">
        <f t="shared" si="7"/>
        <v>0</v>
      </c>
      <c r="G143" s="1352">
        <f t="shared" si="7"/>
        <v>0</v>
      </c>
      <c r="H143" s="1352">
        <f t="shared" si="7"/>
        <v>0</v>
      </c>
      <c r="I143" s="1352">
        <f t="shared" si="7"/>
        <v>0</v>
      </c>
      <c r="J143" s="1352">
        <f t="shared" si="7"/>
        <v>0</v>
      </c>
      <c r="K143" s="1352">
        <f t="shared" si="7"/>
        <v>0</v>
      </c>
      <c r="L143" s="1352">
        <f t="shared" si="7"/>
        <v>0</v>
      </c>
      <c r="M143" s="1352">
        <f t="shared" si="7"/>
        <v>0</v>
      </c>
      <c r="N143" s="1352">
        <f t="shared" si="7"/>
        <v>0</v>
      </c>
      <c r="O143" s="1352">
        <f t="shared" si="5"/>
        <v>0</v>
      </c>
    </row>
    <row r="144" spans="2:17">
      <c r="D144" s="903"/>
      <c r="E144" s="1299"/>
      <c r="F144" s="1299"/>
      <c r="G144" s="1299"/>
      <c r="H144" s="1299"/>
      <c r="I144" s="1299"/>
      <c r="J144" s="1299"/>
      <c r="K144" s="1299"/>
      <c r="L144" s="1299"/>
      <c r="M144" s="1299"/>
      <c r="N144" s="1299"/>
      <c r="O144" s="1299"/>
    </row>
    <row r="145" spans="2:16" ht="24.75" customHeight="1">
      <c r="D145" s="1345" t="s">
        <v>29</v>
      </c>
      <c r="E145" s="1299"/>
      <c r="F145" s="1299"/>
      <c r="H145" s="1299"/>
      <c r="I145" s="1299"/>
      <c r="J145" s="1299"/>
      <c r="M145" s="1299"/>
      <c r="N145" s="1299"/>
      <c r="O145" s="1299"/>
    </row>
    <row r="146" spans="2:16" ht="7.5" customHeight="1">
      <c r="D146" s="903"/>
      <c r="E146" s="1299"/>
      <c r="F146" s="1299"/>
      <c r="G146" s="1299"/>
      <c r="H146" s="1299"/>
      <c r="I146" s="1299"/>
      <c r="J146" s="1299"/>
      <c r="K146" s="1299"/>
      <c r="L146" s="1299"/>
      <c r="M146" s="1299"/>
      <c r="N146" s="1299"/>
      <c r="O146" s="1299"/>
    </row>
    <row r="147" spans="2:16" ht="18">
      <c r="B147" s="1353"/>
      <c r="C147" s="1353"/>
      <c r="E147" s="1971" t="s">
        <v>836</v>
      </c>
      <c r="F147" s="1354" t="s">
        <v>444</v>
      </c>
      <c r="G147" s="1354" t="s">
        <v>445</v>
      </c>
      <c r="H147" s="1354" t="s">
        <v>414</v>
      </c>
      <c r="I147" s="1299"/>
      <c r="K147" s="3560" t="s">
        <v>838</v>
      </c>
      <c r="L147" s="3561"/>
      <c r="M147" s="1354" t="s">
        <v>444</v>
      </c>
      <c r="N147" s="1354" t="s">
        <v>445</v>
      </c>
      <c r="O147" s="1354" t="s">
        <v>414</v>
      </c>
    </row>
    <row r="148" spans="2:16">
      <c r="E148" s="1097" t="s">
        <v>67</v>
      </c>
      <c r="F148" s="148">
        <f>'FORMULAIRE PGA Eaux usées'!G630</f>
        <v>0</v>
      </c>
      <c r="G148" s="1355">
        <v>0.5</v>
      </c>
      <c r="H148" s="3558">
        <f>ROUNDDOWN((F148*G148+F149*G149),0)</f>
        <v>0</v>
      </c>
      <c r="I148" s="1299"/>
      <c r="J148" s="1299"/>
      <c r="L148" s="1097" t="s">
        <v>67</v>
      </c>
      <c r="M148" s="148">
        <f>'FORMULAIRE PGA Eaux usées'!L630</f>
        <v>0</v>
      </c>
      <c r="N148" s="1355">
        <v>0.5</v>
      </c>
      <c r="O148" s="3558">
        <f>ROUNDDOWN((M148*N148+M149*N149),0)</f>
        <v>0</v>
      </c>
      <c r="P148" s="1356" t="s">
        <v>415</v>
      </c>
    </row>
    <row r="149" spans="2:16">
      <c r="E149" s="1097" t="s">
        <v>68</v>
      </c>
      <c r="F149" s="148">
        <f>'FORMULAIRE PGA Eaux usées'!G625</f>
        <v>0</v>
      </c>
      <c r="G149" s="1355">
        <v>0.5</v>
      </c>
      <c r="H149" s="3558"/>
      <c r="I149" s="1299"/>
      <c r="L149" s="1097" t="s">
        <v>68</v>
      </c>
      <c r="M149" s="148">
        <f>'FORMULAIRE PGA Eaux usées'!L625</f>
        <v>0</v>
      </c>
      <c r="N149" s="1355">
        <v>0.5</v>
      </c>
      <c r="O149" s="3558"/>
      <c r="P149" s="1357" t="s">
        <v>446</v>
      </c>
    </row>
    <row r="150" spans="2:16">
      <c r="E150" s="1097" t="s">
        <v>69</v>
      </c>
      <c r="F150" s="148">
        <f>'FORMULAIRE PGA Eaux usées'!G631</f>
        <v>0</v>
      </c>
      <c r="G150" s="1355">
        <f>2/3/3</f>
        <v>0.22222222222222221</v>
      </c>
      <c r="H150" s="3558">
        <f>ROUNDDOWN((F150*G150+F151*G151+F152*G152+F154*G154+F155*G155+F156*G156),0)</f>
        <v>0</v>
      </c>
      <c r="I150" s="1299"/>
      <c r="L150" s="1097" t="s">
        <v>69</v>
      </c>
      <c r="M150" s="148">
        <f>'FORMULAIRE PGA Eaux usées'!L631</f>
        <v>0</v>
      </c>
      <c r="N150" s="1355">
        <f>2/3/3</f>
        <v>0.22222222222222221</v>
      </c>
      <c r="O150" s="3558">
        <f>ROUNDDOWN((M150*N150+M151*N151+M152*N152+M154*N154+M155*N155+M156*N156),0)</f>
        <v>0</v>
      </c>
      <c r="P150" s="1357" t="s">
        <v>447</v>
      </c>
    </row>
    <row r="151" spans="2:16">
      <c r="E151" s="1097" t="s">
        <v>70</v>
      </c>
      <c r="F151" s="148">
        <f>'FORMULAIRE PGA Eaux usées'!G626</f>
        <v>0</v>
      </c>
      <c r="G151" s="1355">
        <f>2/3/3</f>
        <v>0.22222222222222221</v>
      </c>
      <c r="H151" s="3558"/>
      <c r="I151" s="1299"/>
      <c r="L151" s="1097" t="s">
        <v>70</v>
      </c>
      <c r="M151" s="148">
        <f>'FORMULAIRE PGA Eaux usées'!L626</f>
        <v>0</v>
      </c>
      <c r="N151" s="1355">
        <f>2/3/3</f>
        <v>0.22222222222222221</v>
      </c>
      <c r="O151" s="3558"/>
      <c r="P151" s="1357" t="s">
        <v>448</v>
      </c>
    </row>
    <row r="152" spans="2:16">
      <c r="E152" s="1097" t="s">
        <v>71</v>
      </c>
      <c r="F152" s="148">
        <f>'FORMULAIRE PGA Eaux usées'!G627</f>
        <v>0</v>
      </c>
      <c r="G152" s="1355">
        <f>2/3/3</f>
        <v>0.22222222222222221</v>
      </c>
      <c r="H152" s="3558"/>
      <c r="I152" s="1299"/>
      <c r="L152" s="1097" t="s">
        <v>71</v>
      </c>
      <c r="M152" s="148">
        <f>'FORMULAIRE PGA Eaux usées'!L627</f>
        <v>0</v>
      </c>
      <c r="N152" s="1355">
        <f>2/3/3</f>
        <v>0.22222222222222221</v>
      </c>
      <c r="O152" s="3558"/>
      <c r="P152" s="1357" t="s">
        <v>449</v>
      </c>
    </row>
    <row r="153" spans="2:16">
      <c r="E153" s="1300" t="s">
        <v>450</v>
      </c>
      <c r="G153" s="1355"/>
      <c r="H153" s="3558"/>
      <c r="I153" s="1299"/>
      <c r="L153" s="1300" t="s">
        <v>450</v>
      </c>
      <c r="N153" s="1355"/>
      <c r="O153" s="3558"/>
      <c r="P153" s="1357" t="s">
        <v>451</v>
      </c>
    </row>
    <row r="154" spans="2:16">
      <c r="E154" s="1097" t="s">
        <v>72</v>
      </c>
      <c r="F154" s="148">
        <f>'FORMULAIRE PGA Eaux usées'!G614</f>
        <v>0</v>
      </c>
      <c r="G154" s="1355">
        <f>1/3/3</f>
        <v>0.1111111111111111</v>
      </c>
      <c r="H154" s="3558"/>
      <c r="I154" s="1299"/>
      <c r="J154" s="1354"/>
      <c r="L154" s="1097" t="s">
        <v>72</v>
      </c>
      <c r="M154" s="148">
        <f>'FORMULAIRE PGA Eaux usées'!L614</f>
        <v>0</v>
      </c>
      <c r="N154" s="1355">
        <f>1/3/3</f>
        <v>0.1111111111111111</v>
      </c>
      <c r="O154" s="3558"/>
    </row>
    <row r="155" spans="2:16">
      <c r="E155" s="1097" t="s">
        <v>73</v>
      </c>
      <c r="F155" s="148">
        <f>'FORMULAIRE PGA Eaux usées'!G618</f>
        <v>0</v>
      </c>
      <c r="G155" s="1355">
        <f>1/3/3</f>
        <v>0.1111111111111111</v>
      </c>
      <c r="H155" s="3558"/>
      <c r="I155" s="1299"/>
      <c r="J155" s="1299"/>
      <c r="L155" s="1097" t="s">
        <v>73</v>
      </c>
      <c r="M155" s="148">
        <f>'FORMULAIRE PGA Eaux usées'!L618</f>
        <v>0</v>
      </c>
      <c r="N155" s="1355">
        <f>1/3/3</f>
        <v>0.1111111111111111</v>
      </c>
      <c r="O155" s="3558"/>
    </row>
    <row r="156" spans="2:16">
      <c r="E156" s="1097" t="s">
        <v>74</v>
      </c>
      <c r="F156" s="148">
        <f>'FORMULAIRE PGA Eaux usées'!G622</f>
        <v>0</v>
      </c>
      <c r="G156" s="1355">
        <f>1/3/3</f>
        <v>0.1111111111111111</v>
      </c>
      <c r="H156" s="3558"/>
      <c r="I156" s="1299"/>
      <c r="J156" s="1299"/>
      <c r="L156" s="1097" t="s">
        <v>74</v>
      </c>
      <c r="M156" s="148">
        <f>'FORMULAIRE PGA Eaux usées'!L622</f>
        <v>0</v>
      </c>
      <c r="N156" s="1355">
        <f>1/3/3</f>
        <v>0.1111111111111111</v>
      </c>
      <c r="O156" s="3558"/>
    </row>
    <row r="157" spans="2:16">
      <c r="D157" s="1097"/>
      <c r="E157" s="148"/>
      <c r="F157" s="1358"/>
      <c r="G157" s="1358"/>
      <c r="H157" s="1358"/>
      <c r="I157" s="1299"/>
      <c r="J157" s="1299"/>
      <c r="K157" s="1097"/>
      <c r="L157" s="148"/>
      <c r="M157" s="1358"/>
      <c r="N157" s="1358"/>
      <c r="O157" s="1358"/>
    </row>
    <row r="158" spans="2:16" ht="18.75" customHeight="1">
      <c r="D158" s="3560" t="s">
        <v>452</v>
      </c>
      <c r="E158" s="3561"/>
      <c r="F158" s="1354" t="s">
        <v>444</v>
      </c>
      <c r="G158" s="1354" t="s">
        <v>445</v>
      </c>
      <c r="H158" s="1354" t="s">
        <v>414</v>
      </c>
      <c r="I158" s="1359"/>
      <c r="J158" s="1359"/>
      <c r="K158" s="1360" t="s">
        <v>453</v>
      </c>
      <c r="L158" s="148"/>
      <c r="M158" s="1358"/>
      <c r="N158" s="1358"/>
      <c r="O158" s="1358"/>
    </row>
    <row r="159" spans="2:16">
      <c r="E159" s="1097" t="s">
        <v>67</v>
      </c>
      <c r="F159" s="148">
        <f>IF($I$33=1,M148,IF($I$41=1,F148,AVERAGE(F148,M148)))</f>
        <v>0</v>
      </c>
      <c r="G159" s="1355">
        <v>0.5</v>
      </c>
      <c r="H159" s="3558">
        <f>ROUNDDOWN((F159*G159+F160*G160),0)</f>
        <v>0</v>
      </c>
      <c r="I159" s="1355">
        <v>0.15</v>
      </c>
      <c r="J159" s="28">
        <f>F159*I159</f>
        <v>0</v>
      </c>
      <c r="K159" s="3558">
        <f>ROUNDDOWN(SUM(J159:J167),0)</f>
        <v>0</v>
      </c>
      <c r="L159" s="148"/>
      <c r="M159" s="1358"/>
      <c r="N159" s="1358"/>
      <c r="O159" s="1358"/>
      <c r="P159" s="1357" t="s">
        <v>454</v>
      </c>
    </row>
    <row r="160" spans="2:16">
      <c r="E160" s="1097" t="s">
        <v>68</v>
      </c>
      <c r="F160" s="148">
        <f t="shared" ref="F160:F167" si="8">IF($I$33=1,M149,IF($I$41=1,F149,AVERAGE(F149,M149)))</f>
        <v>0</v>
      </c>
      <c r="G160" s="1355">
        <v>0.5</v>
      </c>
      <c r="H160" s="3558"/>
      <c r="I160" s="1355">
        <v>0.15</v>
      </c>
      <c r="J160" s="28">
        <f t="shared" ref="J160:J167" si="9">F160*I160</f>
        <v>0</v>
      </c>
      <c r="K160" s="3558"/>
      <c r="L160" s="148"/>
      <c r="M160" s="1358"/>
      <c r="N160" s="1358"/>
      <c r="O160" s="1358"/>
    </row>
    <row r="161" spans="2:17">
      <c r="E161" s="1097" t="s">
        <v>69</v>
      </c>
      <c r="F161" s="148">
        <f t="shared" si="8"/>
        <v>0</v>
      </c>
      <c r="G161" s="1355">
        <f>2/3/3</f>
        <v>0.22222222222222221</v>
      </c>
      <c r="H161" s="3558">
        <f>ROUNDDOWN((F161*G161+F162*G162+F163*G163+F165*G165+F166*G166+F167*G167),0)</f>
        <v>0</v>
      </c>
      <c r="I161" s="1355">
        <v>0.15</v>
      </c>
      <c r="J161" s="28">
        <f t="shared" si="9"/>
        <v>0</v>
      </c>
      <c r="K161" s="3558"/>
      <c r="L161" s="148"/>
      <c r="M161" s="1358"/>
      <c r="N161" s="1358"/>
      <c r="O161" s="1358"/>
    </row>
    <row r="162" spans="2:17">
      <c r="E162" s="1097" t="s">
        <v>70</v>
      </c>
      <c r="F162" s="148">
        <f t="shared" si="8"/>
        <v>0</v>
      </c>
      <c r="G162" s="1355">
        <f>2/3/3</f>
        <v>0.22222222222222221</v>
      </c>
      <c r="H162" s="3558"/>
      <c r="I162" s="1355">
        <v>0.15</v>
      </c>
      <c r="J162" s="28">
        <f t="shared" si="9"/>
        <v>0</v>
      </c>
      <c r="K162" s="3558"/>
      <c r="L162" s="148"/>
      <c r="M162" s="1358"/>
      <c r="N162" s="1358"/>
      <c r="O162" s="1358"/>
    </row>
    <row r="163" spans="2:17">
      <c r="E163" s="1097" t="s">
        <v>71</v>
      </c>
      <c r="F163" s="148">
        <f t="shared" si="8"/>
        <v>0</v>
      </c>
      <c r="G163" s="1355">
        <f>2/3/3</f>
        <v>0.22222222222222221</v>
      </c>
      <c r="H163" s="3558"/>
      <c r="I163" s="1355">
        <v>0.15</v>
      </c>
      <c r="J163" s="28">
        <f t="shared" si="9"/>
        <v>0</v>
      </c>
      <c r="K163" s="3558"/>
      <c r="L163" s="148"/>
      <c r="M163" s="1358"/>
      <c r="N163" s="1358"/>
      <c r="O163" s="1358"/>
    </row>
    <row r="164" spans="2:17">
      <c r="E164" s="1300" t="s">
        <v>450</v>
      </c>
      <c r="F164" s="148"/>
      <c r="G164" s="1355"/>
      <c r="H164" s="3558"/>
      <c r="I164" s="1355"/>
      <c r="K164" s="3558"/>
      <c r="L164" s="148"/>
      <c r="M164" s="1358"/>
      <c r="N164" s="1358"/>
      <c r="O164" s="1358"/>
    </row>
    <row r="165" spans="2:17">
      <c r="E165" s="1097" t="s">
        <v>72</v>
      </c>
      <c r="F165" s="148">
        <f t="shared" si="8"/>
        <v>0</v>
      </c>
      <c r="G165" s="1355">
        <f>1/3/3</f>
        <v>0.1111111111111111</v>
      </c>
      <c r="H165" s="3558"/>
      <c r="I165" s="1355">
        <f>0.25/3</f>
        <v>8.3333333333333329E-2</v>
      </c>
      <c r="J165" s="28">
        <f t="shared" si="9"/>
        <v>0</v>
      </c>
      <c r="K165" s="3558"/>
      <c r="L165" s="148"/>
      <c r="M165" s="1358"/>
      <c r="N165" s="1358"/>
      <c r="O165" s="1358"/>
      <c r="P165" s="1356" t="s">
        <v>455</v>
      </c>
    </row>
    <row r="166" spans="2:17">
      <c r="E166" s="1097" t="s">
        <v>73</v>
      </c>
      <c r="F166" s="148">
        <f t="shared" si="8"/>
        <v>0</v>
      </c>
      <c r="G166" s="1355">
        <f>1/3/3</f>
        <v>0.1111111111111111</v>
      </c>
      <c r="H166" s="3558"/>
      <c r="I166" s="1355">
        <f>0.25/3</f>
        <v>8.3333333333333329E-2</v>
      </c>
      <c r="J166" s="28">
        <f t="shared" si="9"/>
        <v>0</v>
      </c>
      <c r="K166" s="3558"/>
      <c r="L166" s="148"/>
      <c r="M166" s="1358"/>
      <c r="N166" s="1358"/>
      <c r="O166" s="1358"/>
      <c r="P166" s="1357" t="s">
        <v>456</v>
      </c>
    </row>
    <row r="167" spans="2:17">
      <c r="E167" s="1097" t="s">
        <v>74</v>
      </c>
      <c r="F167" s="148">
        <f t="shared" si="8"/>
        <v>0</v>
      </c>
      <c r="G167" s="1355">
        <f>1/3/3</f>
        <v>0.1111111111111111</v>
      </c>
      <c r="H167" s="3558"/>
      <c r="I167" s="1355">
        <f>0.25/3</f>
        <v>8.3333333333333329E-2</v>
      </c>
      <c r="J167" s="28">
        <f t="shared" si="9"/>
        <v>0</v>
      </c>
      <c r="K167" s="3558"/>
      <c r="L167" s="148"/>
      <c r="M167" s="1358"/>
      <c r="N167" s="1358"/>
      <c r="O167" s="1358"/>
      <c r="P167" s="1357" t="s">
        <v>457</v>
      </c>
    </row>
    <row r="168" spans="2:17">
      <c r="D168" s="1097"/>
      <c r="E168" s="148"/>
      <c r="F168" s="1358"/>
      <c r="G168" s="1358"/>
      <c r="H168" s="1358"/>
      <c r="I168" s="1299"/>
      <c r="J168" s="1299"/>
      <c r="K168" s="1097"/>
      <c r="L168" s="148"/>
      <c r="M168" s="1358"/>
      <c r="N168" s="1358"/>
      <c r="O168" s="1358"/>
    </row>
    <row r="171" spans="2:17" ht="22.5" customHeight="1">
      <c r="B171" s="1239" t="s">
        <v>458</v>
      </c>
      <c r="C171" s="1239"/>
      <c r="D171" s="1239"/>
      <c r="E171" s="1239"/>
      <c r="F171" s="1239"/>
      <c r="G171" s="1239"/>
      <c r="H171" s="1239"/>
      <c r="I171" s="1239"/>
      <c r="J171" s="1239"/>
      <c r="K171" s="1239"/>
      <c r="L171" s="1239"/>
      <c r="M171" s="1239"/>
      <c r="N171" s="1239"/>
      <c r="O171" s="1239"/>
      <c r="P171" s="1239"/>
      <c r="Q171" s="1239"/>
    </row>
    <row r="172" spans="2:17" ht="21">
      <c r="B172" s="1344"/>
      <c r="C172" s="1344"/>
    </row>
    <row r="173" spans="2:17" ht="21">
      <c r="B173" s="1344"/>
      <c r="C173" s="1344"/>
      <c r="D173" s="1345" t="s">
        <v>459</v>
      </c>
      <c r="J173" s="1345" t="s">
        <v>29</v>
      </c>
    </row>
    <row r="174" spans="2:17" ht="9" customHeight="1">
      <c r="B174" s="1344"/>
      <c r="C174" s="1344"/>
    </row>
    <row r="175" spans="2:17" ht="33" customHeight="1">
      <c r="D175" s="3563" t="s">
        <v>460</v>
      </c>
      <c r="E175" s="3563"/>
      <c r="F175" s="1362" t="s">
        <v>100</v>
      </c>
      <c r="G175" s="1097" t="s">
        <v>461</v>
      </c>
      <c r="J175" s="509"/>
      <c r="K175" s="1352"/>
      <c r="L175" s="1363" t="s">
        <v>414</v>
      </c>
      <c r="M175" s="1299"/>
    </row>
    <row r="176" spans="2:17">
      <c r="D176" s="1364" t="s">
        <v>101</v>
      </c>
      <c r="E176" s="1365">
        <f>O139/10</f>
        <v>0</v>
      </c>
      <c r="F176" s="1365">
        <f>'FORMULAIRE PGA Eaux usées'!F351+'FORMULAIRE PGA Eaux usées'!F361</f>
        <v>0</v>
      </c>
      <c r="G176" s="1366">
        <f t="shared" ref="G176:G181" si="10">F176-E176</f>
        <v>0</v>
      </c>
      <c r="K176" s="1367" t="s">
        <v>462</v>
      </c>
      <c r="L176" s="296">
        <f>ROUNDDOWN((F161*0.75+$F$165*0.25/3+$F$166*0.25/3+$F$167*0.25/3),0)</f>
        <v>0</v>
      </c>
      <c r="O176" s="1368" t="s">
        <v>463</v>
      </c>
      <c r="P176" s="1357" t="s">
        <v>464</v>
      </c>
    </row>
    <row r="177" spans="1:17">
      <c r="D177" s="903" t="s">
        <v>102</v>
      </c>
      <c r="E177" s="1369">
        <f>O140/10</f>
        <v>0</v>
      </c>
      <c r="F177" s="1369">
        <f>'FORMULAIRE PGA Eaux usées'!H351+'FORMULAIRE PGA Eaux usées'!H361</f>
        <v>0</v>
      </c>
      <c r="G177" s="1370">
        <f t="shared" si="10"/>
        <v>0</v>
      </c>
      <c r="K177" s="1367" t="s">
        <v>103</v>
      </c>
      <c r="L177" s="296">
        <f>ROUNDDOWN((F162*0.75+$F$165*0.25/3+$F$166*0.25/3+$F$167*0.25/3),0)</f>
        <v>0</v>
      </c>
      <c r="O177" s="1371"/>
      <c r="P177" s="1357"/>
    </row>
    <row r="178" spans="1:17">
      <c r="D178" s="903" t="s">
        <v>103</v>
      </c>
      <c r="E178" s="1369">
        <f>O141/10</f>
        <v>0</v>
      </c>
      <c r="F178" s="1369">
        <f>'FORMULAIRE PGA Eaux usées'!K351+'FORMULAIRE PGA Eaux usées'!K361</f>
        <v>0</v>
      </c>
      <c r="G178" s="1370">
        <f t="shared" si="10"/>
        <v>0</v>
      </c>
      <c r="K178" s="1367" t="s">
        <v>465</v>
      </c>
      <c r="L178" s="296">
        <f>ROUNDDOWN((F163*0.75+$F$165*0.25/3+$F$166*0.25/3+$F$167*0.25/3),0)</f>
        <v>0</v>
      </c>
      <c r="O178" s="1368" t="s">
        <v>463</v>
      </c>
      <c r="P178" s="1357" t="s">
        <v>446</v>
      </c>
    </row>
    <row r="179" spans="1:17">
      <c r="D179" s="903" t="s">
        <v>104</v>
      </c>
      <c r="E179" s="1369">
        <f>O142/10</f>
        <v>0</v>
      </c>
      <c r="F179" s="1369">
        <f>'FORMULAIRE PGA Eaux usées'!M351+'FORMULAIRE PGA Eaux usées'!M361</f>
        <v>0</v>
      </c>
      <c r="G179" s="1370">
        <f t="shared" si="10"/>
        <v>0</v>
      </c>
      <c r="P179" s="1357" t="s">
        <v>447</v>
      </c>
    </row>
    <row r="180" spans="1:17">
      <c r="D180" s="1351" t="s">
        <v>105</v>
      </c>
      <c r="E180" s="1372">
        <f>O143/10</f>
        <v>0</v>
      </c>
      <c r="F180" s="1372">
        <f>'FORMULAIRE PGA Eaux usées'!O351+'FORMULAIRE PGA Eaux usées'!O361</f>
        <v>0</v>
      </c>
      <c r="G180" s="1373">
        <f t="shared" si="10"/>
        <v>0</v>
      </c>
      <c r="P180" s="1357" t="s">
        <v>466</v>
      </c>
    </row>
    <row r="181" spans="1:17">
      <c r="D181" s="903" t="s">
        <v>467</v>
      </c>
      <c r="E181" s="1370">
        <f>SUM(E176:E180)</f>
        <v>0</v>
      </c>
      <c r="F181" s="1370">
        <f>SUM(F176:F180)</f>
        <v>0</v>
      </c>
      <c r="G181" s="1370">
        <f t="shared" si="10"/>
        <v>0</v>
      </c>
      <c r="K181" s="148"/>
      <c r="P181" s="1357" t="s">
        <v>468</v>
      </c>
    </row>
    <row r="182" spans="1:17">
      <c r="P182" s="1357" t="s">
        <v>451</v>
      </c>
    </row>
    <row r="185" spans="1:17" ht="22.5" customHeight="1">
      <c r="B185" s="1239" t="s">
        <v>99</v>
      </c>
      <c r="C185" s="1239"/>
      <c r="D185" s="1239"/>
      <c r="E185" s="1239"/>
      <c r="F185" s="1239"/>
      <c r="G185" s="1239"/>
      <c r="H185" s="1239"/>
      <c r="I185" s="1239"/>
      <c r="J185" s="1239"/>
      <c r="K185" s="1239"/>
      <c r="L185" s="1239"/>
      <c r="M185" s="1239"/>
      <c r="N185" s="1239"/>
      <c r="O185" s="1239"/>
      <c r="P185" s="1239"/>
      <c r="Q185" s="1239"/>
    </row>
    <row r="186" spans="1:17" ht="18">
      <c r="B186" s="1248"/>
      <c r="C186" s="1248"/>
      <c r="D186" s="1248"/>
      <c r="E186" s="1248"/>
      <c r="F186" s="1248"/>
      <c r="G186" s="1248"/>
      <c r="H186" s="1248"/>
      <c r="I186" s="1248"/>
      <c r="J186" s="1248"/>
      <c r="K186" s="1248"/>
      <c r="L186" s="1248"/>
      <c r="M186" s="1248"/>
      <c r="N186" s="1248"/>
      <c r="O186" s="1248"/>
      <c r="P186" s="1248"/>
      <c r="Q186" s="1248"/>
    </row>
    <row r="187" spans="1:17" ht="26.25" customHeight="1">
      <c r="B187" s="1344"/>
      <c r="C187" s="1344"/>
      <c r="D187" s="1345" t="s">
        <v>469</v>
      </c>
      <c r="I187" s="1345"/>
    </row>
    <row r="188" spans="1:17" ht="22.5" customHeight="1">
      <c r="B188" s="1344"/>
      <c r="C188" s="1344"/>
    </row>
    <row r="189" spans="1:17" ht="21">
      <c r="B189" s="1344"/>
      <c r="C189" s="1344"/>
      <c r="D189" s="1374" t="s">
        <v>836</v>
      </c>
      <c r="E189" s="72"/>
    </row>
    <row r="190" spans="1:17" ht="9.75" customHeight="1">
      <c r="B190" s="1344"/>
      <c r="C190" s="1344"/>
      <c r="D190" s="1375"/>
      <c r="E190" s="72"/>
    </row>
    <row r="191" spans="1:17" s="72" customFormat="1" ht="20.25" customHeight="1">
      <c r="A191" s="82"/>
      <c r="D191" s="1376"/>
      <c r="E191" s="1250">
        <f>'FORMULAIRE PGA Eaux usées'!E410</f>
        <v>0</v>
      </c>
      <c r="F191" s="1250">
        <f>E191+1</f>
        <v>1</v>
      </c>
      <c r="G191" s="1250">
        <f t="shared" ref="G191:N191" si="11">F191+1</f>
        <v>2</v>
      </c>
      <c r="H191" s="1250">
        <f t="shared" si="11"/>
        <v>3</v>
      </c>
      <c r="I191" s="1250">
        <f t="shared" si="11"/>
        <v>4</v>
      </c>
      <c r="J191" s="1250">
        <f t="shared" si="11"/>
        <v>5</v>
      </c>
      <c r="K191" s="1250">
        <f t="shared" si="11"/>
        <v>6</v>
      </c>
      <c r="L191" s="1250">
        <f t="shared" si="11"/>
        <v>7</v>
      </c>
      <c r="M191" s="1250">
        <f t="shared" si="11"/>
        <v>8</v>
      </c>
      <c r="N191" s="1250">
        <f t="shared" si="11"/>
        <v>9</v>
      </c>
      <c r="O191" s="1377" t="s">
        <v>442</v>
      </c>
    </row>
    <row r="192" spans="1:17">
      <c r="D192" s="1378" t="s">
        <v>100</v>
      </c>
      <c r="E192" s="1379">
        <f>'FORMULAIRE PGA Eaux usées'!F355</f>
        <v>0</v>
      </c>
      <c r="F192" s="1380">
        <f>E192</f>
        <v>0</v>
      </c>
      <c r="G192" s="1380">
        <f t="shared" ref="G192:N192" si="12">F192</f>
        <v>0</v>
      </c>
      <c r="H192" s="1380">
        <f t="shared" si="12"/>
        <v>0</v>
      </c>
      <c r="I192" s="1380">
        <f t="shared" si="12"/>
        <v>0</v>
      </c>
      <c r="J192" s="1380">
        <f t="shared" si="12"/>
        <v>0</v>
      </c>
      <c r="K192" s="1380">
        <f t="shared" si="12"/>
        <v>0</v>
      </c>
      <c r="L192" s="1380">
        <f t="shared" si="12"/>
        <v>0</v>
      </c>
      <c r="M192" s="1380">
        <f t="shared" si="12"/>
        <v>0</v>
      </c>
      <c r="N192" s="1380">
        <f t="shared" si="12"/>
        <v>0</v>
      </c>
      <c r="O192" s="1381">
        <f t="shared" ref="O192:O198" si="13">SUM(E192:N192)</f>
        <v>0</v>
      </c>
    </row>
    <row r="193" spans="1:16">
      <c r="B193" s="903"/>
      <c r="C193" s="903"/>
      <c r="D193" s="903" t="s">
        <v>101</v>
      </c>
      <c r="E193" s="1382">
        <f>'FORMULAIRE PGA Eaux usées'!E412</f>
        <v>0</v>
      </c>
      <c r="F193" s="1382">
        <f>'FORMULAIRE PGA Eaux usées'!F412</f>
        <v>0</v>
      </c>
      <c r="G193" s="1382">
        <f>'FORMULAIRE PGA Eaux usées'!G412</f>
        <v>0</v>
      </c>
      <c r="H193" s="1382">
        <f>'FORMULAIRE PGA Eaux usées'!H412</f>
        <v>0</v>
      </c>
      <c r="I193" s="1382">
        <f>'FORMULAIRE PGA Eaux usées'!I412</f>
        <v>0</v>
      </c>
      <c r="J193" s="1382">
        <f>'FORMULAIRE PGA Eaux usées'!J412</f>
        <v>0</v>
      </c>
      <c r="K193" s="1382">
        <f>'FORMULAIRE PGA Eaux usées'!K412</f>
        <v>0</v>
      </c>
      <c r="L193" s="1382">
        <f>'FORMULAIRE PGA Eaux usées'!L412</f>
        <v>0</v>
      </c>
      <c r="M193" s="1382">
        <f>'FORMULAIRE PGA Eaux usées'!M412</f>
        <v>0</v>
      </c>
      <c r="N193" s="1382">
        <f>'FORMULAIRE PGA Eaux usées'!N412</f>
        <v>0</v>
      </c>
      <c r="O193" s="1383">
        <f t="shared" si="13"/>
        <v>0</v>
      </c>
      <c r="P193" s="1384" t="str">
        <f>IF(ISERR(O193/$O$198)=TRUE,"",(O193/$O$198))</f>
        <v/>
      </c>
    </row>
    <row r="194" spans="1:16">
      <c r="B194" s="903"/>
      <c r="C194" s="903"/>
      <c r="D194" s="903" t="s">
        <v>102</v>
      </c>
      <c r="E194" s="1382">
        <f>'FORMULAIRE PGA Eaux usées'!E419</f>
        <v>0</v>
      </c>
      <c r="F194" s="1382">
        <f>'FORMULAIRE PGA Eaux usées'!F419</f>
        <v>0</v>
      </c>
      <c r="G194" s="1382">
        <f>'FORMULAIRE PGA Eaux usées'!G419</f>
        <v>0</v>
      </c>
      <c r="H194" s="1382">
        <f>'FORMULAIRE PGA Eaux usées'!H419</f>
        <v>0</v>
      </c>
      <c r="I194" s="1382">
        <f>'FORMULAIRE PGA Eaux usées'!I419</f>
        <v>0</v>
      </c>
      <c r="J194" s="1382">
        <f>'FORMULAIRE PGA Eaux usées'!J419</f>
        <v>0</v>
      </c>
      <c r="K194" s="1382">
        <f>'FORMULAIRE PGA Eaux usées'!K419</f>
        <v>0</v>
      </c>
      <c r="L194" s="1382">
        <f>'FORMULAIRE PGA Eaux usées'!L419</f>
        <v>0</v>
      </c>
      <c r="M194" s="1382">
        <f>'FORMULAIRE PGA Eaux usées'!M419</f>
        <v>0</v>
      </c>
      <c r="N194" s="1382">
        <f>'FORMULAIRE PGA Eaux usées'!N419</f>
        <v>0</v>
      </c>
      <c r="O194" s="1383">
        <f t="shared" si="13"/>
        <v>0</v>
      </c>
      <c r="P194" s="1384" t="str">
        <f>IF(ISERR(O194/$O$198)=TRUE,"",(O194/$O$198))</f>
        <v/>
      </c>
    </row>
    <row r="195" spans="1:16">
      <c r="B195" s="903"/>
      <c r="C195" s="903"/>
      <c r="D195" s="903" t="s">
        <v>103</v>
      </c>
      <c r="E195" s="1382">
        <f>'FORMULAIRE PGA Eaux usées'!E427</f>
        <v>0</v>
      </c>
      <c r="F195" s="1382">
        <f>'FORMULAIRE PGA Eaux usées'!F427</f>
        <v>0</v>
      </c>
      <c r="G195" s="1382">
        <f>'FORMULAIRE PGA Eaux usées'!G427</f>
        <v>0</v>
      </c>
      <c r="H195" s="1382">
        <f>'FORMULAIRE PGA Eaux usées'!H427</f>
        <v>0</v>
      </c>
      <c r="I195" s="1382">
        <f>'FORMULAIRE PGA Eaux usées'!I427</f>
        <v>0</v>
      </c>
      <c r="J195" s="1382">
        <f>'FORMULAIRE PGA Eaux usées'!J427</f>
        <v>0</v>
      </c>
      <c r="K195" s="1382">
        <f>'FORMULAIRE PGA Eaux usées'!K427</f>
        <v>0</v>
      </c>
      <c r="L195" s="1382">
        <f>'FORMULAIRE PGA Eaux usées'!L427</f>
        <v>0</v>
      </c>
      <c r="M195" s="1382">
        <f>'FORMULAIRE PGA Eaux usées'!M427</f>
        <v>0</v>
      </c>
      <c r="N195" s="1382">
        <f>'FORMULAIRE PGA Eaux usées'!N427</f>
        <v>0</v>
      </c>
      <c r="O195" s="1383">
        <f t="shared" si="13"/>
        <v>0</v>
      </c>
      <c r="P195" s="1384" t="str">
        <f>IF(ISERR(O195/$O$198)=TRUE,"",(O195/$O$198))</f>
        <v/>
      </c>
    </row>
    <row r="196" spans="1:16">
      <c r="B196" s="903"/>
      <c r="C196" s="903"/>
      <c r="D196" s="903" t="s">
        <v>104</v>
      </c>
      <c r="E196" s="1382">
        <f>'FORMULAIRE PGA Eaux usées'!E436</f>
        <v>0</v>
      </c>
      <c r="F196" s="1382">
        <f>'FORMULAIRE PGA Eaux usées'!F436</f>
        <v>0</v>
      </c>
      <c r="G196" s="1382">
        <f>'FORMULAIRE PGA Eaux usées'!G436</f>
        <v>0</v>
      </c>
      <c r="H196" s="1382">
        <f>'FORMULAIRE PGA Eaux usées'!H436</f>
        <v>0</v>
      </c>
      <c r="I196" s="1382">
        <f>'FORMULAIRE PGA Eaux usées'!I436</f>
        <v>0</v>
      </c>
      <c r="J196" s="1382">
        <f>'FORMULAIRE PGA Eaux usées'!J436</f>
        <v>0</v>
      </c>
      <c r="K196" s="1382">
        <f>'FORMULAIRE PGA Eaux usées'!K436</f>
        <v>0</v>
      </c>
      <c r="L196" s="1382">
        <f>'FORMULAIRE PGA Eaux usées'!L436</f>
        <v>0</v>
      </c>
      <c r="M196" s="1382">
        <f>'FORMULAIRE PGA Eaux usées'!M436</f>
        <v>0</v>
      </c>
      <c r="N196" s="1382">
        <f>'FORMULAIRE PGA Eaux usées'!N436</f>
        <v>0</v>
      </c>
      <c r="O196" s="1383">
        <f t="shared" si="13"/>
        <v>0</v>
      </c>
      <c r="P196" s="1384" t="str">
        <f>IF(ISERR(O196/$O$198)=TRUE,"",(O196/$O$198))</f>
        <v/>
      </c>
    </row>
    <row r="197" spans="1:16">
      <c r="B197" s="903"/>
      <c r="C197" s="903"/>
      <c r="D197" s="903" t="s">
        <v>105</v>
      </c>
      <c r="E197" s="1382">
        <f>'FORMULAIRE PGA Eaux usées'!E442</f>
        <v>0</v>
      </c>
      <c r="F197" s="1382">
        <f>'FORMULAIRE PGA Eaux usées'!F442</f>
        <v>0</v>
      </c>
      <c r="G197" s="1382">
        <f>'FORMULAIRE PGA Eaux usées'!G442</f>
        <v>0</v>
      </c>
      <c r="H197" s="1382">
        <f>'FORMULAIRE PGA Eaux usées'!H442</f>
        <v>0</v>
      </c>
      <c r="I197" s="1382">
        <f>'FORMULAIRE PGA Eaux usées'!I442</f>
        <v>0</v>
      </c>
      <c r="J197" s="1382">
        <f>'FORMULAIRE PGA Eaux usées'!J442</f>
        <v>0</v>
      </c>
      <c r="K197" s="1382">
        <f>'FORMULAIRE PGA Eaux usées'!K442</f>
        <v>0</v>
      </c>
      <c r="L197" s="1382">
        <f>'FORMULAIRE PGA Eaux usées'!L442</f>
        <v>0</v>
      </c>
      <c r="M197" s="1382">
        <f>'FORMULAIRE PGA Eaux usées'!M442</f>
        <v>0</v>
      </c>
      <c r="N197" s="1382">
        <f>'FORMULAIRE PGA Eaux usées'!N442</f>
        <v>0</v>
      </c>
      <c r="O197" s="1383">
        <f t="shared" si="13"/>
        <v>0</v>
      </c>
      <c r="P197" s="1384" t="str">
        <f>IF(ISERR(O197/$O$198)=TRUE,"",(O197/$O$198))</f>
        <v/>
      </c>
    </row>
    <row r="198" spans="1:16" ht="18.75" customHeight="1">
      <c r="B198" s="903"/>
      <c r="C198" s="903"/>
      <c r="D198" s="1385" t="s">
        <v>467</v>
      </c>
      <c r="E198" s="1386">
        <f>SUM(E193:E197)</f>
        <v>0</v>
      </c>
      <c r="F198" s="1386">
        <f t="shared" ref="F198:N198" si="14">SUM(F193:F197)</f>
        <v>0</v>
      </c>
      <c r="G198" s="1386">
        <f t="shared" si="14"/>
        <v>0</v>
      </c>
      <c r="H198" s="1386">
        <f t="shared" si="14"/>
        <v>0</v>
      </c>
      <c r="I198" s="1386">
        <f t="shared" si="14"/>
        <v>0</v>
      </c>
      <c r="J198" s="1386">
        <f t="shared" si="14"/>
        <v>0</v>
      </c>
      <c r="K198" s="1386">
        <f t="shared" si="14"/>
        <v>0</v>
      </c>
      <c r="L198" s="1386">
        <f t="shared" si="14"/>
        <v>0</v>
      </c>
      <c r="M198" s="1386">
        <f t="shared" si="14"/>
        <v>0</v>
      </c>
      <c r="N198" s="1386">
        <f t="shared" si="14"/>
        <v>0</v>
      </c>
      <c r="O198" s="1387">
        <f t="shared" si="13"/>
        <v>0</v>
      </c>
      <c r="P198" s="1388">
        <f>IF(O226=0,0,O198/O226)</f>
        <v>0</v>
      </c>
    </row>
    <row r="199" spans="1:16">
      <c r="B199" s="903"/>
      <c r="C199" s="903"/>
      <c r="D199" s="903"/>
      <c r="E199" s="1382"/>
      <c r="F199" s="1382"/>
      <c r="G199" s="1382"/>
      <c r="H199" s="1382"/>
      <c r="I199" s="1382"/>
      <c r="J199" s="1382"/>
      <c r="K199" s="1382"/>
      <c r="L199" s="1382"/>
      <c r="M199" s="1382"/>
      <c r="N199" s="1382"/>
      <c r="O199" s="1382"/>
      <c r="P199" s="1388"/>
    </row>
    <row r="200" spans="1:16">
      <c r="B200" s="903"/>
      <c r="C200" s="903"/>
      <c r="D200" s="903"/>
      <c r="E200" s="1382"/>
      <c r="F200" s="1382"/>
      <c r="G200" s="1382"/>
      <c r="H200" s="1382"/>
      <c r="I200" s="1382"/>
      <c r="J200" s="1382"/>
      <c r="K200" s="1382"/>
      <c r="L200" s="1382"/>
      <c r="M200" s="1382"/>
      <c r="N200" s="1382"/>
      <c r="O200" s="1382"/>
      <c r="P200" s="1388"/>
    </row>
    <row r="201" spans="1:16" ht="21.75" customHeight="1">
      <c r="B201" s="903"/>
      <c r="C201" s="903"/>
      <c r="D201" s="1389" t="s">
        <v>33</v>
      </c>
      <c r="E201" s="2505"/>
      <c r="F201" s="1395"/>
      <c r="G201" s="2506"/>
      <c r="H201" s="1395"/>
      <c r="I201" s="2507"/>
      <c r="J201" s="1395"/>
      <c r="L201" s="2508"/>
      <c r="M201" s="1395"/>
      <c r="N201" s="2509"/>
      <c r="O201" s="1395"/>
    </row>
    <row r="202" spans="1:16" ht="18.75" customHeight="1">
      <c r="B202" s="903"/>
      <c r="C202" s="903"/>
      <c r="D202" s="1390">
        <f>H150</f>
        <v>0</v>
      </c>
      <c r="E202" s="1361"/>
      <c r="F202" s="2511"/>
      <c r="G202" s="2511"/>
      <c r="H202" s="2511"/>
      <c r="I202" s="2511"/>
      <c r="J202" s="2511"/>
      <c r="K202" s="2511"/>
      <c r="M202" s="2511"/>
      <c r="N202" s="2511"/>
      <c r="O202" s="2511"/>
      <c r="P202" s="2511"/>
    </row>
    <row r="203" spans="1:16" ht="11.25" customHeight="1">
      <c r="B203" s="903"/>
      <c r="C203" s="903"/>
      <c r="D203" s="903"/>
      <c r="E203" s="2510"/>
      <c r="F203" s="1382"/>
      <c r="G203" s="1382"/>
      <c r="H203" s="2510"/>
      <c r="I203" s="1382"/>
      <c r="J203" s="1382"/>
      <c r="K203" s="1382"/>
      <c r="L203" s="1382"/>
      <c r="M203" s="1382"/>
      <c r="N203" s="1382"/>
      <c r="O203" s="1382"/>
      <c r="P203" s="1388"/>
    </row>
    <row r="204" spans="1:16">
      <c r="B204" s="903"/>
      <c r="C204" s="903"/>
      <c r="D204" s="903"/>
      <c r="E204" s="1382"/>
      <c r="F204" s="1382"/>
      <c r="G204" s="1382"/>
      <c r="H204" s="1382"/>
      <c r="I204" s="1382"/>
      <c r="J204" s="1382"/>
      <c r="N204" s="1382"/>
      <c r="O204" s="1382"/>
      <c r="P204" s="1388"/>
    </row>
    <row r="205" spans="1:16" ht="16.5" customHeight="1">
      <c r="D205" s="1097"/>
      <c r="E205" s="1097"/>
    </row>
    <row r="206" spans="1:16" ht="21" customHeight="1">
      <c r="D206" s="1374" t="s">
        <v>838</v>
      </c>
      <c r="E206" s="72"/>
    </row>
    <row r="207" spans="1:16" ht="9.75" customHeight="1">
      <c r="B207" s="1344"/>
      <c r="C207" s="1344"/>
      <c r="D207" s="1375"/>
      <c r="E207" s="72"/>
    </row>
    <row r="208" spans="1:16" s="72" customFormat="1" ht="20.25" customHeight="1">
      <c r="A208" s="82"/>
      <c r="D208" s="1376"/>
      <c r="E208" s="1250">
        <f>'FORMULAIRE PGA Eaux usées'!E410</f>
        <v>0</v>
      </c>
      <c r="F208" s="1250">
        <f>E208+1</f>
        <v>1</v>
      </c>
      <c r="G208" s="1250">
        <f t="shared" ref="G208:N208" si="15">F208+1</f>
        <v>2</v>
      </c>
      <c r="H208" s="1250">
        <f t="shared" si="15"/>
        <v>3</v>
      </c>
      <c r="I208" s="1250">
        <f t="shared" si="15"/>
        <v>4</v>
      </c>
      <c r="J208" s="1250">
        <f t="shared" si="15"/>
        <v>5</v>
      </c>
      <c r="K208" s="1250">
        <f t="shared" si="15"/>
        <v>6</v>
      </c>
      <c r="L208" s="1250">
        <f t="shared" si="15"/>
        <v>7</v>
      </c>
      <c r="M208" s="1250">
        <f t="shared" si="15"/>
        <v>8</v>
      </c>
      <c r="N208" s="1250">
        <f t="shared" si="15"/>
        <v>9</v>
      </c>
      <c r="O208" s="1377" t="s">
        <v>442</v>
      </c>
    </row>
    <row r="209" spans="2:16">
      <c r="D209" s="1378" t="s">
        <v>100</v>
      </c>
      <c r="E209" s="1379">
        <f>'FORMULAIRE PGA Eaux usées'!F365</f>
        <v>0</v>
      </c>
      <c r="F209" s="1379">
        <f>E209</f>
        <v>0</v>
      </c>
      <c r="G209" s="1379">
        <f t="shared" ref="G209:N209" si="16">F209</f>
        <v>0</v>
      </c>
      <c r="H209" s="1379">
        <f t="shared" si="16"/>
        <v>0</v>
      </c>
      <c r="I209" s="1379">
        <f t="shared" si="16"/>
        <v>0</v>
      </c>
      <c r="J209" s="1379">
        <f t="shared" si="16"/>
        <v>0</v>
      </c>
      <c r="K209" s="1379">
        <f t="shared" si="16"/>
        <v>0</v>
      </c>
      <c r="L209" s="1379">
        <f t="shared" si="16"/>
        <v>0</v>
      </c>
      <c r="M209" s="1379">
        <f t="shared" si="16"/>
        <v>0</v>
      </c>
      <c r="N209" s="1379">
        <f t="shared" si="16"/>
        <v>0</v>
      </c>
      <c r="O209" s="1381">
        <f t="shared" ref="O209:O215" si="17">SUM(E209:N209)</f>
        <v>0</v>
      </c>
    </row>
    <row r="210" spans="2:16">
      <c r="D210" s="903" t="s">
        <v>101</v>
      </c>
      <c r="E210" s="1382">
        <f>'FORMULAIRE PGA Eaux usées'!E457</f>
        <v>0</v>
      </c>
      <c r="F210" s="1382">
        <f>'FORMULAIRE PGA Eaux usées'!F457</f>
        <v>0</v>
      </c>
      <c r="G210" s="1382">
        <f>'FORMULAIRE PGA Eaux usées'!G457</f>
        <v>0</v>
      </c>
      <c r="H210" s="1382">
        <f>'FORMULAIRE PGA Eaux usées'!H457</f>
        <v>0</v>
      </c>
      <c r="I210" s="1382">
        <f>'FORMULAIRE PGA Eaux usées'!I457</f>
        <v>0</v>
      </c>
      <c r="J210" s="1382">
        <f>'FORMULAIRE PGA Eaux usées'!J457</f>
        <v>0</v>
      </c>
      <c r="K210" s="1382">
        <f>'FORMULAIRE PGA Eaux usées'!K457</f>
        <v>0</v>
      </c>
      <c r="L210" s="1382">
        <f>'FORMULAIRE PGA Eaux usées'!L457</f>
        <v>0</v>
      </c>
      <c r="M210" s="1382">
        <f>'FORMULAIRE PGA Eaux usées'!M457</f>
        <v>0</v>
      </c>
      <c r="N210" s="1382">
        <f>'FORMULAIRE PGA Eaux usées'!N457</f>
        <v>0</v>
      </c>
      <c r="O210" s="1383">
        <f t="shared" si="17"/>
        <v>0</v>
      </c>
      <c r="P210" s="1384" t="str">
        <f>IF(ISERR(O210/$O$215)=TRUE,"",(O210/$O$215))</f>
        <v/>
      </c>
    </row>
    <row r="211" spans="2:16">
      <c r="D211" s="903" t="s">
        <v>102</v>
      </c>
      <c r="E211" s="1382">
        <f>'FORMULAIRE PGA Eaux usées'!E464</f>
        <v>0</v>
      </c>
      <c r="F211" s="1382">
        <f>'FORMULAIRE PGA Eaux usées'!F464</f>
        <v>0</v>
      </c>
      <c r="G211" s="1382">
        <f>'FORMULAIRE PGA Eaux usées'!G464</f>
        <v>0</v>
      </c>
      <c r="H211" s="1382">
        <f>'FORMULAIRE PGA Eaux usées'!H464</f>
        <v>0</v>
      </c>
      <c r="I211" s="1382">
        <f>'FORMULAIRE PGA Eaux usées'!I464</f>
        <v>0</v>
      </c>
      <c r="J211" s="1382">
        <f>'FORMULAIRE PGA Eaux usées'!J464</f>
        <v>0</v>
      </c>
      <c r="K211" s="1382">
        <f>'FORMULAIRE PGA Eaux usées'!K464</f>
        <v>0</v>
      </c>
      <c r="L211" s="1382">
        <f>'FORMULAIRE PGA Eaux usées'!L464</f>
        <v>0</v>
      </c>
      <c r="M211" s="1382">
        <f>'FORMULAIRE PGA Eaux usées'!M464</f>
        <v>0</v>
      </c>
      <c r="N211" s="1382">
        <f>'FORMULAIRE PGA Eaux usées'!N464</f>
        <v>0</v>
      </c>
      <c r="O211" s="1383">
        <f t="shared" si="17"/>
        <v>0</v>
      </c>
      <c r="P211" s="1384" t="str">
        <f>IF(ISERR(O211/$O$215)=TRUE,"",(O211/$O$215))</f>
        <v/>
      </c>
    </row>
    <row r="212" spans="2:16">
      <c r="D212" s="903" t="s">
        <v>103</v>
      </c>
      <c r="E212" s="1382">
        <f>'FORMULAIRE PGA Eaux usées'!E472</f>
        <v>0</v>
      </c>
      <c r="F212" s="1382">
        <f>'FORMULAIRE PGA Eaux usées'!F472</f>
        <v>0</v>
      </c>
      <c r="G212" s="1382">
        <f>'FORMULAIRE PGA Eaux usées'!G472</f>
        <v>0</v>
      </c>
      <c r="H212" s="1382">
        <f>'FORMULAIRE PGA Eaux usées'!H472</f>
        <v>0</v>
      </c>
      <c r="I212" s="1382">
        <f>'FORMULAIRE PGA Eaux usées'!I472</f>
        <v>0</v>
      </c>
      <c r="J212" s="1382">
        <f>'FORMULAIRE PGA Eaux usées'!J472</f>
        <v>0</v>
      </c>
      <c r="K212" s="1382">
        <f>'FORMULAIRE PGA Eaux usées'!K472</f>
        <v>0</v>
      </c>
      <c r="L212" s="1382">
        <f>'FORMULAIRE PGA Eaux usées'!L472</f>
        <v>0</v>
      </c>
      <c r="M212" s="1382">
        <f>'FORMULAIRE PGA Eaux usées'!M472</f>
        <v>0</v>
      </c>
      <c r="N212" s="1382">
        <f>'FORMULAIRE PGA Eaux usées'!N472</f>
        <v>0</v>
      </c>
      <c r="O212" s="1383">
        <f t="shared" si="17"/>
        <v>0</v>
      </c>
      <c r="P212" s="1384" t="str">
        <f>IF(ISERR(O212/$O$215)=TRUE,"",(O212/$O$215))</f>
        <v/>
      </c>
    </row>
    <row r="213" spans="2:16">
      <c r="D213" s="903" t="s">
        <v>104</v>
      </c>
      <c r="E213" s="1382">
        <f>'FORMULAIRE PGA Eaux usées'!E481</f>
        <v>0</v>
      </c>
      <c r="F213" s="1382">
        <f>'FORMULAIRE PGA Eaux usées'!F481</f>
        <v>0</v>
      </c>
      <c r="G213" s="1382">
        <f>'FORMULAIRE PGA Eaux usées'!G481</f>
        <v>0</v>
      </c>
      <c r="H213" s="1382">
        <f>'FORMULAIRE PGA Eaux usées'!H481</f>
        <v>0</v>
      </c>
      <c r="I213" s="1382">
        <f>'FORMULAIRE PGA Eaux usées'!I481</f>
        <v>0</v>
      </c>
      <c r="J213" s="1382">
        <f>'FORMULAIRE PGA Eaux usées'!J481</f>
        <v>0</v>
      </c>
      <c r="K213" s="1382">
        <f>'FORMULAIRE PGA Eaux usées'!K481</f>
        <v>0</v>
      </c>
      <c r="L213" s="1382">
        <f>'FORMULAIRE PGA Eaux usées'!L481</f>
        <v>0</v>
      </c>
      <c r="M213" s="1382">
        <f>'FORMULAIRE PGA Eaux usées'!M481</f>
        <v>0</v>
      </c>
      <c r="N213" s="1382">
        <f>'FORMULAIRE PGA Eaux usées'!N481</f>
        <v>0</v>
      </c>
      <c r="O213" s="1383">
        <f t="shared" si="17"/>
        <v>0</v>
      </c>
      <c r="P213" s="1384" t="str">
        <f>IF(ISERR(O213/$O$215)=TRUE,"",(O213/$O$215))</f>
        <v/>
      </c>
    </row>
    <row r="214" spans="2:16">
      <c r="D214" s="903" t="s">
        <v>105</v>
      </c>
      <c r="E214" s="1382">
        <f>'FORMULAIRE PGA Eaux usées'!E487</f>
        <v>0</v>
      </c>
      <c r="F214" s="1382">
        <f>'FORMULAIRE PGA Eaux usées'!F487</f>
        <v>0</v>
      </c>
      <c r="G214" s="1382">
        <f>'FORMULAIRE PGA Eaux usées'!G487</f>
        <v>0</v>
      </c>
      <c r="H214" s="1382">
        <f>'FORMULAIRE PGA Eaux usées'!H487</f>
        <v>0</v>
      </c>
      <c r="I214" s="1382">
        <f>'FORMULAIRE PGA Eaux usées'!I487</f>
        <v>0</v>
      </c>
      <c r="J214" s="1382">
        <f>'FORMULAIRE PGA Eaux usées'!J487</f>
        <v>0</v>
      </c>
      <c r="K214" s="1382">
        <f>'FORMULAIRE PGA Eaux usées'!K487</f>
        <v>0</v>
      </c>
      <c r="L214" s="1382">
        <f>'FORMULAIRE PGA Eaux usées'!L487</f>
        <v>0</v>
      </c>
      <c r="M214" s="1382">
        <f>'FORMULAIRE PGA Eaux usées'!M487</f>
        <v>0</v>
      </c>
      <c r="N214" s="1382">
        <f>'FORMULAIRE PGA Eaux usées'!N487</f>
        <v>0</v>
      </c>
      <c r="O214" s="1383">
        <f t="shared" si="17"/>
        <v>0</v>
      </c>
      <c r="P214" s="1384" t="str">
        <f>IF(ISERR(O214/$O$215)=TRUE,"",(O214/$O$215))</f>
        <v/>
      </c>
    </row>
    <row r="215" spans="2:16" ht="21" customHeight="1">
      <c r="D215" s="1385" t="s">
        <v>467</v>
      </c>
      <c r="E215" s="1386">
        <f>SUM(E210:E214)</f>
        <v>0</v>
      </c>
      <c r="F215" s="1386">
        <f t="shared" ref="F215:N215" si="18">SUM(F210:F214)</f>
        <v>0</v>
      </c>
      <c r="G215" s="1386">
        <f t="shared" si="18"/>
        <v>0</v>
      </c>
      <c r="H215" s="1386">
        <f t="shared" si="18"/>
        <v>0</v>
      </c>
      <c r="I215" s="1386">
        <f t="shared" si="18"/>
        <v>0</v>
      </c>
      <c r="J215" s="1386">
        <f t="shared" si="18"/>
        <v>0</v>
      </c>
      <c r="K215" s="1386">
        <f t="shared" si="18"/>
        <v>0</v>
      </c>
      <c r="L215" s="1386">
        <f t="shared" si="18"/>
        <v>0</v>
      </c>
      <c r="M215" s="1386">
        <f t="shared" si="18"/>
        <v>0</v>
      </c>
      <c r="N215" s="1386">
        <f t="shared" si="18"/>
        <v>0</v>
      </c>
      <c r="O215" s="1387">
        <f t="shared" si="17"/>
        <v>0</v>
      </c>
      <c r="P215" s="1388">
        <f>IF(O226=0,0,O215/O226)</f>
        <v>0</v>
      </c>
    </row>
    <row r="216" spans="2:16">
      <c r="B216" s="903"/>
      <c r="C216" s="903"/>
      <c r="D216" s="903"/>
      <c r="E216" s="1382"/>
      <c r="F216" s="1382"/>
      <c r="G216" s="1382"/>
      <c r="H216" s="1382"/>
      <c r="I216" s="1382"/>
      <c r="J216" s="1382"/>
      <c r="K216" s="1382"/>
      <c r="L216" s="1382"/>
      <c r="M216" s="1382"/>
      <c r="N216" s="1382"/>
      <c r="O216" s="1382"/>
      <c r="P216" s="1388"/>
    </row>
    <row r="217" spans="2:16">
      <c r="B217" s="903"/>
      <c r="C217" s="903"/>
      <c r="D217" s="903"/>
      <c r="E217" s="1382"/>
      <c r="F217" s="1382"/>
      <c r="G217" s="1382"/>
      <c r="H217" s="1382"/>
      <c r="I217" s="1382"/>
      <c r="J217" s="1382"/>
      <c r="K217" s="1382"/>
      <c r="L217" s="1382"/>
      <c r="M217" s="1382"/>
      <c r="N217" s="1382"/>
      <c r="O217" s="1382"/>
      <c r="P217" s="1388"/>
    </row>
    <row r="218" spans="2:16" ht="21.75" customHeight="1">
      <c r="B218" s="903"/>
      <c r="C218" s="903"/>
      <c r="D218" s="2747" t="s">
        <v>33</v>
      </c>
      <c r="E218" s="2749"/>
      <c r="F218" s="1395"/>
      <c r="G218" s="2506"/>
      <c r="H218" s="1395"/>
      <c r="I218" s="2507"/>
      <c r="J218" s="1395"/>
      <c r="L218" s="2508"/>
      <c r="M218" s="1395"/>
      <c r="N218" s="2509"/>
      <c r="O218" s="1395"/>
    </row>
    <row r="219" spans="2:16" ht="18.75" customHeight="1">
      <c r="B219" s="903"/>
      <c r="C219" s="903"/>
      <c r="D219" s="2748">
        <f>O150</f>
        <v>0</v>
      </c>
      <c r="E219" s="2750"/>
      <c r="F219" s="2511"/>
      <c r="G219" s="2511"/>
      <c r="H219" s="2511"/>
      <c r="I219" s="2511"/>
      <c r="J219" s="2511"/>
      <c r="K219" s="2511"/>
      <c r="M219" s="2511"/>
      <c r="N219" s="2511"/>
      <c r="O219" s="2511"/>
      <c r="P219" s="2511"/>
    </row>
    <row r="220" spans="2:16" ht="11.25" customHeight="1">
      <c r="B220" s="903"/>
      <c r="C220" s="903"/>
      <c r="D220" s="903"/>
      <c r="E220" s="2510"/>
      <c r="F220" s="1382"/>
      <c r="G220" s="1382"/>
      <c r="H220" s="2510"/>
      <c r="I220" s="1382"/>
      <c r="J220" s="1382"/>
      <c r="K220" s="1382"/>
      <c r="L220" s="1382"/>
      <c r="M220" s="1382"/>
      <c r="N220" s="1382"/>
      <c r="O220" s="1382"/>
      <c r="P220" s="1388"/>
    </row>
    <row r="221" spans="2:16">
      <c r="B221" s="903"/>
      <c r="C221" s="903"/>
      <c r="D221" s="903"/>
      <c r="E221" s="1382"/>
      <c r="F221" s="1382"/>
      <c r="G221" s="1382"/>
      <c r="H221" s="1382"/>
      <c r="I221" s="1382"/>
      <c r="J221" s="1382"/>
      <c r="N221" s="1382"/>
      <c r="O221" s="1382"/>
      <c r="P221" s="1388"/>
    </row>
    <row r="222" spans="2:16" ht="19.5" customHeight="1"/>
    <row r="224" spans="2:16" ht="21.75" customHeight="1">
      <c r="D224" s="1374" t="s">
        <v>452</v>
      </c>
    </row>
    <row r="225" spans="1:17" ht="7.5" customHeight="1">
      <c r="D225" s="1375"/>
    </row>
    <row r="226" spans="1:17" ht="20.25" customHeight="1">
      <c r="D226" s="1385" t="s">
        <v>467</v>
      </c>
      <c r="E226" s="1386">
        <f>E198+E215</f>
        <v>0</v>
      </c>
      <c r="F226" s="1386">
        <f t="shared" ref="F226:N226" si="19">F198+F215</f>
        <v>0</v>
      </c>
      <c r="G226" s="1386">
        <f t="shared" si="19"/>
        <v>0</v>
      </c>
      <c r="H226" s="1386">
        <f t="shared" si="19"/>
        <v>0</v>
      </c>
      <c r="I226" s="1386">
        <f t="shared" si="19"/>
        <v>0</v>
      </c>
      <c r="J226" s="1386">
        <f t="shared" si="19"/>
        <v>0</v>
      </c>
      <c r="K226" s="1386">
        <f t="shared" si="19"/>
        <v>0</v>
      </c>
      <c r="L226" s="1386">
        <f t="shared" si="19"/>
        <v>0</v>
      </c>
      <c r="M226" s="1386">
        <f t="shared" si="19"/>
        <v>0</v>
      </c>
      <c r="N226" s="1386">
        <f t="shared" si="19"/>
        <v>0</v>
      </c>
      <c r="O226" s="1387">
        <f>O198+O215</f>
        <v>0</v>
      </c>
    </row>
    <row r="229" spans="1:17" ht="22.5" customHeight="1">
      <c r="B229" s="1239" t="s">
        <v>16</v>
      </c>
      <c r="C229" s="1239"/>
      <c r="D229" s="1239"/>
      <c r="E229" s="1239"/>
      <c r="F229" s="1239"/>
      <c r="G229" s="1239"/>
      <c r="H229" s="1239"/>
      <c r="I229" s="1239"/>
      <c r="J229" s="1239"/>
      <c r="K229" s="1239"/>
      <c r="L229" s="1239"/>
      <c r="M229" s="1239"/>
      <c r="N229" s="1239"/>
      <c r="O229" s="1239"/>
      <c r="P229" s="1239"/>
      <c r="Q229" s="1239"/>
    </row>
    <row r="231" spans="1:17" ht="26.25" customHeight="1">
      <c r="B231" s="1344"/>
      <c r="C231" s="1344"/>
      <c r="D231" s="1345" t="s">
        <v>30</v>
      </c>
      <c r="I231" s="1345"/>
    </row>
    <row r="232" spans="1:17" ht="22.5" customHeight="1">
      <c r="B232" s="1344"/>
      <c r="C232" s="1344"/>
    </row>
    <row r="233" spans="1:17" ht="15" customHeight="1"/>
    <row r="234" spans="1:17" ht="15" customHeight="1">
      <c r="E234" s="2746"/>
    </row>
    <row r="235" spans="1:17" ht="20.25" customHeight="1">
      <c r="E235" s="2514" t="s">
        <v>2287</v>
      </c>
      <c r="F235" s="1429"/>
      <c r="G235" s="1097"/>
      <c r="H235" s="1300"/>
    </row>
    <row r="236" spans="1:17" s="72" customFormat="1" ht="19.5" customHeight="1">
      <c r="A236" s="82"/>
      <c r="E236" s="2515"/>
      <c r="F236" s="2516" t="s">
        <v>31</v>
      </c>
      <c r="G236" s="2525"/>
      <c r="H236" s="2687"/>
      <c r="L236" s="28"/>
      <c r="M236" s="1391">
        <f>'FORMULAIRE PGA Eaux usées'!O413+'FORMULAIRE PGA Eaux usées'!O420+'FORMULAIRE PGA Eaux usées'!O458+'FORMULAIRE PGA Eaux usées'!O465</f>
        <v>0</v>
      </c>
      <c r="N236" s="1392" t="e">
        <f>M236/$L$247</f>
        <v>#DIV/0!</v>
      </c>
    </row>
    <row r="237" spans="1:17" s="72" customFormat="1" ht="19.5" customHeight="1">
      <c r="A237" s="82"/>
      <c r="E237" s="2515"/>
      <c r="F237" s="2516" t="s">
        <v>75</v>
      </c>
      <c r="G237" s="2519"/>
      <c r="H237" s="2519"/>
      <c r="M237" s="1391">
        <f>'FORMULAIRE PGA Eaux usées'!O428+'FORMULAIRE PGA Eaux usées'!O437+'FORMULAIRE PGA Eaux usées'!O443+'FORMULAIRE PGA Eaux usées'!O473+'FORMULAIRE PGA Eaux usées'!O482+'FORMULAIRE PGA Eaux usées'!O488</f>
        <v>0</v>
      </c>
      <c r="N237" s="1392" t="e">
        <f>M237/$L$247</f>
        <v>#DIV/0!</v>
      </c>
    </row>
    <row r="238" spans="1:17" ht="12" customHeight="1">
      <c r="E238" s="614"/>
      <c r="F238" s="2516"/>
      <c r="G238" s="1370"/>
      <c r="H238" s="1370"/>
      <c r="M238" s="1391"/>
      <c r="N238" s="1392"/>
    </row>
    <row r="239" spans="1:17" ht="20.25" customHeight="1">
      <c r="E239" s="2514" t="s">
        <v>48</v>
      </c>
      <c r="F239" s="2516"/>
      <c r="G239" s="1370"/>
      <c r="H239" s="1370"/>
      <c r="M239" s="1391"/>
      <c r="N239" s="1392"/>
    </row>
    <row r="240" spans="1:17" ht="19.5" customHeight="1">
      <c r="E240" s="2515"/>
      <c r="F240" s="2516" t="s">
        <v>76</v>
      </c>
      <c r="G240" s="1370"/>
      <c r="H240" s="1370"/>
      <c r="M240" s="1391">
        <f>'FORMULAIRE PGA Eaux usées'!O429+'FORMULAIRE PGA Eaux usées'!O474</f>
        <v>0</v>
      </c>
      <c r="N240" s="1392" t="e">
        <f>M240/$L$247</f>
        <v>#DIV/0!</v>
      </c>
    </row>
    <row r="241" spans="4:16" ht="12" customHeight="1">
      <c r="E241" s="614"/>
      <c r="F241" s="2516"/>
      <c r="G241" s="1370"/>
      <c r="H241" s="1370"/>
      <c r="M241" s="1391"/>
      <c r="N241" s="1392"/>
    </row>
    <row r="242" spans="4:16" ht="20.25" customHeight="1">
      <c r="E242" s="2514" t="s">
        <v>49</v>
      </c>
      <c r="F242" s="2516"/>
      <c r="G242" s="1370"/>
      <c r="H242" s="1370"/>
      <c r="N242" s="1392"/>
    </row>
    <row r="243" spans="4:16" ht="19.5" customHeight="1">
      <c r="E243" s="2515"/>
      <c r="F243" s="2516" t="s">
        <v>77</v>
      </c>
      <c r="M243" s="1393">
        <f>'FORMULAIRE PGA Eaux usées'!O415+'FORMULAIRE PGA Eaux usées'!O422+'FORMULAIRE PGA Eaux usées'!O460+'FORMULAIRE PGA Eaux usées'!O467</f>
        <v>0</v>
      </c>
      <c r="N243" s="1392" t="e">
        <f>M243/$L$247</f>
        <v>#DIV/0!</v>
      </c>
    </row>
    <row r="244" spans="4:16" ht="19.5" customHeight="1">
      <c r="E244" s="2515"/>
      <c r="F244" s="2516" t="s">
        <v>78</v>
      </c>
      <c r="M244" s="1391">
        <f>H253+H255+H257+K253+K255+K257</f>
        <v>0</v>
      </c>
      <c r="N244" s="1392" t="e">
        <f>M244/$L$247</f>
        <v>#DIV/0!</v>
      </c>
      <c r="O244" s="1394" t="e">
        <f>SUM(N236:N244)</f>
        <v>#DIV/0!</v>
      </c>
    </row>
    <row r="245" spans="4:16" ht="15" customHeight="1">
      <c r="F245" s="1395"/>
      <c r="G245" s="1396"/>
      <c r="H245" s="1370"/>
    </row>
    <row r="246" spans="4:16" ht="17.25" customHeight="1">
      <c r="G246" s="1396"/>
      <c r="H246" s="1370"/>
      <c r="M246" s="1391"/>
    </row>
    <row r="247" spans="4:16" ht="26.25" customHeight="1">
      <c r="D247" s="1389" t="s">
        <v>33</v>
      </c>
      <c r="F247" s="1395"/>
      <c r="G247" s="1396"/>
      <c r="H247" s="1370"/>
      <c r="L247" s="3559">
        <f>SUM(M236:M244)</f>
        <v>0</v>
      </c>
      <c r="M247" s="3559"/>
      <c r="N247" s="3559"/>
    </row>
    <row r="248" spans="4:16" ht="15" customHeight="1">
      <c r="D248" s="1390">
        <f>H161</f>
        <v>0</v>
      </c>
      <c r="E248" s="1396"/>
      <c r="F248" s="1396"/>
      <c r="G248" s="1396"/>
      <c r="H248" s="1370"/>
    </row>
    <row r="249" spans="4:16" ht="18.75" customHeight="1"/>
    <row r="250" spans="4:16" ht="17.25" customHeight="1">
      <c r="F250" s="1395"/>
      <c r="G250" s="1396"/>
      <c r="H250" s="1370"/>
    </row>
    <row r="251" spans="4:16" ht="28.5" customHeight="1">
      <c r="E251" s="1395"/>
      <c r="F251" s="1397"/>
      <c r="G251" s="1346"/>
      <c r="H251" s="1398" t="s">
        <v>31</v>
      </c>
      <c r="I251" s="1399"/>
      <c r="J251" s="1346"/>
      <c r="K251" s="1398" t="s">
        <v>32</v>
      </c>
      <c r="M251" s="2518" t="s">
        <v>33</v>
      </c>
      <c r="N251" s="2521" t="s">
        <v>470</v>
      </c>
      <c r="O251" s="2522" t="s">
        <v>471</v>
      </c>
      <c r="P251" s="1401"/>
    </row>
    <row r="252" spans="4:16" ht="21" customHeight="1">
      <c r="D252" s="509"/>
      <c r="E252" s="509"/>
      <c r="F252" s="1402" t="s">
        <v>107</v>
      </c>
      <c r="G252" s="1403" t="s">
        <v>108</v>
      </c>
      <c r="H252" s="1972" t="s">
        <v>472</v>
      </c>
      <c r="I252" s="1402" t="s">
        <v>107</v>
      </c>
      <c r="J252" s="1403" t="s">
        <v>108</v>
      </c>
      <c r="K252" s="1972" t="s">
        <v>472</v>
      </c>
      <c r="M252" s="1404"/>
      <c r="N252" s="1346"/>
      <c r="O252" s="1330"/>
    </row>
    <row r="253" spans="4:16" ht="38.25" customHeight="1">
      <c r="D253" s="1404"/>
      <c r="E253" s="1405" t="s">
        <v>72</v>
      </c>
      <c r="F253" s="1406">
        <f>'FORMULAIRE PGA Eaux usées'!O416+'FORMULAIRE PGA Eaux usées'!O423</f>
        <v>0</v>
      </c>
      <c r="G253" s="1407">
        <f>'FORMULAIRE PGA Eaux usées'!O461+'FORMULAIRE PGA Eaux usées'!O468</f>
        <v>0</v>
      </c>
      <c r="H253" s="1408">
        <f>F253+G253</f>
        <v>0</v>
      </c>
      <c r="I253" s="1406">
        <f>'FORMULAIRE PGA Eaux usées'!O431+'FORMULAIRE PGA Eaux usées'!O439+'FORMULAIRE PGA Eaux usées'!O445</f>
        <v>0</v>
      </c>
      <c r="J253" s="1407">
        <f>'FORMULAIRE PGA Eaux usées'!O476+'FORMULAIRE PGA Eaux usées'!O484+'FORMULAIRE PGA Eaux usées'!O490</f>
        <v>0</v>
      </c>
      <c r="K253" s="1408">
        <f>I253+J253</f>
        <v>0</v>
      </c>
      <c r="M253" s="1329">
        <f>ROUNDDOWN(F165,0)</f>
        <v>0</v>
      </c>
      <c r="N253" s="2532">
        <f>IF(ISERR(H253),0,H253)</f>
        <v>0</v>
      </c>
      <c r="O253" s="2533">
        <f>IF(ISERR(K253),0,K253)</f>
        <v>0</v>
      </c>
    </row>
    <row r="254" spans="4:16" ht="9" customHeight="1">
      <c r="D254" s="1284"/>
      <c r="E254" s="1411"/>
      <c r="F254" s="1284"/>
      <c r="G254" s="509"/>
      <c r="H254" s="1326"/>
      <c r="I254" s="1284"/>
      <c r="J254" s="509"/>
      <c r="K254" s="1326"/>
      <c r="M254" s="1284"/>
      <c r="N254" s="2530"/>
      <c r="O254" s="2531"/>
    </row>
    <row r="255" spans="4:16" ht="38.25" customHeight="1">
      <c r="D255" s="104"/>
      <c r="E255" s="1405" t="s">
        <v>73</v>
      </c>
      <c r="F255" s="1406">
        <f>'FORMULAIRE PGA Eaux usées'!O417+'FORMULAIRE PGA Eaux usées'!O424</f>
        <v>0</v>
      </c>
      <c r="G255" s="1407">
        <f>'FORMULAIRE PGA Eaux usées'!O462+'FORMULAIRE PGA Eaux usées'!O469</f>
        <v>0</v>
      </c>
      <c r="H255" s="1408">
        <f>F255+G255</f>
        <v>0</v>
      </c>
      <c r="I255" s="1406">
        <f>'FORMULAIRE PGA Eaux usées'!O432+'FORMULAIRE PGA Eaux usées'!O440+'FORMULAIRE PGA Eaux usées'!O446</f>
        <v>0</v>
      </c>
      <c r="J255" s="1407">
        <f>'FORMULAIRE PGA Eaux usées'!O477+'FORMULAIRE PGA Eaux usées'!O485+'FORMULAIRE PGA Eaux usées'!O491</f>
        <v>0</v>
      </c>
      <c r="K255" s="1408">
        <f>I255+J255</f>
        <v>0</v>
      </c>
      <c r="M255" s="1322">
        <f>ROUNDDOWN(F166,0)</f>
        <v>0</v>
      </c>
      <c r="N255" s="2528">
        <f>IF(ISERR(H255),0,H255)</f>
        <v>0</v>
      </c>
      <c r="O255" s="2520">
        <f>IF(ISERR(K255),0,K255)</f>
        <v>0</v>
      </c>
    </row>
    <row r="256" spans="4:16" ht="9" customHeight="1">
      <c r="D256" s="1284"/>
      <c r="E256" s="1411"/>
      <c r="F256" s="1412"/>
      <c r="G256" s="1413"/>
      <c r="H256" s="1414"/>
      <c r="I256" s="1412"/>
      <c r="J256" s="1413"/>
      <c r="K256" s="1414"/>
      <c r="M256" s="1284"/>
      <c r="N256" s="2530"/>
      <c r="O256" s="2531"/>
    </row>
    <row r="257" spans="2:17" ht="38.25" customHeight="1">
      <c r="D257" s="104"/>
      <c r="E257" s="1405" t="s">
        <v>74</v>
      </c>
      <c r="F257" s="1406">
        <f>'FORMULAIRE PGA Eaux usées'!O418+'FORMULAIRE PGA Eaux usées'!O425</f>
        <v>0</v>
      </c>
      <c r="G257" s="1407">
        <f>'FORMULAIRE PGA Eaux usées'!O463+'FORMULAIRE PGA Eaux usées'!O470</f>
        <v>0</v>
      </c>
      <c r="H257" s="1408">
        <f>F257+G257</f>
        <v>0</v>
      </c>
      <c r="I257" s="1406">
        <f>'FORMULAIRE PGA Eaux usées'!O433+'FORMULAIRE PGA Eaux usées'!O441+'FORMULAIRE PGA Eaux usées'!O447</f>
        <v>0</v>
      </c>
      <c r="J257" s="1407">
        <f>'FORMULAIRE PGA Eaux usées'!O478+'FORMULAIRE PGA Eaux usées'!O486+'FORMULAIRE PGA Eaux usées'!O492</f>
        <v>0</v>
      </c>
      <c r="K257" s="1408">
        <f>I257+J257</f>
        <v>0</v>
      </c>
      <c r="M257" s="1322">
        <f>ROUNDDOWN(F167,0)</f>
        <v>0</v>
      </c>
      <c r="N257" s="2528">
        <f>IF(ISERR(H257),0,H257)</f>
        <v>0</v>
      </c>
      <c r="O257" s="2520">
        <f>IF(ISERR(K257),0,K257)</f>
        <v>0</v>
      </c>
    </row>
    <row r="258" spans="2:17" ht="9" customHeight="1">
      <c r="D258" s="1284"/>
      <c r="E258" s="1411"/>
      <c r="F258" s="1415"/>
      <c r="G258" s="1416"/>
      <c r="H258" s="1417"/>
      <c r="I258" s="1412"/>
      <c r="J258" s="1416"/>
      <c r="K258" s="1414"/>
      <c r="M258" s="1284"/>
      <c r="N258" s="509"/>
      <c r="O258" s="1326"/>
    </row>
    <row r="259" spans="2:17" ht="17.25" customHeight="1">
      <c r="F259" s="1396"/>
      <c r="G259" s="1396"/>
      <c r="H259" s="1370"/>
    </row>
    <row r="262" spans="2:17" ht="31.5" customHeight="1">
      <c r="B262" s="1237" t="s">
        <v>5</v>
      </c>
      <c r="C262" s="1237"/>
      <c r="D262" s="1238"/>
      <c r="E262" s="1238"/>
      <c r="F262" s="1238"/>
      <c r="G262" s="1238"/>
      <c r="H262" s="1238"/>
      <c r="I262" s="1238"/>
      <c r="J262" s="1238"/>
      <c r="K262" s="1238"/>
      <c r="L262" s="1238"/>
      <c r="M262" s="1238"/>
      <c r="N262" s="1238"/>
      <c r="O262" s="1238"/>
      <c r="P262" s="1238"/>
      <c r="Q262" s="1238"/>
    </row>
    <row r="264" spans="2:17" ht="22.5" customHeight="1">
      <c r="B264" s="1239" t="s">
        <v>17</v>
      </c>
      <c r="C264" s="1239"/>
      <c r="D264" s="1239"/>
      <c r="E264" s="1239"/>
      <c r="F264" s="1239"/>
      <c r="G264" s="1239"/>
      <c r="H264" s="1239"/>
      <c r="I264" s="1239"/>
      <c r="J264" s="1239"/>
      <c r="K264" s="1239"/>
      <c r="L264" s="1239"/>
      <c r="M264" s="1239"/>
      <c r="N264" s="1239"/>
      <c r="O264" s="1239"/>
      <c r="P264" s="1239"/>
      <c r="Q264" s="1239"/>
    </row>
    <row r="265" spans="2:17" ht="21">
      <c r="B265" s="1344"/>
      <c r="C265" s="1344"/>
    </row>
    <row r="266" spans="2:17" ht="17.25" customHeight="1">
      <c r="D266" s="509"/>
      <c r="E266" s="509"/>
      <c r="F266" s="1333" t="s">
        <v>473</v>
      </c>
    </row>
    <row r="267" spans="2:17">
      <c r="E267" s="1097" t="s">
        <v>107</v>
      </c>
      <c r="F267" s="1097" t="s">
        <v>108</v>
      </c>
    </row>
    <row r="268" spans="2:17">
      <c r="D268" s="1320" t="str">
        <f>'FORMULAIRE PGA Eaux usées'!C520</f>
        <v>Coûts prévisionnels totaux (besoins totaux)</v>
      </c>
      <c r="E268" s="1369">
        <f>'FORMULAIRE PGA Eaux usées'!O520</f>
        <v>0</v>
      </c>
      <c r="F268" s="1369">
        <f>'FORMULAIRE PGA Eaux usées'!O547</f>
        <v>0</v>
      </c>
    </row>
    <row r="269" spans="2:17" ht="15.6">
      <c r="D269" s="1320" t="str">
        <f>'FORMULAIRE PGA Eaux usées'!C521</f>
        <v>Revenus du gouvernement provincial</v>
      </c>
      <c r="E269" s="1369">
        <f>'FORMULAIRE PGA Eaux usées'!O521</f>
        <v>0</v>
      </c>
      <c r="F269" s="1369">
        <f>'FORMULAIRE PGA Eaux usées'!O548</f>
        <v>0</v>
      </c>
      <c r="L269" s="1332" t="s">
        <v>474</v>
      </c>
      <c r="M269" s="509"/>
      <c r="N269" s="509"/>
    </row>
    <row r="270" spans="2:17">
      <c r="D270" s="1320" t="str">
        <f>'FORMULAIRE PGA Eaux usées'!C522</f>
        <v xml:space="preserve">Revenus générés </v>
      </c>
      <c r="E270" s="1369">
        <f>'FORMULAIRE PGA Eaux usées'!O522</f>
        <v>0</v>
      </c>
      <c r="F270" s="1369">
        <f>'FORMULAIRE PGA Eaux usées'!O549</f>
        <v>0</v>
      </c>
    </row>
    <row r="271" spans="2:17">
      <c r="D271" s="1320" t="str">
        <f>'FORMULAIRE PGA Eaux usées'!C523</f>
        <v xml:space="preserve">Budget total planifié </v>
      </c>
      <c r="E271" s="1369">
        <f>'FORMULAIRE PGA Eaux usées'!O523</f>
        <v>0</v>
      </c>
      <c r="F271" s="1369">
        <f>'FORMULAIRE PGA Eaux usées'!O550</f>
        <v>0</v>
      </c>
      <c r="L271" s="1098" t="s">
        <v>475</v>
      </c>
      <c r="M271" s="1394" t="e">
        <f>(E271+F271)/(E268+F268)</f>
        <v>#DIV/0!</v>
      </c>
      <c r="N271" s="1418" t="str">
        <f>IF(ISERR(M271)=TRUE,"",M271)</f>
        <v/>
      </c>
    </row>
    <row r="272" spans="2:17">
      <c r="D272" s="1320" t="str">
        <f>'FORMULAIRE PGA Eaux usées'!C524</f>
        <v>Déficit de financement</v>
      </c>
      <c r="E272" s="1369">
        <f>'FORMULAIRE PGA Eaux usées'!O524</f>
        <v>0</v>
      </c>
      <c r="F272" s="1369">
        <f>'FORMULAIRE PGA Eaux usées'!O551</f>
        <v>0</v>
      </c>
      <c r="L272" s="1098" t="s">
        <v>476</v>
      </c>
      <c r="M272" s="1394" t="e">
        <f>(E270+F270)/(E271+F271)</f>
        <v>#DIV/0!</v>
      </c>
      <c r="N272" s="1419" t="str">
        <f>IF(ISERR(M272)=TRUE,"",M272)</f>
        <v/>
      </c>
    </row>
    <row r="274" spans="2:17" ht="20.25" customHeight="1">
      <c r="D274" s="1341" t="s">
        <v>477</v>
      </c>
      <c r="K274" s="1332" t="s">
        <v>33</v>
      </c>
      <c r="L274" s="1332"/>
      <c r="M274" s="1332"/>
      <c r="N274" s="1332"/>
      <c r="O274" s="509"/>
    </row>
    <row r="275" spans="2:17">
      <c r="E275" s="1097"/>
      <c r="F275" s="319" t="s">
        <v>83</v>
      </c>
      <c r="M275" s="1320"/>
      <c r="N275" s="1320" t="s">
        <v>478</v>
      </c>
      <c r="O275" s="1320" t="s">
        <v>94</v>
      </c>
    </row>
    <row r="276" spans="2:17">
      <c r="B276" s="1098" t="s">
        <v>107</v>
      </c>
      <c r="C276" s="1098"/>
      <c r="D276" s="1098" t="s">
        <v>479</v>
      </c>
      <c r="E276" s="1420">
        <f>E271</f>
        <v>0</v>
      </c>
      <c r="F276" s="1420">
        <f>E272</f>
        <v>0</v>
      </c>
      <c r="K276" s="1320" t="str">
        <f>'FORMULAIRE PGA Eaux usées'!C634</f>
        <v>Financement estimé pour le fonctionnement</v>
      </c>
      <c r="L276" s="1320" t="s">
        <v>107</v>
      </c>
      <c r="M276" s="319">
        <f>'FORMULAIRE PGA Eaux usées'!G634</f>
        <v>0</v>
      </c>
      <c r="N276" s="1421">
        <f>IF($I$33=1,M277,IF($I$41=1,M276,ROUNDDOWN(AVERAGE(M276:M277),0)))</f>
        <v>0</v>
      </c>
      <c r="O276" s="1422">
        <f>IF($I$33=1,ROUNDDOWN(AVERAGE(M277,M279),0),IF($I$41=1,ROUNDDOWN(AVERAGE(M276,M278),0),ROUNDDOWN(AVERAGE(M276:M279),0)))</f>
        <v>0</v>
      </c>
    </row>
    <row r="277" spans="2:17">
      <c r="B277" s="1098"/>
      <c r="C277" s="1098"/>
      <c r="D277" s="1098" t="s">
        <v>441</v>
      </c>
      <c r="E277" s="1420">
        <f>E268</f>
        <v>0</v>
      </c>
      <c r="F277" s="319">
        <v>0</v>
      </c>
      <c r="L277" s="1320" t="s">
        <v>108</v>
      </c>
      <c r="M277" s="28">
        <f>'FORMULAIRE PGA Eaux usées'!L634</f>
        <v>0</v>
      </c>
      <c r="N277" s="1423"/>
    </row>
    <row r="278" spans="2:17">
      <c r="B278" s="1098" t="s">
        <v>108</v>
      </c>
      <c r="C278" s="1098"/>
      <c r="D278" s="1098" t="s">
        <v>441</v>
      </c>
      <c r="E278" s="1420">
        <f>F268</f>
        <v>0</v>
      </c>
      <c r="F278" s="319">
        <v>0</v>
      </c>
      <c r="J278" s="1320"/>
      <c r="K278" s="1320" t="str">
        <f>'FORMULAIRE PGA Eaux usées'!C631</f>
        <v>Coûts prévus pour l'exploitation et pour l'entretien</v>
      </c>
      <c r="L278" s="1320" t="s">
        <v>107</v>
      </c>
      <c r="M278" s="319">
        <f>'FORMULAIRE PGA Eaux usées'!G631</f>
        <v>0</v>
      </c>
      <c r="N278" s="1423"/>
    </row>
    <row r="279" spans="2:17">
      <c r="B279" s="1098"/>
      <c r="C279" s="1098"/>
      <c r="D279" s="1098" t="s">
        <v>479</v>
      </c>
      <c r="E279" s="1420">
        <f>F271</f>
        <v>0</v>
      </c>
      <c r="F279" s="1420">
        <f>F272</f>
        <v>0</v>
      </c>
      <c r="L279" s="1320" t="s">
        <v>108</v>
      </c>
      <c r="M279" s="28">
        <f>'FORMULAIRE PGA Eaux usées'!L631</f>
        <v>0</v>
      </c>
    </row>
    <row r="280" spans="2:17">
      <c r="B280" s="1098"/>
      <c r="C280" s="1098"/>
      <c r="D280" s="1098"/>
      <c r="E280" s="1420"/>
      <c r="F280" s="1420"/>
    </row>
    <row r="282" spans="2:17" ht="22.5" customHeight="1">
      <c r="B282" s="1239" t="s">
        <v>18</v>
      </c>
      <c r="C282" s="1239"/>
      <c r="D282" s="1239"/>
      <c r="E282" s="1239"/>
      <c r="F282" s="1239"/>
      <c r="G282" s="1239"/>
      <c r="H282" s="1239"/>
      <c r="I282" s="1239"/>
      <c r="J282" s="1239"/>
      <c r="K282" s="1239"/>
      <c r="L282" s="1239"/>
      <c r="M282" s="1239"/>
      <c r="N282" s="1239"/>
      <c r="O282" s="1239"/>
      <c r="P282" s="1239"/>
      <c r="Q282" s="1239"/>
    </row>
    <row r="284" spans="2:17" ht="17.25" customHeight="1">
      <c r="D284" s="509"/>
      <c r="E284" s="509"/>
      <c r="F284" s="1333" t="s">
        <v>473</v>
      </c>
    </row>
    <row r="285" spans="2:17">
      <c r="E285" s="1097" t="s">
        <v>107</v>
      </c>
      <c r="F285" s="1097" t="s">
        <v>108</v>
      </c>
    </row>
    <row r="286" spans="2:17">
      <c r="D286" s="1320" t="str">
        <f>'FORMULAIRE PGA Eaux usées'!C527</f>
        <v>Coûts prévisionnels totaux (besoins totaux)</v>
      </c>
      <c r="E286" s="1369">
        <f>'FORMULAIRE PGA Eaux usées'!O527</f>
        <v>0</v>
      </c>
      <c r="F286" s="1369">
        <f>'FORMULAIRE PGA Eaux usées'!O554</f>
        <v>0</v>
      </c>
    </row>
    <row r="287" spans="2:17">
      <c r="D287" s="1320" t="str">
        <f>'FORMULAIRE PGA Eaux usées'!C528</f>
        <v>Excédent de fonctionnement</v>
      </c>
      <c r="E287" s="1369">
        <f>'FORMULAIRE PGA Eaux usées'!O528</f>
        <v>0</v>
      </c>
      <c r="F287" s="1369">
        <f>'FORMULAIRE PGA Eaux usées'!O555</f>
        <v>0</v>
      </c>
    </row>
    <row r="288" spans="2:17" ht="15.6">
      <c r="D288" s="1320" t="str">
        <f>'FORMULAIRE PGA Eaux usées'!C529</f>
        <v>Financement du gouvernement provincial</v>
      </c>
      <c r="E288" s="1369">
        <f>'FORMULAIRE PGA Eaux usées'!O529</f>
        <v>0</v>
      </c>
      <c r="F288" s="1369">
        <f>'FORMULAIRE PGA Eaux usées'!O556</f>
        <v>0</v>
      </c>
      <c r="L288" s="1332" t="s">
        <v>474</v>
      </c>
      <c r="M288" s="509"/>
      <c r="N288" s="509"/>
    </row>
    <row r="289" spans="2:17">
      <c r="D289" s="1320" t="str">
        <f>'FORMULAIRE PGA Eaux usées'!C530</f>
        <v>Autres types de financement</v>
      </c>
      <c r="E289" s="1369">
        <f>'FORMULAIRE PGA Eaux usées'!O530</f>
        <v>0</v>
      </c>
      <c r="F289" s="1369">
        <f>'FORMULAIRE PGA Eaux usées'!O557</f>
        <v>0</v>
      </c>
    </row>
    <row r="290" spans="2:17">
      <c r="D290" s="1320" t="str">
        <f>'FORMULAIRE PGA Eaux usées'!C531</f>
        <v xml:space="preserve">Budget total planifié </v>
      </c>
      <c r="E290" s="1369">
        <f>'FORMULAIRE PGA Eaux usées'!O531</f>
        <v>0</v>
      </c>
      <c r="F290" s="1369">
        <f>'FORMULAIRE PGA Eaux usées'!O558</f>
        <v>0</v>
      </c>
      <c r="L290" s="1098" t="s">
        <v>480</v>
      </c>
      <c r="M290" s="1394" t="e">
        <f>(E290+F290)/(E286+F286)</f>
        <v>#DIV/0!</v>
      </c>
      <c r="N290" s="1418" t="str">
        <f>IF(ISERR(M290)=TRUE,"",M290)</f>
        <v/>
      </c>
    </row>
    <row r="291" spans="2:17">
      <c r="D291" s="1320" t="str">
        <f>'FORMULAIRE PGA Eaux usées'!C532</f>
        <v>Déficit de financement</v>
      </c>
      <c r="E291" s="1369">
        <f>'FORMULAIRE PGA Eaux usées'!O532</f>
        <v>0</v>
      </c>
      <c r="F291" s="1369">
        <f>'FORMULAIRE PGA Eaux usées'!O559</f>
        <v>0</v>
      </c>
      <c r="L291" s="1098" t="s">
        <v>481</v>
      </c>
      <c r="M291" s="1394" t="e">
        <f>(E289+F289)/(E290+F290)</f>
        <v>#DIV/0!</v>
      </c>
      <c r="N291" s="1419" t="str">
        <f>IF(ISERR(M291)=TRUE,"",M291)</f>
        <v/>
      </c>
    </row>
    <row r="292" spans="2:17">
      <c r="D292" s="1320"/>
      <c r="E292" s="1369"/>
      <c r="F292" s="1369"/>
    </row>
    <row r="293" spans="2:17" ht="21" customHeight="1">
      <c r="D293" s="1341" t="s">
        <v>482</v>
      </c>
      <c r="K293" s="1332" t="s">
        <v>33</v>
      </c>
      <c r="L293" s="1332"/>
      <c r="M293" s="1332"/>
      <c r="N293" s="1332"/>
      <c r="O293" s="1332"/>
    </row>
    <row r="294" spans="2:17">
      <c r="E294" s="1097"/>
      <c r="F294" s="28" t="s">
        <v>83</v>
      </c>
      <c r="L294" s="1320"/>
      <c r="N294" s="1320" t="s">
        <v>478</v>
      </c>
      <c r="O294" s="1320" t="s">
        <v>94</v>
      </c>
    </row>
    <row r="295" spans="2:17">
      <c r="B295" s="1098" t="s">
        <v>107</v>
      </c>
      <c r="C295" s="1098"/>
      <c r="D295" s="1098" t="s">
        <v>479</v>
      </c>
      <c r="E295" s="1420">
        <f>E290</f>
        <v>0</v>
      </c>
      <c r="F295" s="1420">
        <f>E291</f>
        <v>0</v>
      </c>
      <c r="K295" s="1320" t="str">
        <f>'FORMULAIRE PGA Eaux usées'!C635</f>
        <v>Financement estimé pour le renouvellement</v>
      </c>
      <c r="L295" s="1320" t="s">
        <v>107</v>
      </c>
      <c r="M295" s="319">
        <f>'FORMULAIRE PGA Eaux usées'!G635</f>
        <v>0</v>
      </c>
      <c r="N295" s="1421">
        <f>IF($I$33=1,M296,IF($I$41=1,M295,ROUNDDOWN(AVERAGE(M295:M296),0)))</f>
        <v>0</v>
      </c>
      <c r="O295" s="1422">
        <f>IF($I$33=1,ROUNDDOWN(AVERAGE(M296,M298),0),IF($I$41=1,ROUNDDOWN(AVERAGE(M295,M297),0),ROUNDDOWN(AVERAGE(M295:M298),0)))</f>
        <v>0</v>
      </c>
    </row>
    <row r="296" spans="2:17">
      <c r="B296" s="1098"/>
      <c r="C296" s="1098"/>
      <c r="D296" s="1098" t="s">
        <v>441</v>
      </c>
      <c r="E296" s="1420">
        <f>E286</f>
        <v>0</v>
      </c>
      <c r="F296" s="319">
        <v>0</v>
      </c>
      <c r="L296" s="1320" t="s">
        <v>108</v>
      </c>
      <c r="M296" s="28">
        <f>'FORMULAIRE PGA Eaux usées'!L635</f>
        <v>0</v>
      </c>
      <c r="N296" s="1423"/>
    </row>
    <row r="297" spans="2:17">
      <c r="B297" s="1098" t="s">
        <v>108</v>
      </c>
      <c r="C297" s="1098"/>
      <c r="D297" s="1098" t="s">
        <v>441</v>
      </c>
      <c r="E297" s="1420">
        <f>F286</f>
        <v>0</v>
      </c>
      <c r="F297" s="319">
        <v>0</v>
      </c>
      <c r="K297" s="1320" t="str">
        <f>'FORMULAIRE PGA Eaux usées'!C626</f>
        <v>Coûts prévus pour le renouvellement</v>
      </c>
      <c r="L297" s="1320" t="s">
        <v>107</v>
      </c>
      <c r="M297" s="319">
        <f>'FORMULAIRE PGA Eaux usées'!G626</f>
        <v>0</v>
      </c>
    </row>
    <row r="298" spans="2:17">
      <c r="B298" s="1098"/>
      <c r="C298" s="1098"/>
      <c r="D298" s="1098" t="s">
        <v>479</v>
      </c>
      <c r="E298" s="1420">
        <f>F290</f>
        <v>0</v>
      </c>
      <c r="F298" s="1420">
        <f>F291</f>
        <v>0</v>
      </c>
      <c r="L298" s="1320" t="s">
        <v>108</v>
      </c>
      <c r="M298" s="28">
        <f>'FORMULAIRE PGA Eaux usées'!L626</f>
        <v>0</v>
      </c>
    </row>
    <row r="299" spans="2:17">
      <c r="B299" s="1098"/>
      <c r="C299" s="1098"/>
      <c r="D299" s="1098"/>
      <c r="E299" s="1420"/>
      <c r="F299" s="1420"/>
    </row>
    <row r="300" spans="2:17">
      <c r="B300" s="1098"/>
      <c r="C300" s="1098"/>
      <c r="D300" s="1098"/>
      <c r="E300" s="1420"/>
      <c r="F300" s="1420"/>
    </row>
    <row r="302" spans="2:17" ht="22.5" customHeight="1">
      <c r="B302" s="1239" t="s">
        <v>19</v>
      </c>
      <c r="C302" s="1239"/>
      <c r="D302" s="1239"/>
      <c r="E302" s="1239"/>
      <c r="F302" s="1239"/>
      <c r="G302" s="1239"/>
      <c r="H302" s="1239"/>
      <c r="I302" s="1239"/>
      <c r="J302" s="1239"/>
      <c r="K302" s="1239"/>
      <c r="L302" s="1239"/>
      <c r="M302" s="1239"/>
      <c r="N302" s="1239"/>
      <c r="O302" s="1239"/>
      <c r="P302" s="1239"/>
      <c r="Q302" s="1239"/>
    </row>
    <row r="303" spans="2:17" ht="21">
      <c r="B303" s="1344"/>
      <c r="C303" s="1344"/>
    </row>
    <row r="304" spans="2:17" ht="17.25" customHeight="1">
      <c r="D304" s="509"/>
      <c r="E304" s="509"/>
      <c r="F304" s="1333" t="s">
        <v>473</v>
      </c>
    </row>
    <row r="305" spans="2:17">
      <c r="E305" s="1097" t="s">
        <v>107</v>
      </c>
      <c r="F305" s="1097" t="s">
        <v>108</v>
      </c>
    </row>
    <row r="306" spans="2:17">
      <c r="D306" s="1320" t="str">
        <f>'FORMULAIRE PGA Eaux usées'!C535</f>
        <v>Coûts prévisionnels totaux (besoins totaux)</v>
      </c>
      <c r="E306" s="1369">
        <f>'FORMULAIRE PGA Eaux usées'!O535</f>
        <v>0</v>
      </c>
      <c r="F306" s="1369">
        <f>'FORMULAIRE PGA Eaux usées'!O562</f>
        <v>0</v>
      </c>
    </row>
    <row r="307" spans="2:17" ht="15.6">
      <c r="D307" s="1320" t="str">
        <f>'FORMULAIRE PGA Eaux usées'!C536</f>
        <v>Financement du gouvernement provincial</v>
      </c>
      <c r="E307" s="1369">
        <f>'FORMULAIRE PGA Eaux usées'!O536</f>
        <v>0</v>
      </c>
      <c r="F307" s="1369">
        <f>'FORMULAIRE PGA Eaux usées'!O563</f>
        <v>0</v>
      </c>
      <c r="L307" s="1332" t="s">
        <v>474</v>
      </c>
      <c r="M307" s="509"/>
      <c r="N307" s="509"/>
    </row>
    <row r="308" spans="2:17">
      <c r="D308" s="1320" t="str">
        <f>'FORMULAIRE PGA Eaux usées'!C537</f>
        <v>Autres types de financement</v>
      </c>
      <c r="E308" s="1369">
        <f>'FORMULAIRE PGA Eaux usées'!O537</f>
        <v>0</v>
      </c>
      <c r="F308" s="1369">
        <f>'FORMULAIRE PGA Eaux usées'!O564</f>
        <v>0</v>
      </c>
    </row>
    <row r="309" spans="2:17">
      <c r="D309" s="1320" t="str">
        <f>'FORMULAIRE PGA Eaux usées'!C538</f>
        <v xml:space="preserve">Budget total planifié </v>
      </c>
      <c r="E309" s="1369">
        <f>'FORMULAIRE PGA Eaux usées'!O538</f>
        <v>0</v>
      </c>
      <c r="F309" s="1369">
        <f>'FORMULAIRE PGA Eaux usées'!O565</f>
        <v>0</v>
      </c>
      <c r="L309" s="1098" t="s">
        <v>483</v>
      </c>
      <c r="M309" s="1394" t="e">
        <f>(E309+F309)/(E306+F306)</f>
        <v>#DIV/0!</v>
      </c>
      <c r="N309" s="1418" t="str">
        <f>IF(ISERR(M309)=TRUE,"",M309)</f>
        <v/>
      </c>
    </row>
    <row r="310" spans="2:17">
      <c r="D310" s="1320" t="str">
        <f>'FORMULAIRE PGA Eaux usées'!C539</f>
        <v>Déficit de financement</v>
      </c>
      <c r="E310" s="1369">
        <f>'FORMULAIRE PGA Eaux usées'!O539</f>
        <v>0</v>
      </c>
      <c r="F310" s="1369">
        <f>'FORMULAIRE PGA Eaux usées'!O566</f>
        <v>0</v>
      </c>
      <c r="L310" s="1098" t="s">
        <v>484</v>
      </c>
      <c r="M310" s="1394" t="e">
        <f>(E308+F308)/(E309+F309)</f>
        <v>#DIV/0!</v>
      </c>
      <c r="N310" s="1419" t="str">
        <f>IF(ISERR(M310)=TRUE,"",M310)</f>
        <v/>
      </c>
    </row>
    <row r="312" spans="2:17" ht="20.25" customHeight="1">
      <c r="D312" s="1341" t="s">
        <v>485</v>
      </c>
      <c r="K312" s="1332" t="s">
        <v>33</v>
      </c>
      <c r="L312" s="1332"/>
      <c r="M312" s="1332"/>
      <c r="N312" s="1332"/>
      <c r="O312" s="1332"/>
    </row>
    <row r="313" spans="2:17">
      <c r="E313" s="1097"/>
      <c r="F313" s="903" t="s">
        <v>83</v>
      </c>
      <c r="L313" s="1320"/>
      <c r="N313" s="1320" t="s">
        <v>478</v>
      </c>
      <c r="O313" s="1320" t="s">
        <v>94</v>
      </c>
    </row>
    <row r="314" spans="2:17">
      <c r="B314" s="1098" t="s">
        <v>107</v>
      </c>
      <c r="C314" s="1098"/>
      <c r="D314" s="1098" t="s">
        <v>479</v>
      </c>
      <c r="E314" s="1420">
        <f>E309</f>
        <v>0</v>
      </c>
      <c r="F314" s="1420">
        <f>E310</f>
        <v>0</v>
      </c>
      <c r="K314" s="1320" t="str">
        <f>'FORMULAIRE PGA Eaux usées'!C636</f>
        <v>Financement estimé pour les acquisitions/dispositions</v>
      </c>
      <c r="L314" s="1320" t="s">
        <v>107</v>
      </c>
      <c r="M314" s="319">
        <f>'FORMULAIRE PGA Eaux usées'!G636</f>
        <v>0</v>
      </c>
      <c r="N314" s="1421">
        <f>IF($I$33=1,M315,IF($I$41=1,M314,ROUNDDOWN(AVERAGE(M314:M315),0)))</f>
        <v>0</v>
      </c>
      <c r="O314" s="1422">
        <f>IF($I$33=1,ROUNDDOWN(AVERAGE(M315,M317),0),IF($I$41=1,ROUNDDOWN(AVERAGE(M314,M316),0),ROUNDDOWN(AVERAGE(M314:M317),0)))</f>
        <v>0</v>
      </c>
      <c r="P314" s="367"/>
    </row>
    <row r="315" spans="2:17">
      <c r="B315" s="1098"/>
      <c r="C315" s="1098"/>
      <c r="D315" s="1098" t="s">
        <v>441</v>
      </c>
      <c r="E315" s="1420">
        <f>E306</f>
        <v>0</v>
      </c>
      <c r="F315" s="319">
        <v>0</v>
      </c>
      <c r="L315" s="1320" t="s">
        <v>108</v>
      </c>
      <c r="M315" s="28">
        <f>'FORMULAIRE PGA Eaux usées'!L636</f>
        <v>0</v>
      </c>
      <c r="N315" s="1423"/>
      <c r="O315" s="1423"/>
    </row>
    <row r="316" spans="2:17">
      <c r="B316" s="1098" t="s">
        <v>108</v>
      </c>
      <c r="C316" s="1098"/>
      <c r="D316" s="1098" t="s">
        <v>441</v>
      </c>
      <c r="E316" s="1420">
        <f>F306</f>
        <v>0</v>
      </c>
      <c r="F316" s="319">
        <v>0</v>
      </c>
      <c r="K316" s="1320" t="str">
        <f>'FORMULAIRE PGA Eaux usées'!C627</f>
        <v>Coûts prévus pour l'acquisition et la disposition</v>
      </c>
      <c r="L316" s="1320" t="s">
        <v>107</v>
      </c>
      <c r="M316" s="319">
        <f>'FORMULAIRE PGA Eaux usées'!G627</f>
        <v>0</v>
      </c>
    </row>
    <row r="317" spans="2:17">
      <c r="B317" s="1098"/>
      <c r="C317" s="1098"/>
      <c r="D317" s="1098" t="s">
        <v>479</v>
      </c>
      <c r="E317" s="1420">
        <f>F309</f>
        <v>0</v>
      </c>
      <c r="F317" s="1420">
        <f>F310</f>
        <v>0</v>
      </c>
      <c r="L317" s="1320" t="s">
        <v>108</v>
      </c>
      <c r="M317" s="28">
        <f>'FORMULAIRE PGA Eaux usées'!L627</f>
        <v>0</v>
      </c>
    </row>
    <row r="318" spans="2:17">
      <c r="B318" s="1098"/>
      <c r="C318" s="1098"/>
      <c r="D318" s="1098"/>
      <c r="E318" s="1420"/>
      <c r="F318" s="1420"/>
    </row>
    <row r="319" spans="2:17">
      <c r="P319" s="1029"/>
    </row>
    <row r="320" spans="2:17" ht="31.5" customHeight="1">
      <c r="B320" s="1237" t="s">
        <v>6</v>
      </c>
      <c r="C320" s="1237"/>
      <c r="D320" s="1238"/>
      <c r="E320" s="1238"/>
      <c r="F320" s="1238"/>
      <c r="G320" s="1238"/>
      <c r="H320" s="1238"/>
      <c r="I320" s="1238"/>
      <c r="J320" s="1238"/>
      <c r="K320" s="1238"/>
      <c r="L320" s="1238"/>
      <c r="M320" s="1238"/>
      <c r="N320" s="1238"/>
      <c r="O320" s="1238"/>
      <c r="P320" s="1238"/>
      <c r="Q320" s="1238"/>
    </row>
    <row r="322" spans="2:17" ht="18">
      <c r="B322" s="1239" t="s">
        <v>20</v>
      </c>
      <c r="C322" s="1239"/>
      <c r="D322" s="1239"/>
      <c r="E322" s="1239"/>
      <c r="F322" s="1239"/>
      <c r="G322" s="1239"/>
      <c r="H322" s="1239"/>
      <c r="I322" s="1239"/>
      <c r="J322" s="1239"/>
      <c r="K322" s="1239"/>
      <c r="L322" s="1239"/>
      <c r="M322" s="1239"/>
      <c r="N322" s="1239"/>
      <c r="O322" s="1239"/>
      <c r="P322" s="1239"/>
      <c r="Q322" s="1239"/>
    </row>
    <row r="323" spans="2:17" ht="18">
      <c r="B323" s="1248"/>
      <c r="C323" s="1248"/>
      <c r="D323" s="1424"/>
      <c r="E323" s="1424"/>
      <c r="F323" s="1424"/>
      <c r="G323" s="1424"/>
      <c r="H323" s="1424"/>
      <c r="I323" s="1424"/>
      <c r="J323" s="1424"/>
      <c r="K323" s="1425"/>
      <c r="L323" s="1425"/>
      <c r="M323" s="1425"/>
      <c r="N323" s="1425"/>
      <c r="O323" s="1425"/>
      <c r="P323" s="1425"/>
      <c r="Q323" s="1425"/>
    </row>
    <row r="324" spans="2:17" ht="28.5" customHeight="1">
      <c r="B324" s="1248"/>
      <c r="C324" s="1248"/>
      <c r="D324" s="1426" t="s">
        <v>486</v>
      </c>
      <c r="E324" s="1427"/>
      <c r="F324" s="1427"/>
      <c r="G324" s="1427"/>
      <c r="H324" s="1427"/>
      <c r="I324" s="1427"/>
      <c r="J324" s="1427"/>
      <c r="K324" s="1427"/>
      <c r="L324" s="1427"/>
      <c r="M324" s="1425"/>
      <c r="N324" s="1425"/>
      <c r="O324" s="1425"/>
      <c r="P324" s="1425"/>
      <c r="Q324" s="1425"/>
    </row>
    <row r="325" spans="2:17" ht="18">
      <c r="B325" s="1428"/>
      <c r="C325" s="1248"/>
      <c r="D325" s="1425"/>
      <c r="E325" s="1168" t="s">
        <v>87</v>
      </c>
      <c r="F325" s="1168" t="s">
        <v>88</v>
      </c>
      <c r="G325" s="1168" t="s">
        <v>89</v>
      </c>
      <c r="H325" s="1168" t="s">
        <v>90</v>
      </c>
      <c r="I325" s="1168" t="s">
        <v>91</v>
      </c>
      <c r="J325" s="1168" t="s">
        <v>92</v>
      </c>
      <c r="K325" s="1168" t="s">
        <v>93</v>
      </c>
      <c r="L325" s="1168" t="s">
        <v>94</v>
      </c>
      <c r="O325" s="1368" t="s">
        <v>463</v>
      </c>
      <c r="P325" s="1357" t="s">
        <v>487</v>
      </c>
    </row>
    <row r="326" spans="2:17" ht="18">
      <c r="B326" s="1429" t="s">
        <v>836</v>
      </c>
      <c r="C326" s="1248"/>
      <c r="D326" s="1430" t="s">
        <v>56</v>
      </c>
      <c r="E326" s="1168">
        <f>COUNTIFS(('FORMULAIRE PGA Eaux usées'!H671:H672),'MENU DÉROULANT'!$C$114)</f>
        <v>0</v>
      </c>
      <c r="F326" s="1168">
        <f>COUNTIFS(('FORMULAIRE PGA Eaux usées'!H675:H676),'MENU DÉROULANT'!$C$114)</f>
        <v>0</v>
      </c>
      <c r="G326" s="1168">
        <f>COUNTIFS(('FORMULAIRE PGA Eaux usées'!H679),'MENU DÉROULANT'!$C$114)</f>
        <v>0</v>
      </c>
      <c r="H326" s="1168">
        <f>COUNTIFS(('FORMULAIRE PGA Eaux usées'!H682),'MENU DÉROULANT'!$C$114)</f>
        <v>0</v>
      </c>
      <c r="I326" s="1168">
        <f>COUNTIFS(('FORMULAIRE PGA Eaux usées'!H685:H686),'MENU DÉROULANT'!$C$114)</f>
        <v>0</v>
      </c>
      <c r="J326" s="1168">
        <f>COUNTIFS(('FORMULAIRE PGA Eaux usées'!H689:H690),'MENU DÉROULANT'!$C$114)</f>
        <v>0</v>
      </c>
      <c r="K326" s="1168">
        <f>COUNTIFS(('FORMULAIRE PGA Eaux usées'!H693:H695),'MENU DÉROULANT'!$C$114)</f>
        <v>0</v>
      </c>
      <c r="L326" s="1168" t="s">
        <v>488</v>
      </c>
    </row>
    <row r="327" spans="2:17" ht="18">
      <c r="B327" s="1428"/>
      <c r="C327" s="1248"/>
      <c r="D327" s="1430" t="s">
        <v>57</v>
      </c>
      <c r="E327" s="1168">
        <f>'FORMULAIRE PGA Eaux usées'!H670</f>
        <v>0</v>
      </c>
      <c r="F327" s="1168">
        <f>'FORMULAIRE PGA Eaux usées'!H674</f>
        <v>0</v>
      </c>
      <c r="G327" s="1168">
        <f>'FORMULAIRE PGA Eaux usées'!H678</f>
        <v>0</v>
      </c>
      <c r="H327" s="1168">
        <f>'FORMULAIRE PGA Eaux usées'!H681</f>
        <v>0</v>
      </c>
      <c r="I327" s="1168">
        <f>'FORMULAIRE PGA Eaux usées'!H684</f>
        <v>0</v>
      </c>
      <c r="J327" s="1168">
        <f>'FORMULAIRE PGA Eaux usées'!H688</f>
        <v>0</v>
      </c>
      <c r="K327" s="1168">
        <f>'FORMULAIRE PGA Eaux usées'!H692</f>
        <v>0</v>
      </c>
      <c r="L327" s="1168">
        <f>'FORMULAIRE PGA Eaux usées'!H700</f>
        <v>0</v>
      </c>
    </row>
    <row r="328" spans="2:17" ht="18">
      <c r="B328" s="1429" t="s">
        <v>838</v>
      </c>
      <c r="C328" s="1248"/>
      <c r="D328" s="1430" t="s">
        <v>56</v>
      </c>
      <c r="E328" s="1168">
        <f>COUNTIFS(('FORMULAIRE PGA Eaux usées'!M671:M672),'MENU DÉROULANT'!$C$114)</f>
        <v>0</v>
      </c>
      <c r="F328" s="1168">
        <f>COUNTIFS(('FORMULAIRE PGA Eaux usées'!M675:M676),'MENU DÉROULANT'!$C$114)</f>
        <v>0</v>
      </c>
      <c r="G328" s="1168">
        <f>COUNTIFS(('FORMULAIRE PGA Eaux usées'!M679),'MENU DÉROULANT'!$C$114)</f>
        <v>0</v>
      </c>
      <c r="H328" s="1168">
        <f>COUNTIFS(('FORMULAIRE PGA Eaux usées'!M682),'MENU DÉROULANT'!$C$114)</f>
        <v>0</v>
      </c>
      <c r="I328" s="1168">
        <f>COUNTIFS(('FORMULAIRE PGA Eaux usées'!M685:M686),'MENU DÉROULANT'!$C$114)</f>
        <v>0</v>
      </c>
      <c r="J328" s="1168">
        <f>COUNTIFS(('FORMULAIRE PGA Eaux usées'!M689:M690),'MENU DÉROULANT'!$C$114)</f>
        <v>0</v>
      </c>
      <c r="K328" s="1168">
        <f>COUNTIFS(('FORMULAIRE PGA Eaux usées'!M693:M695),'MENU DÉROULANT'!$C$114)</f>
        <v>0</v>
      </c>
      <c r="L328" s="1168" t="s">
        <v>488</v>
      </c>
    </row>
    <row r="329" spans="2:17" ht="18">
      <c r="B329" s="1428"/>
      <c r="C329" s="1248"/>
      <c r="D329" s="1430" t="s">
        <v>57</v>
      </c>
      <c r="E329" s="1168">
        <f>'FORMULAIRE PGA Eaux usées'!M670</f>
        <v>0</v>
      </c>
      <c r="F329" s="1168">
        <f>'FORMULAIRE PGA Eaux usées'!M674</f>
        <v>0</v>
      </c>
      <c r="G329" s="1168">
        <f>'FORMULAIRE PGA Eaux usées'!M678</f>
        <v>0</v>
      </c>
      <c r="H329" s="1168">
        <f>'FORMULAIRE PGA Eaux usées'!M681</f>
        <v>0</v>
      </c>
      <c r="I329" s="1168">
        <f>'FORMULAIRE PGA Eaux usées'!M684</f>
        <v>0</v>
      </c>
      <c r="J329" s="1168">
        <f>'FORMULAIRE PGA Eaux usées'!M688</f>
        <v>0</v>
      </c>
      <c r="K329" s="1168">
        <f>'FORMULAIRE PGA Eaux usées'!M692</f>
        <v>0</v>
      </c>
      <c r="L329" s="1168">
        <f>'FORMULAIRE PGA Eaux usées'!M700</f>
        <v>0</v>
      </c>
    </row>
    <row r="330" spans="2:17" ht="18">
      <c r="B330" s="1428"/>
      <c r="C330" s="1248"/>
      <c r="D330" s="1425"/>
      <c r="E330" s="1425"/>
      <c r="F330" s="1425"/>
      <c r="G330" s="1425"/>
      <c r="H330" s="1425"/>
      <c r="I330" s="1425"/>
      <c r="J330" s="1425"/>
      <c r="K330" s="1425"/>
      <c r="L330" s="1425"/>
      <c r="M330" s="2291"/>
      <c r="N330" s="2292" t="s">
        <v>489</v>
      </c>
      <c r="O330" s="2291"/>
      <c r="P330" s="1425"/>
      <c r="Q330" s="1425"/>
    </row>
    <row r="331" spans="2:17" ht="18">
      <c r="B331" s="1428"/>
      <c r="C331" s="1248"/>
      <c r="D331" s="1431" t="s">
        <v>840</v>
      </c>
      <c r="E331" s="1432" t="str">
        <f>'FORMULAIRE PGA Eaux usées'!G700</f>
        <v/>
      </c>
      <c r="F331" s="1425" t="s">
        <v>491</v>
      </c>
      <c r="G331" s="1425"/>
      <c r="H331" s="1425"/>
      <c r="I331" s="1425"/>
      <c r="J331" s="1425"/>
      <c r="K331" s="1425"/>
      <c r="L331" s="1425"/>
      <c r="M331" s="2054" t="s">
        <v>444</v>
      </c>
      <c r="N331" s="2290">
        <f>IF($I$33=1,L329,IF($I$41=1,L327,ROUNDDOWN(AVERAGE(L327,L329),0)))</f>
        <v>0</v>
      </c>
      <c r="O331" s="1425"/>
      <c r="P331" s="1425"/>
      <c r="Q331" s="1425"/>
    </row>
    <row r="332" spans="2:17" ht="18">
      <c r="B332" s="1248"/>
      <c r="C332" s="1248"/>
      <c r="D332" s="1433" t="s">
        <v>841</v>
      </c>
      <c r="E332" s="1434" t="str">
        <f>'FORMULAIRE PGA Eaux usées'!L700</f>
        <v/>
      </c>
      <c r="F332" s="1425" t="s">
        <v>491</v>
      </c>
      <c r="G332" s="1248"/>
      <c r="H332" s="1248"/>
      <c r="I332" s="1248"/>
      <c r="J332" s="1248"/>
      <c r="K332" s="1248"/>
      <c r="L332" s="1248"/>
      <c r="M332" s="2054" t="s">
        <v>95</v>
      </c>
      <c r="N332" s="904" t="e">
        <f>IF($I$33=1,E332,IF($I$41=1,E331,ROUNDDOWN(AVERAGE(E331,E332),0)))</f>
        <v>#DIV/0!</v>
      </c>
      <c r="O332" s="1248"/>
      <c r="P332" s="1248"/>
      <c r="Q332" s="1248"/>
    </row>
    <row r="333" spans="2:17" ht="18">
      <c r="B333" s="1248"/>
      <c r="C333" s="1248"/>
      <c r="D333" s="1248"/>
      <c r="E333" s="1435"/>
      <c r="F333" s="1248"/>
      <c r="G333" s="1248"/>
      <c r="H333" s="1248"/>
      <c r="I333" s="1248"/>
      <c r="J333" s="1248"/>
      <c r="K333" s="1248"/>
      <c r="L333" s="1248"/>
      <c r="O333" s="1248"/>
      <c r="P333" s="1248"/>
      <c r="Q333" s="1248"/>
    </row>
    <row r="334" spans="2:17" ht="18">
      <c r="B334" s="1239" t="s">
        <v>21</v>
      </c>
      <c r="C334" s="1239"/>
      <c r="D334" s="1239"/>
      <c r="E334" s="1239"/>
      <c r="F334" s="1239"/>
      <c r="G334" s="1239"/>
      <c r="H334" s="1239"/>
      <c r="I334" s="1239"/>
      <c r="J334" s="1239"/>
      <c r="K334" s="1239"/>
      <c r="L334" s="1239"/>
      <c r="M334" s="1239"/>
      <c r="N334" s="1239"/>
      <c r="O334" s="1239"/>
      <c r="P334" s="1239"/>
      <c r="Q334" s="1239"/>
    </row>
    <row r="335" spans="2:17" ht="18">
      <c r="B335" s="1248"/>
      <c r="C335" s="1248"/>
      <c r="D335" s="1248"/>
      <c r="E335" s="1248"/>
      <c r="F335" s="1248"/>
      <c r="G335" s="1248"/>
      <c r="H335" s="1248"/>
      <c r="I335" s="1248"/>
      <c r="J335" s="1248"/>
      <c r="K335" s="1248"/>
      <c r="L335" s="1248"/>
      <c r="M335" s="1248"/>
      <c r="N335" s="1248"/>
      <c r="O335" s="1248"/>
      <c r="P335" s="1248"/>
      <c r="Q335" s="1248"/>
    </row>
    <row r="336" spans="2:17" ht="28.5" customHeight="1">
      <c r="B336" s="1248"/>
      <c r="C336" s="1248"/>
      <c r="D336" s="1426" t="s">
        <v>486</v>
      </c>
      <c r="E336" s="1427"/>
      <c r="F336" s="1427"/>
      <c r="G336" s="1427"/>
      <c r="H336" s="1427"/>
      <c r="I336" s="1427"/>
      <c r="J336" s="1427"/>
      <c r="K336" s="1427"/>
      <c r="L336" s="1427"/>
      <c r="M336" s="1425"/>
      <c r="N336" s="1425"/>
      <c r="O336" s="1425"/>
      <c r="P336" s="1425"/>
      <c r="Q336" s="1425"/>
    </row>
    <row r="337" spans="2:17" ht="18">
      <c r="B337" s="1428"/>
      <c r="C337" s="1248"/>
      <c r="D337" s="1425"/>
      <c r="E337" s="1168" t="s">
        <v>87</v>
      </c>
      <c r="F337" s="1168" t="s">
        <v>88</v>
      </c>
      <c r="G337" s="1168" t="s">
        <v>89</v>
      </c>
      <c r="H337" s="1168" t="s">
        <v>90</v>
      </c>
      <c r="I337" s="1168" t="s">
        <v>91</v>
      </c>
      <c r="J337" s="1168" t="s">
        <v>92</v>
      </c>
      <c r="K337" s="1168" t="s">
        <v>93</v>
      </c>
      <c r="L337" s="1168" t="s">
        <v>94</v>
      </c>
    </row>
    <row r="338" spans="2:17" ht="18">
      <c r="B338" s="1429" t="s">
        <v>836</v>
      </c>
      <c r="C338" s="1248"/>
      <c r="D338" s="1430" t="s">
        <v>56</v>
      </c>
      <c r="E338" s="1168">
        <f>COUNTIFS(('FORMULAIRE PGA Eaux usées'!H605:H610),'MENU DÉROULANT'!$C$114)</f>
        <v>0</v>
      </c>
      <c r="F338" s="1168">
        <f>COUNTIFS(('FORMULAIRE PGA Eaux usées'!H613:H614),'MENU DÉROULANT'!$C$114)</f>
        <v>0</v>
      </c>
      <c r="G338" s="1168">
        <f>COUNTIFS(('FORMULAIRE PGA Eaux usées'!H617:H618),'MENU DÉROULANT'!$C$114)</f>
        <v>0</v>
      </c>
      <c r="H338" s="1168">
        <f>COUNTIFS(('FORMULAIRE PGA Eaux usées'!H621:H622),'MENU DÉROULANT'!$C$114)</f>
        <v>0</v>
      </c>
      <c r="I338" s="1168">
        <f>COUNTIFS(('FORMULAIRE PGA Eaux usées'!H625:H627),'MENU DÉROULANT'!$C$114)</f>
        <v>0</v>
      </c>
      <c r="J338" s="1168">
        <f>COUNTIFS(('FORMULAIRE PGA Eaux usées'!H630:H631),'MENU DÉROULANT'!$C$114)</f>
        <v>0</v>
      </c>
      <c r="K338" s="1168">
        <f>COUNTIFS(('FORMULAIRE PGA Eaux usées'!H634:H636),'MENU DÉROULANT'!$C$114)</f>
        <v>0</v>
      </c>
      <c r="L338" s="1168" t="s">
        <v>488</v>
      </c>
    </row>
    <row r="339" spans="2:17" ht="18">
      <c r="B339" s="1428"/>
      <c r="C339" s="1248"/>
      <c r="D339" s="1430" t="s">
        <v>57</v>
      </c>
      <c r="E339" s="1168">
        <f>'FORMULAIRE PGA Eaux usées'!H604</f>
        <v>0</v>
      </c>
      <c r="F339" s="1168">
        <f>'FORMULAIRE PGA Eaux usées'!H612</f>
        <v>0</v>
      </c>
      <c r="G339" s="1168">
        <f>'FORMULAIRE PGA Eaux usées'!H616</f>
        <v>0</v>
      </c>
      <c r="H339" s="1168">
        <f>'FORMULAIRE PGA Eaux usées'!H620</f>
        <v>0</v>
      </c>
      <c r="I339" s="1168">
        <f>'FORMULAIRE PGA Eaux usées'!H624</f>
        <v>0</v>
      </c>
      <c r="J339" s="1168">
        <f>'FORMULAIRE PGA Eaux usées'!H629</f>
        <v>0</v>
      </c>
      <c r="K339" s="1168">
        <f>'FORMULAIRE PGA Eaux usées'!H633</f>
        <v>0</v>
      </c>
      <c r="L339" s="1168">
        <f>'FORMULAIRE PGA Eaux usées'!H638</f>
        <v>0</v>
      </c>
    </row>
    <row r="340" spans="2:17" ht="18">
      <c r="B340" s="1429" t="s">
        <v>838</v>
      </c>
      <c r="C340" s="1248"/>
      <c r="D340" s="1430" t="s">
        <v>56</v>
      </c>
      <c r="E340" s="1168">
        <f>COUNTIFS(('FORMULAIRE PGA Eaux usées'!M605:M610),'MENU DÉROULANT'!$C$114)</f>
        <v>0</v>
      </c>
      <c r="F340" s="1168">
        <f>COUNTIFS(('FORMULAIRE PGA Eaux usées'!M613:M614),'MENU DÉROULANT'!$C$114)</f>
        <v>0</v>
      </c>
      <c r="G340" s="1168">
        <f>COUNTIFS(('FORMULAIRE PGA Eaux usées'!M617:M618),'MENU DÉROULANT'!$C$114)</f>
        <v>0</v>
      </c>
      <c r="H340" s="1168">
        <f>COUNTIFS(('FORMULAIRE PGA Eaux usées'!M621:M622),'MENU DÉROULANT'!$C$114)</f>
        <v>0</v>
      </c>
      <c r="I340" s="1168">
        <f>COUNTIFS(('FORMULAIRE PGA Eaux usées'!M625:M627),'MENU DÉROULANT'!$C$114)</f>
        <v>0</v>
      </c>
      <c r="J340" s="1168">
        <f>COUNTIFS(('FORMULAIRE PGA Eaux usées'!M630:M631),'MENU DÉROULANT'!$C$114)</f>
        <v>0</v>
      </c>
      <c r="K340" s="1168">
        <f>COUNTIFS(('FORMULAIRE PGA Eaux usées'!M634:M636),'MENU DÉROULANT'!$C$114)</f>
        <v>0</v>
      </c>
      <c r="L340" s="1168" t="s">
        <v>488</v>
      </c>
    </row>
    <row r="341" spans="2:17" ht="18">
      <c r="B341" s="1428"/>
      <c r="C341" s="1248"/>
      <c r="D341" s="1430" t="s">
        <v>57</v>
      </c>
      <c r="E341" s="1168">
        <f>'FORMULAIRE PGA Eaux usées'!M604</f>
        <v>0</v>
      </c>
      <c r="F341" s="1168">
        <f>'FORMULAIRE PGA Eaux usées'!M612</f>
        <v>0</v>
      </c>
      <c r="G341" s="1168">
        <f>'FORMULAIRE PGA Eaux usées'!M616</f>
        <v>0</v>
      </c>
      <c r="H341" s="1168">
        <f>'FORMULAIRE PGA Eaux usées'!M620</f>
        <v>0</v>
      </c>
      <c r="I341" s="1168">
        <f>'FORMULAIRE PGA Eaux usées'!M624</f>
        <v>0</v>
      </c>
      <c r="J341" s="1168">
        <f>'FORMULAIRE PGA Eaux usées'!M629</f>
        <v>0</v>
      </c>
      <c r="K341" s="1168">
        <f>'FORMULAIRE PGA Eaux usées'!M633</f>
        <v>0</v>
      </c>
      <c r="L341" s="1168">
        <f>'FORMULAIRE PGA Eaux usées'!M638</f>
        <v>0</v>
      </c>
    </row>
    <row r="342" spans="2:17" ht="18">
      <c r="B342" s="1428"/>
      <c r="C342" s="1248"/>
      <c r="D342" s="1425"/>
      <c r="E342" s="1425"/>
      <c r="F342" s="1425"/>
      <c r="G342" s="1425"/>
      <c r="H342" s="1425"/>
      <c r="I342" s="1425"/>
      <c r="J342" s="1425"/>
      <c r="K342" s="1425"/>
      <c r="L342" s="1425"/>
      <c r="M342" s="2291"/>
      <c r="N342" s="2292" t="s">
        <v>489</v>
      </c>
      <c r="O342" s="2291"/>
      <c r="P342" s="1425"/>
      <c r="Q342" s="1425"/>
    </row>
    <row r="343" spans="2:17" ht="18">
      <c r="B343" s="1428"/>
      <c r="C343" s="1248"/>
      <c r="D343" s="1431" t="s">
        <v>840</v>
      </c>
      <c r="E343" s="1432" t="str">
        <f>'FORMULAIRE PGA Eaux usées'!G638</f>
        <v/>
      </c>
      <c r="F343" s="1425" t="s">
        <v>491</v>
      </c>
      <c r="G343" s="1425"/>
      <c r="H343" s="1425"/>
      <c r="I343" s="1425"/>
      <c r="J343" s="1425"/>
      <c r="K343" s="1425"/>
      <c r="L343" s="1425"/>
      <c r="M343" s="2054" t="s">
        <v>444</v>
      </c>
      <c r="N343" s="2290">
        <f>IF($I$33=1,L341,IF($I$41=1,L339,ROUNDDOWN(AVERAGE(L339,L341),0)))</f>
        <v>0</v>
      </c>
      <c r="O343" s="1425"/>
      <c r="P343" s="1425"/>
      <c r="Q343" s="1425"/>
    </row>
    <row r="344" spans="2:17" ht="18">
      <c r="B344" s="1248"/>
      <c r="C344" s="1248"/>
      <c r="D344" s="1433" t="s">
        <v>841</v>
      </c>
      <c r="E344" s="1434" t="str">
        <f>'FORMULAIRE PGA Eaux usées'!L638</f>
        <v/>
      </c>
      <c r="F344" s="1425" t="s">
        <v>491</v>
      </c>
      <c r="G344" s="1248"/>
      <c r="H344" s="1248"/>
      <c r="I344" s="1248"/>
      <c r="J344" s="1248"/>
      <c r="K344" s="1248"/>
      <c r="L344" s="1248"/>
      <c r="M344" s="2054" t="s">
        <v>95</v>
      </c>
      <c r="N344" s="904" t="e">
        <f>IF($I$33=1,E344,IF($I$41=1,E343,ROUNDDOWN(AVERAGE(E343,E344),0)))</f>
        <v>#DIV/0!</v>
      </c>
      <c r="O344" s="1248"/>
      <c r="P344" s="1248"/>
      <c r="Q344" s="1248"/>
    </row>
    <row r="348" spans="2:17" ht="31.5" customHeight="1">
      <c r="B348" s="1237" t="s">
        <v>2273</v>
      </c>
      <c r="C348" s="1237"/>
      <c r="D348" s="1238"/>
      <c r="E348" s="1238"/>
      <c r="F348" s="1238"/>
      <c r="G348" s="1238"/>
      <c r="H348" s="1238"/>
      <c r="I348" s="1238"/>
      <c r="J348" s="1238"/>
      <c r="K348" s="1238"/>
      <c r="L348" s="1238"/>
      <c r="M348" s="1238"/>
      <c r="N348" s="1238"/>
      <c r="O348" s="1238"/>
      <c r="P348" s="1238"/>
      <c r="Q348" s="1238"/>
    </row>
    <row r="350" spans="2:17" ht="33.75" customHeight="1">
      <c r="B350" s="2884" t="s">
        <v>317</v>
      </c>
      <c r="C350" s="308"/>
      <c r="D350" s="308" t="s">
        <v>2274</v>
      </c>
      <c r="E350" s="308"/>
      <c r="F350" s="3546">
        <f>'FORMULAIRE PGA Eaux usées'!C716</f>
        <v>0</v>
      </c>
      <c r="G350" s="3546"/>
      <c r="H350" s="3546"/>
      <c r="I350" s="3546"/>
      <c r="J350" s="3546"/>
      <c r="K350" s="3546"/>
      <c r="L350" s="3546"/>
      <c r="M350" s="3546"/>
      <c r="N350" s="3546"/>
      <c r="O350" s="3546"/>
      <c r="P350" s="3546"/>
    </row>
    <row r="351" spans="2:17" ht="33.75" customHeight="1">
      <c r="B351" s="308"/>
      <c r="C351" s="308"/>
      <c r="D351" s="308" t="s">
        <v>2275</v>
      </c>
      <c r="E351" s="308"/>
      <c r="F351" s="3546">
        <f>'FORMULAIRE PGA Eaux usées'!C728</f>
        <v>0</v>
      </c>
      <c r="G351" s="3546"/>
      <c r="H351" s="3546"/>
      <c r="I351" s="3546"/>
      <c r="J351" s="3546"/>
      <c r="K351" s="3546"/>
      <c r="L351" s="3546"/>
      <c r="M351" s="3546"/>
      <c r="N351" s="3546"/>
      <c r="O351" s="3546"/>
      <c r="P351" s="3546"/>
    </row>
  </sheetData>
  <sheetProtection password="C518" sheet="1" objects="1" scenarios="1"/>
  <mergeCells count="29">
    <mergeCell ref="I86:J86"/>
    <mergeCell ref="K86:L86"/>
    <mergeCell ref="L110:N110"/>
    <mergeCell ref="H159:H160"/>
    <mergeCell ref="K159:K167"/>
    <mergeCell ref="H161:H167"/>
    <mergeCell ref="K147:L147"/>
    <mergeCell ref="L123:N123"/>
    <mergeCell ref="D175:E175"/>
    <mergeCell ref="H148:H149"/>
    <mergeCell ref="O148:O149"/>
    <mergeCell ref="H150:H156"/>
    <mergeCell ref="O150:O156"/>
    <mergeCell ref="F351:P351"/>
    <mergeCell ref="F350:P350"/>
    <mergeCell ref="M11:O12"/>
    <mergeCell ref="P11:P12"/>
    <mergeCell ref="E28:F29"/>
    <mergeCell ref="E34:H35"/>
    <mergeCell ref="E36:H37"/>
    <mergeCell ref="M53:M54"/>
    <mergeCell ref="N53:N56"/>
    <mergeCell ref="M55:M56"/>
    <mergeCell ref="E38:H39"/>
    <mergeCell ref="E42:H43"/>
    <mergeCell ref="E46:H47"/>
    <mergeCell ref="E44:H45"/>
    <mergeCell ref="D158:E158"/>
    <mergeCell ref="L247:N247"/>
  </mergeCells>
  <pageMargins left="0.65" right="0.42" top="0.75" bottom="0.75" header="0.3" footer="0.3"/>
  <pageSetup scale="44" fitToHeight="0" orientation="landscape" r:id="rId1"/>
  <headerFooter>
    <oddFooter xml:space="preserve">&amp;L&amp;10Version 1.0    © CERIU, 2023&amp;R&amp;10Onglet CALCULS eaux usées
Page &amp;P de &amp;N </oddFooter>
  </headerFooter>
  <rowBreaks count="7" manualBreakCount="7">
    <brk id="49" max="16383" man="1"/>
    <brk id="99" max="16383" man="1"/>
    <brk id="128" max="16383" man="1"/>
    <brk id="184" max="16383" man="1"/>
    <brk id="228" max="16383" man="1"/>
    <brk id="261" max="16383" man="1"/>
    <brk id="301" max="16383"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499984740745262"/>
    <pageSetUpPr fitToPage="1"/>
  </sheetPr>
  <dimension ref="B1:CM173"/>
  <sheetViews>
    <sheetView showGridLines="0" topLeftCell="A29" zoomScale="110" zoomScaleNormal="110" workbookViewId="0">
      <selection activeCell="B135" sqref="B135"/>
    </sheetView>
  </sheetViews>
  <sheetFormatPr baseColWidth="10" defaultColWidth="11.44140625" defaultRowHeight="14.4"/>
  <cols>
    <col min="1" max="1" width="4.5546875" style="28" customWidth="1"/>
    <col min="2" max="2" width="2.6640625" style="28" customWidth="1"/>
    <col min="3" max="3" width="2" style="28" customWidth="1"/>
    <col min="4" max="4" width="3.6640625" style="28" customWidth="1"/>
    <col min="5" max="5" width="6.33203125" style="28" customWidth="1"/>
    <col min="6" max="6" width="2.6640625" style="28" customWidth="1"/>
    <col min="7" max="7" width="5.6640625" style="28" customWidth="1"/>
    <col min="8" max="8" width="2.6640625" style="28" customWidth="1"/>
    <col min="9" max="9" width="4.6640625" style="28" customWidth="1"/>
    <col min="10" max="10" width="3" style="28" customWidth="1"/>
    <col min="11" max="11" width="0.6640625" style="28" customWidth="1"/>
    <col min="12" max="12" width="3" style="28" customWidth="1"/>
    <col min="13" max="13" width="0.6640625" style="28" customWidth="1"/>
    <col min="14" max="14" width="3" style="28" customWidth="1"/>
    <col min="15" max="15" width="0.6640625" style="28" customWidth="1"/>
    <col min="16" max="16" width="3" style="28" customWidth="1"/>
    <col min="17" max="17" width="0.6640625" style="28" customWidth="1"/>
    <col min="18" max="18" width="3" style="28" customWidth="1"/>
    <col min="19" max="19" width="0.6640625" style="28" customWidth="1"/>
    <col min="20" max="20" width="3" style="28" customWidth="1"/>
    <col min="21" max="21" width="0.6640625" style="28" customWidth="1"/>
    <col min="22" max="22" width="3" style="28" customWidth="1"/>
    <col min="23" max="23" width="2.33203125" style="28" customWidth="1"/>
    <col min="24" max="24" width="3" style="28" customWidth="1"/>
    <col min="25" max="25" width="6.44140625" style="28" customWidth="1"/>
    <col min="26" max="26" width="3" style="28" customWidth="1"/>
    <col min="27" max="27" width="0.6640625" style="28" customWidth="1"/>
    <col min="28" max="28" width="3" style="28" customWidth="1"/>
    <col min="29" max="29" width="0.6640625" style="28" customWidth="1"/>
    <col min="30" max="30" width="3" style="28" customWidth="1"/>
    <col min="31" max="31" width="0.6640625" style="28" customWidth="1"/>
    <col min="32" max="32" width="3" style="28" customWidth="1"/>
    <col min="33" max="33" width="0.6640625" style="28" customWidth="1"/>
    <col min="34" max="34" width="3" style="28" customWidth="1"/>
    <col min="35" max="35" width="0.88671875" style="28" customWidth="1"/>
    <col min="36" max="36" width="3" style="28" customWidth="1"/>
    <col min="37" max="37" width="0.6640625" style="28" customWidth="1"/>
    <col min="38" max="38" width="3" style="28" customWidth="1"/>
    <col min="39" max="39" width="2.33203125" style="28" customWidth="1"/>
    <col min="40" max="40" width="3" style="28" customWidth="1"/>
    <col min="41" max="41" width="1.33203125" style="28" customWidth="1"/>
    <col min="42" max="42" width="2.6640625" style="28" customWidth="1"/>
    <col min="43" max="43" width="1.88671875" style="28" customWidth="1"/>
    <col min="44" max="44" width="2.109375" style="28" customWidth="1"/>
    <col min="45" max="45" width="1.6640625" style="28" customWidth="1"/>
    <col min="46" max="46" width="2" style="28" customWidth="1"/>
    <col min="47" max="47" width="2.6640625" style="28" customWidth="1"/>
    <col min="48" max="48" width="2.5546875" style="28" customWidth="1"/>
    <col min="49" max="49" width="3.109375" style="28" customWidth="1"/>
    <col min="50" max="50" width="7" style="28" customWidth="1"/>
    <col min="51" max="51" width="4.5546875" style="28" customWidth="1"/>
    <col min="52" max="52" width="2.6640625" style="28" customWidth="1"/>
    <col min="53" max="53" width="2.109375" style="28" customWidth="1"/>
    <col min="54" max="54" width="3.33203125" style="28" customWidth="1"/>
    <col min="55" max="55" width="3" style="28" customWidth="1"/>
    <col min="56" max="56" width="0.6640625" style="28" customWidth="1"/>
    <col min="57" max="57" width="3" style="28" customWidth="1"/>
    <col min="58" max="58" width="0.6640625" style="28" customWidth="1"/>
    <col min="59" max="59" width="3" style="28" customWidth="1"/>
    <col min="60" max="60" width="0.6640625" style="28" customWidth="1"/>
    <col min="61" max="61" width="3" style="28" customWidth="1"/>
    <col min="62" max="62" width="0.6640625" style="28" customWidth="1"/>
    <col min="63" max="63" width="3" style="28" customWidth="1"/>
    <col min="64" max="64" width="0.6640625" style="28" customWidth="1"/>
    <col min="65" max="65" width="3" style="28" customWidth="1"/>
    <col min="66" max="66" width="0.6640625" style="28" customWidth="1"/>
    <col min="67" max="67" width="3" style="28" customWidth="1"/>
    <col min="68" max="68" width="2.33203125" style="28" customWidth="1"/>
    <col min="69" max="69" width="3" style="28" customWidth="1"/>
    <col min="70" max="70" width="0.6640625" style="28" customWidth="1"/>
    <col min="71" max="71" width="5" style="28" customWidth="1"/>
    <col min="72" max="72" width="3" style="28" customWidth="1"/>
    <col min="73" max="73" width="0.6640625" style="28" customWidth="1"/>
    <col min="74" max="74" width="3" style="28" customWidth="1"/>
    <col min="75" max="75" width="0.6640625" style="28" customWidth="1"/>
    <col min="76" max="76" width="3" style="28" customWidth="1"/>
    <col min="77" max="77" width="0.6640625" style="28" customWidth="1"/>
    <col min="78" max="78" width="3" style="28" customWidth="1"/>
    <col min="79" max="79" width="0.6640625" style="28" customWidth="1"/>
    <col min="80" max="80" width="3" style="28" customWidth="1"/>
    <col min="81" max="81" width="0.88671875" style="28" customWidth="1"/>
    <col min="82" max="82" width="3" style="28" customWidth="1"/>
    <col min="83" max="83" width="0.6640625" style="28" customWidth="1"/>
    <col min="84" max="84" width="3" style="28" customWidth="1"/>
    <col min="85" max="85" width="2.33203125" style="28" customWidth="1"/>
    <col min="86" max="86" width="3" style="28" customWidth="1"/>
    <col min="87" max="87" width="1.33203125" style="28" customWidth="1"/>
    <col min="88" max="88" width="3.33203125" style="28" customWidth="1"/>
    <col min="89" max="89" width="2.88671875" style="28" customWidth="1"/>
    <col min="90" max="90" width="2.5546875" style="28" customWidth="1"/>
    <col min="91" max="91" width="1.6640625" style="28" customWidth="1"/>
    <col min="92" max="92" width="9.5546875" style="28" customWidth="1"/>
    <col min="93" max="16384" width="11.44140625" style="28"/>
  </cols>
  <sheetData>
    <row r="1" spans="2:91" ht="7.5" customHeight="1"/>
    <row r="2" spans="2:91" ht="26.25" customHeight="1">
      <c r="B2" s="1707"/>
      <c r="C2" s="2986" t="str">
        <f>CONCATENATE('CALCULS Eaux usées'!D8,'CALCULS Eaux usées'!G8)</f>
        <v>ORGANISATION :  ##</v>
      </c>
      <c r="D2" s="1708"/>
      <c r="E2" s="1708"/>
      <c r="F2" s="1708"/>
      <c r="G2" s="1708"/>
      <c r="H2" s="1708"/>
      <c r="I2" s="1709"/>
      <c r="J2" s="1709"/>
      <c r="K2" s="1709"/>
      <c r="L2" s="1709"/>
      <c r="M2" s="1709"/>
      <c r="N2" s="1709"/>
      <c r="O2" s="1709"/>
      <c r="P2" s="1709"/>
      <c r="Q2" s="1709"/>
      <c r="R2" s="1709"/>
      <c r="S2" s="1709"/>
      <c r="T2" s="1709"/>
      <c r="U2" s="1709"/>
      <c r="V2" s="1709"/>
      <c r="W2" s="1709"/>
      <c r="X2" s="1709"/>
      <c r="Y2" s="1709"/>
      <c r="Z2" s="1710"/>
      <c r="AA2" s="1710"/>
      <c r="AB2" s="1710"/>
      <c r="AC2" s="1710"/>
      <c r="AD2" s="1710"/>
      <c r="AE2" s="1722"/>
      <c r="AF2" s="1722"/>
      <c r="AG2" s="1722"/>
      <c r="AH2" s="3719" t="s">
        <v>744</v>
      </c>
      <c r="AI2" s="3719"/>
      <c r="AJ2" s="3719"/>
      <c r="AK2" s="3719"/>
      <c r="AL2" s="3719"/>
      <c r="AM2" s="3719"/>
      <c r="AN2" s="3719"/>
      <c r="AO2" s="3719"/>
      <c r="AP2" s="3719"/>
      <c r="AQ2" s="3719"/>
      <c r="AR2" s="3719"/>
      <c r="AS2" s="3719"/>
      <c r="AT2" s="3719"/>
      <c r="AU2" s="3719"/>
      <c r="AV2" s="3719"/>
      <c r="AW2" s="3719"/>
      <c r="AX2" s="3719"/>
      <c r="AY2" s="3719"/>
      <c r="AZ2" s="3719"/>
      <c r="BA2" s="3719"/>
      <c r="BB2" s="3719"/>
      <c r="BC2" s="1722"/>
      <c r="BD2" s="1722"/>
      <c r="BE2" s="1722"/>
      <c r="BF2" s="1710"/>
      <c r="BG2" s="1710"/>
      <c r="BH2" s="1710"/>
      <c r="BI2" s="1710"/>
      <c r="BJ2" s="1710"/>
      <c r="BK2" s="1710"/>
      <c r="BL2" s="1710"/>
      <c r="BM2" s="1710"/>
      <c r="BN2" s="1710"/>
      <c r="BO2" s="1710"/>
      <c r="BP2" s="1710"/>
      <c r="BQ2" s="1710"/>
      <c r="BR2" s="1710"/>
      <c r="BS2" s="1710"/>
      <c r="BT2" s="1710"/>
      <c r="BU2" s="1710"/>
      <c r="BV2" s="1710"/>
      <c r="BW2" s="1710"/>
      <c r="BX2" s="1710"/>
      <c r="BY2" s="1710"/>
      <c r="BZ2" s="1710"/>
      <c r="CA2" s="1710"/>
      <c r="CB2" s="1710"/>
      <c r="CC2" s="1710"/>
      <c r="CD2" s="1710"/>
      <c r="CE2" s="1710"/>
      <c r="CF2" s="1710"/>
      <c r="CG2" s="1709"/>
      <c r="CH2" s="1709"/>
      <c r="CI2" s="1710"/>
      <c r="CJ2" s="1710"/>
      <c r="CK2" s="1711" t="str">
        <f>CONCATENATE('CALCULS Eaux usées'!D11,'CALCULS Eaux usées'!G11)</f>
        <v>ANNÉE DU PGA :  ##</v>
      </c>
      <c r="CL2" s="1710"/>
      <c r="CM2" s="33"/>
    </row>
    <row r="3" spans="2:91" ht="15.75" customHeight="1">
      <c r="B3" s="1707"/>
      <c r="C3" s="1712" t="str">
        <f>CONCATENATE('CALCULS Eaux usées'!D10,'CALCULS Eaux usées'!G10)</f>
        <v>RÉGION ADMINISTRATIVE :  ##</v>
      </c>
      <c r="D3" s="1708"/>
      <c r="E3" s="1708"/>
      <c r="F3" s="1708"/>
      <c r="G3" s="1708"/>
      <c r="H3" s="1708"/>
      <c r="I3" s="1709"/>
      <c r="J3" s="1709"/>
      <c r="K3" s="1709"/>
      <c r="L3" s="1709"/>
      <c r="M3" s="1709"/>
      <c r="N3" s="1709"/>
      <c r="O3" s="1709"/>
      <c r="P3" s="1709"/>
      <c r="Q3" s="1709"/>
      <c r="R3" s="1709"/>
      <c r="S3" s="1709"/>
      <c r="T3" s="1709"/>
      <c r="U3" s="1709"/>
      <c r="V3" s="1709"/>
      <c r="W3" s="1709"/>
      <c r="X3" s="1709"/>
      <c r="Y3" s="1709"/>
      <c r="Z3" s="3712" t="str">
        <f>IF((IDENTIFICATION!G142='MENU DÉROULANT'!C10),"SERVICE DES EAUX USÉES &amp; PLUVIALES - SOMMAIRE PGA","SERVICE DES EAUX USÉES - SOMMAIRE PGA")</f>
        <v>SERVICE DES EAUX USÉES - SOMMAIRE PGA</v>
      </c>
      <c r="AA3" s="3712"/>
      <c r="AB3" s="3712"/>
      <c r="AC3" s="3712"/>
      <c r="AD3" s="3712"/>
      <c r="AE3" s="3712"/>
      <c r="AF3" s="3712"/>
      <c r="AG3" s="3712"/>
      <c r="AH3" s="3712"/>
      <c r="AI3" s="3712"/>
      <c r="AJ3" s="3712"/>
      <c r="AK3" s="3712"/>
      <c r="AL3" s="3712"/>
      <c r="AM3" s="3712"/>
      <c r="AN3" s="3712"/>
      <c r="AO3" s="3712"/>
      <c r="AP3" s="3712"/>
      <c r="AQ3" s="3712"/>
      <c r="AR3" s="3712"/>
      <c r="AS3" s="3712"/>
      <c r="AT3" s="3712"/>
      <c r="AU3" s="3712"/>
      <c r="AV3" s="3712"/>
      <c r="AW3" s="3712"/>
      <c r="AX3" s="3712"/>
      <c r="AY3" s="3712"/>
      <c r="AZ3" s="3712"/>
      <c r="BA3" s="3712"/>
      <c r="BB3" s="3712"/>
      <c r="BC3" s="3712"/>
      <c r="BD3" s="3712"/>
      <c r="BE3" s="3712"/>
      <c r="BF3" s="3712"/>
      <c r="BG3" s="3712"/>
      <c r="BH3" s="3712"/>
      <c r="BI3" s="3712"/>
      <c r="BJ3" s="1710"/>
      <c r="BK3" s="1710"/>
      <c r="BL3" s="1710"/>
      <c r="BM3" s="1710"/>
      <c r="BN3" s="1710"/>
      <c r="BO3" s="1710"/>
      <c r="BP3" s="1710"/>
      <c r="BQ3" s="1710"/>
      <c r="BR3" s="1710"/>
      <c r="BS3" s="1710"/>
      <c r="BT3" s="1710"/>
      <c r="BU3" s="1710"/>
      <c r="BV3" s="1710"/>
      <c r="BW3" s="1710"/>
      <c r="BX3" s="1710"/>
      <c r="BY3" s="1710"/>
      <c r="BZ3" s="1710"/>
      <c r="CA3" s="1710"/>
      <c r="CB3" s="1710"/>
      <c r="CC3" s="1710"/>
      <c r="CD3" s="1710"/>
      <c r="CE3" s="1710"/>
      <c r="CF3" s="1710"/>
      <c r="CG3" s="1709"/>
      <c r="CH3" s="1709"/>
      <c r="CI3" s="1710"/>
      <c r="CJ3" s="1710"/>
      <c r="CK3" s="1713" t="str">
        <f>CONCATENATE('CALCULS Eaux usées'!G12,'CALCULS Eaux usées'!H12,'CALCULS Eaux usées'!I12)</f>
        <v/>
      </c>
      <c r="CL3" s="1710"/>
      <c r="CM3" s="33"/>
    </row>
    <row r="4" spans="2:91" ht="22.5" customHeight="1">
      <c r="B4" s="1707"/>
      <c r="C4" s="1712" t="str">
        <f>CONCATENATE('CALCULS Eaux usées'!D9,'CALCULS Eaux usées'!G9)</f>
        <v>CODE DE L'ORGANISATION :  ##</v>
      </c>
      <c r="D4" s="1708"/>
      <c r="E4" s="1708"/>
      <c r="F4" s="1708"/>
      <c r="G4" s="1708"/>
      <c r="H4" s="1708"/>
      <c r="I4" s="1709"/>
      <c r="J4" s="1709"/>
      <c r="K4" s="1709"/>
      <c r="L4" s="1709"/>
      <c r="M4" s="1709"/>
      <c r="N4" s="1709"/>
      <c r="O4" s="1709"/>
      <c r="P4" s="1709"/>
      <c r="Q4" s="1709"/>
      <c r="R4" s="1709"/>
      <c r="S4" s="1709"/>
      <c r="T4" s="1709"/>
      <c r="U4" s="1709"/>
      <c r="V4" s="1709"/>
      <c r="W4" s="1709"/>
      <c r="X4" s="1709"/>
      <c r="Y4" s="1709"/>
      <c r="Z4" s="3712"/>
      <c r="AA4" s="3712"/>
      <c r="AB4" s="3712"/>
      <c r="AC4" s="3712"/>
      <c r="AD4" s="3712"/>
      <c r="AE4" s="3712"/>
      <c r="AF4" s="3712"/>
      <c r="AG4" s="3712"/>
      <c r="AH4" s="3712"/>
      <c r="AI4" s="3712"/>
      <c r="AJ4" s="3712"/>
      <c r="AK4" s="3712"/>
      <c r="AL4" s="3712"/>
      <c r="AM4" s="3712"/>
      <c r="AN4" s="3712"/>
      <c r="AO4" s="3712"/>
      <c r="AP4" s="3712"/>
      <c r="AQ4" s="3712"/>
      <c r="AR4" s="3712"/>
      <c r="AS4" s="3712"/>
      <c r="AT4" s="3712"/>
      <c r="AU4" s="3712"/>
      <c r="AV4" s="3712"/>
      <c r="AW4" s="3712"/>
      <c r="AX4" s="3712"/>
      <c r="AY4" s="3712"/>
      <c r="AZ4" s="3712"/>
      <c r="BA4" s="3712"/>
      <c r="BB4" s="3712"/>
      <c r="BC4" s="3712"/>
      <c r="BD4" s="3712"/>
      <c r="BE4" s="3712"/>
      <c r="BF4" s="3712"/>
      <c r="BG4" s="3712"/>
      <c r="BH4" s="3712"/>
      <c r="BI4" s="3712"/>
      <c r="BJ4" s="1714"/>
      <c r="BK4" s="1714"/>
      <c r="BL4" s="1714"/>
      <c r="BM4" s="1714"/>
      <c r="BN4" s="1714"/>
      <c r="BO4" s="1714"/>
      <c r="BP4" s="1714"/>
      <c r="BQ4" s="1714"/>
      <c r="BR4" s="1714"/>
      <c r="BS4" s="1714"/>
      <c r="BT4" s="1714"/>
      <c r="BU4" s="1714"/>
      <c r="BV4" s="1714"/>
      <c r="BW4" s="1714"/>
      <c r="BX4" s="1714"/>
      <c r="BY4" s="1714"/>
      <c r="BZ4" s="1714"/>
      <c r="CA4" s="1714"/>
      <c r="CB4" s="1714"/>
      <c r="CC4" s="1714"/>
      <c r="CD4" s="1714"/>
      <c r="CE4" s="1714"/>
      <c r="CF4" s="1715" t="str">
        <f>'CALCULS Eaux usées'!D13</f>
        <v>DATE DE COMPLÉTION DU FORMULAIRE :</v>
      </c>
      <c r="CG4" s="3723" t="str">
        <f>'CALCULS Eaux usées'!G13</f>
        <v>##</v>
      </c>
      <c r="CH4" s="3723"/>
      <c r="CI4" s="3723"/>
      <c r="CJ4" s="3723"/>
      <c r="CK4" s="3723"/>
      <c r="CL4" s="1714"/>
      <c r="CM4" s="35"/>
    </row>
    <row r="5" spans="2:91" ht="6.75" customHeight="1">
      <c r="B5" s="1707"/>
      <c r="C5" s="1712"/>
      <c r="D5" s="1708"/>
      <c r="E5" s="1708"/>
      <c r="F5" s="1708"/>
      <c r="G5" s="1708"/>
      <c r="H5" s="1708"/>
      <c r="I5" s="1709"/>
      <c r="J5" s="1709"/>
      <c r="K5" s="1709"/>
      <c r="L5" s="1709"/>
      <c r="M5" s="1709"/>
      <c r="N5" s="1709"/>
      <c r="O5" s="1709"/>
      <c r="P5" s="1709"/>
      <c r="Q5" s="1709"/>
      <c r="R5" s="1709"/>
      <c r="S5" s="1709"/>
      <c r="T5" s="1709"/>
      <c r="U5" s="1709"/>
      <c r="V5" s="1709"/>
      <c r="W5" s="1709"/>
      <c r="X5" s="1709"/>
      <c r="Y5" s="1709"/>
      <c r="Z5" s="1714"/>
      <c r="AA5" s="1714"/>
      <c r="AB5" s="1714"/>
      <c r="AC5" s="1714"/>
      <c r="AD5" s="2850"/>
      <c r="AE5" s="2850"/>
      <c r="AF5" s="2850"/>
      <c r="AG5" s="2850"/>
      <c r="AH5" s="2850"/>
      <c r="AI5" s="2850"/>
      <c r="AJ5" s="2850"/>
      <c r="AK5" s="2850"/>
      <c r="AL5" s="2850"/>
      <c r="AM5" s="2850"/>
      <c r="AN5" s="2850"/>
      <c r="AO5" s="2850"/>
      <c r="AP5" s="2850"/>
      <c r="AQ5" s="2850"/>
      <c r="AR5" s="2850"/>
      <c r="AS5" s="2850"/>
      <c r="AT5" s="2850"/>
      <c r="AU5" s="2850"/>
      <c r="AV5" s="2850"/>
      <c r="AW5" s="2850"/>
      <c r="AX5" s="2850"/>
      <c r="AY5" s="2850"/>
      <c r="AZ5" s="2850"/>
      <c r="BA5" s="2850"/>
      <c r="BB5" s="2850"/>
      <c r="BC5" s="2850"/>
      <c r="BD5" s="2850"/>
      <c r="BE5" s="2850"/>
      <c r="BF5" s="1714"/>
      <c r="BG5" s="1714"/>
      <c r="BH5" s="1714"/>
      <c r="BI5" s="1714"/>
      <c r="BJ5" s="1714"/>
      <c r="BK5" s="1714"/>
      <c r="BL5" s="1714"/>
      <c r="BM5" s="1714"/>
      <c r="BN5" s="1714"/>
      <c r="BO5" s="1714"/>
      <c r="BP5" s="1714"/>
      <c r="BQ5" s="1714"/>
      <c r="BR5" s="1714"/>
      <c r="BS5" s="1714"/>
      <c r="BT5" s="1714"/>
      <c r="BU5" s="1714"/>
      <c r="BV5" s="1714"/>
      <c r="BW5" s="1714"/>
      <c r="BX5" s="1714"/>
      <c r="BY5" s="1714"/>
      <c r="BZ5" s="1714"/>
      <c r="CA5" s="1714"/>
      <c r="CB5" s="1714"/>
      <c r="CC5" s="1714"/>
      <c r="CD5" s="1714"/>
      <c r="CE5" s="1714"/>
      <c r="CF5" s="1714"/>
      <c r="CG5" s="1709"/>
      <c r="CH5" s="1709"/>
      <c r="CI5" s="1714"/>
      <c r="CJ5" s="1714"/>
      <c r="CK5" s="1715"/>
      <c r="CL5" s="1714"/>
      <c r="CM5" s="35"/>
    </row>
    <row r="6" spans="2:91" ht="21.75" customHeight="1">
      <c r="B6" s="2393" t="str">
        <f>IF((IDENTIFICATION!G142='MENU DÉROULANT'!C10),"Note: La municipalité a fait le choix d'intégrer sa gestion des infrastructures d'eaux pluviales avec celles des eaux usées. Le terme Eaux usées utilisé dans cet onglet réfère donc à Eaux usées &amp; pluviales.","")</f>
        <v/>
      </c>
      <c r="C6" s="587"/>
      <c r="BZ6" s="3615" t="s">
        <v>4041</v>
      </c>
      <c r="CA6" s="3615"/>
      <c r="CB6" s="3615"/>
      <c r="CC6" s="3615"/>
      <c r="CD6" s="3615"/>
      <c r="CE6" s="3615"/>
      <c r="CF6" s="3615"/>
      <c r="CG6" s="3615"/>
      <c r="CH6" s="3615"/>
      <c r="CI6" s="3615"/>
      <c r="CJ6" s="3615"/>
      <c r="CK6" s="3615"/>
      <c r="CL6" s="3615"/>
    </row>
    <row r="7" spans="2:91" ht="16.5" customHeight="1"/>
    <row r="8" spans="2:91" ht="22.5" customHeight="1">
      <c r="B8" s="1702"/>
      <c r="C8" s="1703" t="s">
        <v>502</v>
      </c>
      <c r="D8" s="1704"/>
      <c r="E8" s="1704"/>
      <c r="F8" s="1704"/>
      <c r="G8" s="1704"/>
      <c r="H8" s="1704"/>
      <c r="I8" s="1704"/>
      <c r="J8" s="1704"/>
      <c r="K8" s="1704"/>
      <c r="L8" s="1704"/>
      <c r="M8" s="1704"/>
      <c r="N8" s="1704"/>
      <c r="O8" s="1704"/>
      <c r="P8" s="1704"/>
      <c r="Q8" s="1704"/>
      <c r="R8" s="1704"/>
      <c r="S8" s="1704"/>
      <c r="T8" s="1704"/>
      <c r="U8" s="1704"/>
      <c r="V8" s="1704"/>
      <c r="W8" s="1704"/>
      <c r="X8" s="1704"/>
      <c r="Y8" s="1704"/>
      <c r="Z8" s="1704"/>
      <c r="AA8" s="1704"/>
      <c r="AB8" s="1704"/>
      <c r="AC8" s="1704"/>
      <c r="AD8" s="1704"/>
      <c r="AE8" s="1704"/>
      <c r="AF8" s="1704"/>
      <c r="AG8" s="1704"/>
      <c r="AH8" s="1704"/>
      <c r="AI8" s="1704"/>
      <c r="AJ8" s="1704"/>
      <c r="AK8" s="1704"/>
      <c r="AL8" s="1704"/>
      <c r="AM8" s="1704"/>
      <c r="AN8" s="1704"/>
      <c r="AO8" s="1704"/>
      <c r="AP8" s="1704"/>
      <c r="AQ8" s="1704"/>
      <c r="AR8" s="1704"/>
      <c r="AS8" s="1704"/>
      <c r="AT8" s="1704"/>
      <c r="AU8" s="1705"/>
      <c r="AV8" s="1705"/>
      <c r="AW8" s="1705"/>
      <c r="AX8" s="1704"/>
      <c r="AY8" s="1704"/>
      <c r="AZ8" s="1704"/>
      <c r="BA8" s="1704"/>
      <c r="BB8" s="1704"/>
      <c r="BC8" s="1704"/>
      <c r="BD8" s="1704"/>
      <c r="BE8" s="1704"/>
      <c r="BF8" s="1704"/>
      <c r="BG8" s="1704"/>
      <c r="BH8" s="1704"/>
      <c r="BI8" s="1704"/>
      <c r="BJ8" s="1704"/>
      <c r="BK8" s="1704"/>
      <c r="BL8" s="1704"/>
      <c r="BM8" s="1704"/>
      <c r="BN8" s="1704"/>
      <c r="BO8" s="1704"/>
      <c r="BP8" s="1704"/>
      <c r="BQ8" s="1704"/>
      <c r="BR8" s="1704"/>
      <c r="BS8" s="1704"/>
      <c r="BT8" s="1704"/>
      <c r="BU8" s="1704"/>
      <c r="BV8" s="1704"/>
      <c r="BW8" s="1704"/>
      <c r="BX8" s="1704"/>
      <c r="BY8" s="1704"/>
      <c r="BZ8" s="1704"/>
      <c r="CA8" s="1704"/>
      <c r="CB8" s="1704"/>
      <c r="CC8" s="1704"/>
      <c r="CD8" s="1704"/>
      <c r="CE8" s="1704"/>
      <c r="CF8" s="1704"/>
      <c r="CG8" s="1702"/>
      <c r="CH8" s="1706"/>
      <c r="CI8" s="1702"/>
      <c r="CJ8" s="3724"/>
      <c r="CK8" s="3724"/>
      <c r="CL8" s="1704"/>
    </row>
    <row r="9" spans="2:91" ht="6.75" customHeight="1"/>
    <row r="10" spans="2:91" ht="12" customHeight="1">
      <c r="B10" s="1811"/>
      <c r="C10" s="1813"/>
      <c r="D10" s="1813"/>
      <c r="E10" s="1813"/>
      <c r="F10" s="1813"/>
      <c r="G10" s="1813"/>
      <c r="H10" s="1813"/>
      <c r="I10" s="1813"/>
      <c r="J10" s="1813"/>
      <c r="K10" s="1813"/>
      <c r="L10" s="1813"/>
      <c r="M10" s="1813"/>
      <c r="N10" s="1813"/>
      <c r="O10" s="1813"/>
      <c r="P10" s="1813"/>
      <c r="Q10" s="1813"/>
      <c r="R10" s="1813"/>
      <c r="S10" s="1813"/>
      <c r="T10" s="1813"/>
      <c r="U10" s="1813"/>
      <c r="V10" s="1813"/>
      <c r="W10" s="1813"/>
      <c r="X10" s="1813"/>
      <c r="Y10" s="1813"/>
      <c r="Z10" s="1813"/>
      <c r="AA10" s="1813"/>
      <c r="AB10" s="1813"/>
      <c r="AC10" s="1813"/>
      <c r="AD10" s="1813"/>
      <c r="AE10" s="1813"/>
      <c r="AF10" s="1813"/>
      <c r="AG10" s="1813"/>
      <c r="AH10" s="1813"/>
      <c r="AI10" s="1813"/>
      <c r="AJ10" s="1813"/>
      <c r="AK10" s="1813"/>
      <c r="AL10" s="1813"/>
      <c r="AM10" s="1813"/>
      <c r="AN10" s="1813"/>
      <c r="AO10" s="1813"/>
      <c r="AP10" s="1813"/>
      <c r="AQ10" s="1813"/>
      <c r="AR10" s="1813"/>
      <c r="AS10" s="1813"/>
      <c r="AT10" s="1813"/>
      <c r="AU10" s="1813"/>
      <c r="AV10" s="1813"/>
      <c r="AW10" s="1813"/>
      <c r="AX10" s="1813"/>
      <c r="AY10" s="1813"/>
      <c r="AZ10" s="1813"/>
      <c r="BA10" s="1813"/>
      <c r="BB10" s="1813"/>
      <c r="BC10" s="1813"/>
      <c r="BD10" s="1813"/>
      <c r="BE10" s="1813"/>
      <c r="BF10" s="1813"/>
      <c r="BG10" s="1813"/>
      <c r="BH10" s="1813"/>
      <c r="BI10" s="1813"/>
      <c r="BJ10" s="1813"/>
      <c r="BK10" s="1813"/>
      <c r="BL10" s="1813"/>
      <c r="BM10" s="1813"/>
      <c r="BN10" s="1813"/>
      <c r="BO10" s="1813"/>
      <c r="BP10" s="1813"/>
      <c r="BQ10" s="1813"/>
      <c r="BR10" s="1813"/>
      <c r="BS10" s="1813"/>
      <c r="BT10" s="1813"/>
      <c r="BU10" s="1813"/>
      <c r="BV10" s="1813"/>
      <c r="BW10" s="1813"/>
      <c r="BX10" s="1813"/>
      <c r="BY10" s="1813"/>
      <c r="BZ10" s="1813"/>
      <c r="CA10" s="1813"/>
      <c r="CB10" s="1813"/>
      <c r="CC10" s="1813"/>
      <c r="CD10" s="1813"/>
      <c r="CE10" s="1813"/>
      <c r="CF10" s="1813"/>
      <c r="CG10" s="1813"/>
      <c r="CH10" s="1813"/>
      <c r="CI10" s="1813"/>
      <c r="CJ10" s="1813"/>
      <c r="CK10" s="1813"/>
      <c r="CL10" s="1814"/>
      <c r="CM10" s="43"/>
    </row>
    <row r="11" spans="2:91" ht="9" customHeight="1">
      <c r="B11" s="1809"/>
      <c r="C11" s="45"/>
      <c r="D11" s="46"/>
      <c r="E11" s="46"/>
      <c r="F11" s="46"/>
      <c r="G11" s="46"/>
      <c r="H11" s="46"/>
      <c r="I11" s="46"/>
      <c r="J11" s="46"/>
      <c r="K11" s="46"/>
      <c r="L11" s="46"/>
      <c r="M11" s="46"/>
      <c r="N11" s="46"/>
      <c r="O11" s="46"/>
      <c r="P11" s="46"/>
      <c r="Q11" s="46"/>
      <c r="R11" s="46"/>
      <c r="S11" s="46"/>
      <c r="T11" s="46"/>
      <c r="U11" s="46"/>
      <c r="V11" s="46"/>
      <c r="W11" s="46"/>
      <c r="X11" s="46"/>
      <c r="Y11" s="46"/>
      <c r="Z11" s="46"/>
      <c r="AA11" s="111"/>
      <c r="AB11" s="111"/>
      <c r="AC11" s="111"/>
      <c r="AD11" s="111"/>
      <c r="AE11" s="112"/>
      <c r="AF11" s="1815"/>
      <c r="AG11" s="45"/>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6"/>
      <c r="CD11" s="46"/>
      <c r="CE11" s="46"/>
      <c r="CF11" s="46"/>
      <c r="CG11" s="46"/>
      <c r="CH11" s="46"/>
      <c r="CI11" s="46"/>
      <c r="CJ11" s="46"/>
      <c r="CK11" s="47"/>
      <c r="CL11" s="1822"/>
      <c r="CM11" s="43"/>
    </row>
    <row r="12" spans="2:91" ht="21.75" customHeight="1">
      <c r="B12" s="1809"/>
      <c r="C12" s="50"/>
      <c r="D12" s="51" t="s">
        <v>746</v>
      </c>
      <c r="E12" s="51"/>
      <c r="F12" s="51"/>
      <c r="G12" s="51"/>
      <c r="H12" s="51"/>
      <c r="I12" s="52"/>
      <c r="J12" s="52"/>
      <c r="K12" s="53"/>
      <c r="L12" s="54"/>
      <c r="M12" s="53"/>
      <c r="N12" s="24"/>
      <c r="O12" s="53"/>
      <c r="P12" s="25"/>
      <c r="Q12" s="53"/>
      <c r="R12" s="25"/>
      <c r="S12" s="53"/>
      <c r="T12" s="25"/>
      <c r="U12" s="53"/>
      <c r="V12" s="25"/>
      <c r="W12" s="25"/>
      <c r="X12" s="55"/>
      <c r="Z12" s="52"/>
      <c r="AA12" s="53"/>
      <c r="AB12" s="3575">
        <f>'CALCULS Eaux usées'!J30</f>
        <v>0</v>
      </c>
      <c r="AC12" s="3575"/>
      <c r="AD12" s="3575"/>
      <c r="AE12" s="979"/>
      <c r="AF12" s="1816"/>
      <c r="AG12" s="56"/>
      <c r="AH12" s="57" t="s">
        <v>747</v>
      </c>
      <c r="AI12" s="53"/>
      <c r="AJ12" s="52"/>
      <c r="AK12" s="52"/>
      <c r="AL12" s="52"/>
      <c r="AM12" s="25"/>
      <c r="AN12" s="58"/>
      <c r="AO12" s="52"/>
      <c r="AP12" s="52"/>
      <c r="AQ12" s="52"/>
      <c r="AR12" s="59"/>
      <c r="AS12" s="59"/>
      <c r="AT12" s="59"/>
      <c r="AU12" s="2875"/>
      <c r="AV12" s="2875"/>
      <c r="AW12" s="2875"/>
      <c r="AX12" s="52"/>
      <c r="AY12" s="52"/>
      <c r="AZ12" s="52"/>
      <c r="BA12" s="52"/>
      <c r="BB12" s="52"/>
      <c r="BC12" s="53"/>
      <c r="BD12" s="54"/>
      <c r="BE12" s="53"/>
      <c r="BF12" s="24"/>
      <c r="BG12" s="53"/>
      <c r="BH12" s="25"/>
      <c r="BI12" s="53"/>
      <c r="BJ12" s="25"/>
      <c r="BK12" s="53"/>
      <c r="BL12" s="25"/>
      <c r="BM12" s="53"/>
      <c r="BN12" s="25"/>
      <c r="BO12" s="25"/>
      <c r="BP12" s="58"/>
      <c r="BQ12" s="60"/>
      <c r="BR12" s="60"/>
      <c r="BS12" s="52"/>
      <c r="BT12" s="53"/>
      <c r="BU12" s="54"/>
      <c r="BV12" s="53"/>
      <c r="BW12" s="24"/>
      <c r="BX12" s="53"/>
      <c r="BY12" s="25"/>
      <c r="BZ12" s="53"/>
      <c r="CA12" s="25"/>
      <c r="CB12" s="53"/>
      <c r="CC12" s="52"/>
      <c r="CD12" s="52"/>
      <c r="CE12" s="52"/>
      <c r="CF12" s="25"/>
      <c r="CG12" s="58"/>
      <c r="CH12" s="52"/>
      <c r="CI12" s="52"/>
      <c r="CJ12" s="52"/>
      <c r="CK12" s="61"/>
      <c r="CL12" s="1822"/>
      <c r="CM12" s="43"/>
    </row>
    <row r="13" spans="2:91" ht="18" customHeight="1">
      <c r="B13" s="1809"/>
      <c r="C13" s="50"/>
      <c r="D13" s="3720" t="s">
        <v>748</v>
      </c>
      <c r="E13" s="2751" t="str">
        <f>'CALCULS Eaux usées'!D21</f>
        <v>Collecte / Linéaire</v>
      </c>
      <c r="F13" s="2442"/>
      <c r="G13" s="2443"/>
      <c r="H13" s="2442"/>
      <c r="I13" s="2443"/>
      <c r="J13" s="52"/>
      <c r="K13" s="53"/>
      <c r="L13" s="54"/>
      <c r="M13" s="53"/>
      <c r="N13" s="24"/>
      <c r="O13" s="53"/>
      <c r="P13" s="25"/>
      <c r="Q13" s="53"/>
      <c r="R13" s="25"/>
      <c r="S13" s="53"/>
      <c r="T13" s="25"/>
      <c r="U13" s="53"/>
      <c r="V13" s="25"/>
      <c r="W13" s="25"/>
      <c r="X13" s="58"/>
      <c r="Y13" s="60"/>
      <c r="Z13" s="52"/>
      <c r="AA13" s="53"/>
      <c r="AB13" s="54"/>
      <c r="AC13" s="53"/>
      <c r="AD13" s="24"/>
      <c r="AE13" s="980"/>
      <c r="AF13" s="1816"/>
      <c r="AG13" s="56"/>
      <c r="AH13" s="978"/>
      <c r="AI13" s="1726" t="s">
        <v>842</v>
      </c>
      <c r="AJ13" s="1735"/>
      <c r="AK13" s="1735"/>
      <c r="AL13" s="1735"/>
      <c r="AM13" s="1736"/>
      <c r="AN13" s="1737"/>
      <c r="AO13" s="1735"/>
      <c r="AP13" s="1735"/>
      <c r="AQ13" s="1735"/>
      <c r="AR13" s="1738"/>
      <c r="AS13" s="1738"/>
      <c r="AT13" s="1738"/>
      <c r="AU13" s="1739"/>
      <c r="AV13" s="1739"/>
      <c r="AW13" s="1739"/>
      <c r="AX13" s="1735"/>
      <c r="AY13" s="1735"/>
      <c r="AZ13" s="1735"/>
      <c r="BA13" s="1735"/>
      <c r="BB13" s="1735"/>
      <c r="BC13" s="1740"/>
      <c r="BD13" s="1741"/>
      <c r="BE13" s="2244" t="str">
        <f>IF(('CALCULS Eaux usées'!D33='MENU DÉROULANT'!$C$44),"(Aucun actif)","")</f>
        <v/>
      </c>
      <c r="BF13" s="1742"/>
      <c r="BG13" s="53"/>
      <c r="BH13" s="1726" t="s">
        <v>843</v>
      </c>
      <c r="BI13" s="1740"/>
      <c r="BJ13" s="1736"/>
      <c r="BK13" s="1740"/>
      <c r="BL13" s="1736"/>
      <c r="BM13" s="1740"/>
      <c r="BN13" s="1736"/>
      <c r="BO13" s="1736"/>
      <c r="BP13" s="1737"/>
      <c r="BQ13" s="1743"/>
      <c r="BR13" s="1743"/>
      <c r="BS13" s="1735"/>
      <c r="BT13" s="1740"/>
      <c r="BU13" s="1741"/>
      <c r="BV13" s="1740"/>
      <c r="BW13" s="1744"/>
      <c r="BX13" s="1740"/>
      <c r="BY13" s="1736"/>
      <c r="BZ13" s="1740"/>
      <c r="CA13" s="1736"/>
      <c r="CB13" s="1740"/>
      <c r="CC13" s="1735"/>
      <c r="CD13" s="1735"/>
      <c r="CE13" s="1735"/>
      <c r="CF13" s="1736"/>
      <c r="CG13" s="1737"/>
      <c r="CH13" s="1735"/>
      <c r="CI13" s="2244" t="str">
        <f>IF(('CALCULS Eaux usées'!D41='MENU DÉROULANT'!$F$44),"(Aucun actif)","")</f>
        <v/>
      </c>
      <c r="CJ13" s="1745"/>
      <c r="CK13" s="61"/>
      <c r="CL13" s="1822"/>
      <c r="CM13" s="43"/>
    </row>
    <row r="14" spans="2:91" ht="11.25" customHeight="1">
      <c r="B14" s="1809"/>
      <c r="C14" s="50"/>
      <c r="D14" s="3720"/>
      <c r="E14" s="3725" t="str">
        <f>'CALCULS Eaux usées'!F21</f>
        <v>Aucun</v>
      </c>
      <c r="F14" s="3725"/>
      <c r="G14" s="3725"/>
      <c r="H14" s="3725"/>
      <c r="I14" s="2849"/>
      <c r="J14" s="52"/>
      <c r="K14" s="53"/>
      <c r="L14" s="54"/>
      <c r="M14" s="53"/>
      <c r="N14" s="24"/>
      <c r="O14" s="53"/>
      <c r="P14" s="25"/>
      <c r="Q14" s="53"/>
      <c r="R14" s="25"/>
      <c r="S14" s="53"/>
      <c r="T14" s="25"/>
      <c r="U14" s="53"/>
      <c r="V14" s="25"/>
      <c r="W14" s="25"/>
      <c r="X14" s="58"/>
      <c r="Y14" s="60"/>
      <c r="Z14" s="52"/>
      <c r="AA14" s="53"/>
      <c r="AB14" s="54"/>
      <c r="AC14" s="53"/>
      <c r="AD14" s="24"/>
      <c r="AE14" s="979"/>
      <c r="AF14" s="1816"/>
      <c r="AG14" s="56"/>
      <c r="AH14" s="25"/>
      <c r="AI14" s="988"/>
      <c r="AJ14" s="989"/>
      <c r="AK14" s="989"/>
      <c r="AL14" s="989"/>
      <c r="AM14" s="990"/>
      <c r="AN14" s="991"/>
      <c r="AO14" s="989"/>
      <c r="AP14" s="989"/>
      <c r="AQ14" s="989"/>
      <c r="AR14" s="46"/>
      <c r="AS14" s="46"/>
      <c r="AT14" s="46"/>
      <c r="AU14" s="992"/>
      <c r="AV14" s="992"/>
      <c r="AW14" s="992"/>
      <c r="AX14" s="989"/>
      <c r="AY14" s="989"/>
      <c r="AZ14" s="989"/>
      <c r="BA14" s="989"/>
      <c r="BB14" s="989"/>
      <c r="BC14" s="993"/>
      <c r="BD14" s="994"/>
      <c r="BE14" s="993"/>
      <c r="BF14" s="995"/>
      <c r="BG14" s="53"/>
      <c r="BH14" s="591"/>
      <c r="BI14" s="53"/>
      <c r="BJ14" s="25"/>
      <c r="BK14" s="53"/>
      <c r="BL14" s="25"/>
      <c r="BM14" s="53"/>
      <c r="BN14" s="25"/>
      <c r="BO14" s="25"/>
      <c r="BP14" s="58"/>
      <c r="BQ14" s="60"/>
      <c r="BR14" s="60"/>
      <c r="BS14" s="52"/>
      <c r="BT14" s="53"/>
      <c r="BU14" s="54"/>
      <c r="BV14" s="53"/>
      <c r="BW14" s="24"/>
      <c r="BX14" s="53"/>
      <c r="BY14" s="25"/>
      <c r="BZ14" s="53"/>
      <c r="CA14" s="25"/>
      <c r="CB14" s="53"/>
      <c r="CC14" s="52"/>
      <c r="CD14" s="52"/>
      <c r="CE14" s="52"/>
      <c r="CF14" s="25"/>
      <c r="CG14" s="58"/>
      <c r="CH14" s="52"/>
      <c r="CI14" s="52"/>
      <c r="CJ14" s="442"/>
      <c r="CK14" s="61"/>
      <c r="CL14" s="1822"/>
      <c r="CM14" s="43"/>
    </row>
    <row r="15" spans="2:91" s="72" customFormat="1" ht="15" customHeight="1">
      <c r="B15" s="1810"/>
      <c r="C15" s="64"/>
      <c r="D15" s="3721" t="s">
        <v>748</v>
      </c>
      <c r="E15" s="2751" t="str">
        <f>'CALCULS Eaux usées'!D22</f>
        <v>Collecte / Ponctuel</v>
      </c>
      <c r="F15" s="2442"/>
      <c r="G15" s="2444"/>
      <c r="H15" s="2442"/>
      <c r="I15" s="2444"/>
      <c r="J15" s="215"/>
      <c r="K15" s="215"/>
      <c r="L15" s="215"/>
      <c r="M15" s="215"/>
      <c r="N15" s="215"/>
      <c r="O15" s="215"/>
      <c r="P15" s="215"/>
      <c r="Q15" s="215"/>
      <c r="R15" s="215"/>
      <c r="S15" s="215"/>
      <c r="T15" s="215"/>
      <c r="U15" s="215"/>
      <c r="V15" s="215"/>
      <c r="W15" s="215"/>
      <c r="X15" s="215"/>
      <c r="Y15" s="215"/>
      <c r="Z15" s="66"/>
      <c r="AA15" s="66"/>
      <c r="AB15" s="66"/>
      <c r="AC15" s="66"/>
      <c r="AD15" s="2875"/>
      <c r="AE15" s="981"/>
      <c r="AF15" s="1817"/>
      <c r="AG15" s="68"/>
      <c r="AH15" s="66"/>
      <c r="AI15" s="1031" t="s">
        <v>34</v>
      </c>
      <c r="AJ15" s="1030"/>
      <c r="AK15" s="66"/>
      <c r="AL15" s="66"/>
      <c r="AM15" s="66"/>
      <c r="AN15" s="2274" t="str">
        <f>'CALCULS Eaux usées'!E38</f>
        <v/>
      </c>
      <c r="AO15" s="66"/>
      <c r="AP15" s="66"/>
      <c r="AQ15" s="66"/>
      <c r="AR15" s="59"/>
      <c r="AS15" s="59"/>
      <c r="AT15" s="59"/>
      <c r="AU15" s="215"/>
      <c r="AV15" s="215"/>
      <c r="AW15" s="215"/>
      <c r="AX15" s="215"/>
      <c r="AY15" s="215"/>
      <c r="AZ15" s="215"/>
      <c r="BA15" s="215"/>
      <c r="BB15" s="215"/>
      <c r="BC15" s="215"/>
      <c r="BD15" s="215"/>
      <c r="BE15" s="215"/>
      <c r="BF15" s="996"/>
      <c r="BH15" s="1031" t="s">
        <v>34</v>
      </c>
      <c r="BI15" s="215"/>
      <c r="BJ15" s="215"/>
      <c r="BK15" s="215"/>
      <c r="BL15" s="215"/>
      <c r="BM15" s="2274"/>
      <c r="BN15" s="2274" t="str">
        <f>'CALCULS Eaux usées'!E46</f>
        <v/>
      </c>
      <c r="BO15" s="2274"/>
      <c r="BP15" s="65"/>
      <c r="BQ15" s="66"/>
      <c r="BR15" s="66"/>
      <c r="BS15" s="66"/>
      <c r="BT15" s="66"/>
      <c r="BU15" s="66"/>
      <c r="BV15" s="66"/>
      <c r="BW15" s="66"/>
      <c r="BX15" s="66"/>
      <c r="BY15" s="66"/>
      <c r="BZ15" s="66"/>
      <c r="CA15" s="66"/>
      <c r="CB15" s="66"/>
      <c r="CC15" s="66"/>
      <c r="CD15" s="66"/>
      <c r="CE15" s="66"/>
      <c r="CF15" s="66"/>
      <c r="CG15" s="66"/>
      <c r="CH15" s="66"/>
      <c r="CI15" s="66"/>
      <c r="CJ15" s="67"/>
      <c r="CK15" s="69"/>
      <c r="CL15" s="1823"/>
      <c r="CM15" s="71"/>
    </row>
    <row r="16" spans="2:91" s="72" customFormat="1" ht="11.25" customHeight="1">
      <c r="B16" s="1810"/>
      <c r="C16" s="64"/>
      <c r="D16" s="3721"/>
      <c r="E16" s="3718" t="str">
        <f>'CALCULS Eaux usées'!F22</f>
        <v>Aucun</v>
      </c>
      <c r="F16" s="3718"/>
      <c r="G16" s="3718"/>
      <c r="H16" s="3718"/>
      <c r="I16" s="2847"/>
      <c r="J16" s="215"/>
      <c r="K16" s="215"/>
      <c r="L16" s="215"/>
      <c r="M16" s="215"/>
      <c r="N16" s="215"/>
      <c r="O16" s="215"/>
      <c r="P16" s="215"/>
      <c r="Q16" s="215"/>
      <c r="R16" s="215"/>
      <c r="S16" s="215"/>
      <c r="T16" s="215"/>
      <c r="U16" s="215"/>
      <c r="V16" s="215"/>
      <c r="W16" s="215"/>
      <c r="X16" s="215"/>
      <c r="Y16" s="215"/>
      <c r="Z16" s="66"/>
      <c r="AA16" s="66"/>
      <c r="AB16" s="66"/>
      <c r="AC16" s="66"/>
      <c r="AD16" s="66"/>
      <c r="AE16" s="981"/>
      <c r="AF16" s="1817"/>
      <c r="AG16" s="68"/>
      <c r="AH16" s="66"/>
      <c r="AI16" s="68"/>
      <c r="AJ16" s="3674">
        <f>'CALCULS Eaux usées'!L53</f>
        <v>0</v>
      </c>
      <c r="AK16" s="3674"/>
      <c r="AL16" s="3674"/>
      <c r="AM16" s="66"/>
      <c r="AN16" s="66"/>
      <c r="AO16" s="66"/>
      <c r="AP16" s="66"/>
      <c r="AQ16" s="66"/>
      <c r="AR16" s="59"/>
      <c r="AS16" s="59"/>
      <c r="AT16" s="59"/>
      <c r="AU16" s="65"/>
      <c r="AV16" s="65"/>
      <c r="AW16" s="65"/>
      <c r="AX16" s="65"/>
      <c r="AY16" s="65"/>
      <c r="AZ16" s="65"/>
      <c r="BA16" s="65"/>
      <c r="BB16" s="65"/>
      <c r="BC16" s="65"/>
      <c r="BD16" s="65"/>
      <c r="BE16" s="65"/>
      <c r="BF16" s="997"/>
      <c r="BH16" s="1000"/>
      <c r="BI16" s="3674">
        <f>'CALCULS Eaux usées'!L55</f>
        <v>0</v>
      </c>
      <c r="BJ16" s="3674"/>
      <c r="BK16" s="3674"/>
      <c r="BL16" s="65"/>
      <c r="BM16" s="65"/>
      <c r="BN16" s="65"/>
      <c r="BO16" s="59"/>
      <c r="BP16" s="65"/>
      <c r="BQ16" s="66"/>
      <c r="BR16" s="66"/>
      <c r="BS16" s="66"/>
      <c r="BT16" s="66"/>
      <c r="BU16" s="66"/>
      <c r="BV16" s="66"/>
      <c r="BW16" s="66"/>
      <c r="BX16" s="66"/>
      <c r="BY16" s="66"/>
      <c r="BZ16" s="66"/>
      <c r="CA16" s="66"/>
      <c r="CB16" s="66"/>
      <c r="CC16" s="66"/>
      <c r="CD16" s="66"/>
      <c r="CE16" s="66"/>
      <c r="CF16" s="66"/>
      <c r="CG16" s="66"/>
      <c r="CH16" s="66"/>
      <c r="CI16" s="66"/>
      <c r="CJ16" s="67"/>
      <c r="CK16" s="69"/>
      <c r="CL16" s="1823"/>
      <c r="CM16" s="71"/>
    </row>
    <row r="17" spans="2:91" s="72" customFormat="1" ht="17.25" customHeight="1">
      <c r="B17" s="1810"/>
      <c r="C17" s="64"/>
      <c r="D17" s="3722" t="s">
        <v>748</v>
      </c>
      <c r="E17" s="2751" t="str">
        <f>'CALCULS Eaux usées'!D24</f>
        <v>Traitement / Linéaire</v>
      </c>
      <c r="F17" s="2442"/>
      <c r="G17" s="2444"/>
      <c r="H17" s="2442"/>
      <c r="I17" s="2444"/>
      <c r="J17" s="215"/>
      <c r="K17" s="215"/>
      <c r="L17" s="215"/>
      <c r="M17" s="215"/>
      <c r="N17" s="215"/>
      <c r="O17" s="215"/>
      <c r="P17" s="215"/>
      <c r="Q17" s="215"/>
      <c r="R17" s="215"/>
      <c r="S17" s="215"/>
      <c r="T17" s="215"/>
      <c r="U17" s="215"/>
      <c r="V17" s="215"/>
      <c r="W17" s="215"/>
      <c r="X17" s="215"/>
      <c r="Y17" s="215"/>
      <c r="Z17" s="78"/>
      <c r="AA17" s="76"/>
      <c r="AB17" s="73"/>
      <c r="AC17" s="76"/>
      <c r="AD17" s="81"/>
      <c r="AE17" s="982"/>
      <c r="AF17" s="1818"/>
      <c r="AG17" s="80"/>
      <c r="AH17" s="76"/>
      <c r="AI17" s="80"/>
      <c r="AJ17" s="3674"/>
      <c r="AK17" s="3674"/>
      <c r="AL17" s="3674"/>
      <c r="AM17" s="1495"/>
      <c r="AN17" s="1495"/>
      <c r="AO17" s="1495"/>
      <c r="AP17" s="1495"/>
      <c r="AQ17" s="77"/>
      <c r="AR17" s="82"/>
      <c r="AS17" s="75"/>
      <c r="AT17" s="75"/>
      <c r="AU17" s="82"/>
      <c r="AV17" s="82"/>
      <c r="AW17" s="82"/>
      <c r="AX17" s="73"/>
      <c r="AY17" s="73"/>
      <c r="AZ17" s="73"/>
      <c r="BA17" s="74"/>
      <c r="BB17" s="74"/>
      <c r="BC17" s="75"/>
      <c r="BD17" s="82"/>
      <c r="BE17" s="73"/>
      <c r="BF17" s="79"/>
      <c r="BG17" s="999"/>
      <c r="BH17" s="1001"/>
      <c r="BI17" s="3674"/>
      <c r="BJ17" s="3674"/>
      <c r="BK17" s="3674"/>
      <c r="BL17" s="999"/>
      <c r="BM17" s="83"/>
      <c r="BN17" s="82"/>
      <c r="BO17" s="75"/>
      <c r="BP17" s="77"/>
      <c r="BQ17" s="78"/>
      <c r="BR17" s="78"/>
      <c r="BS17" s="78"/>
      <c r="BT17" s="82"/>
      <c r="BU17" s="82"/>
      <c r="BV17" s="73"/>
      <c r="BW17" s="81"/>
      <c r="BX17" s="76"/>
      <c r="BY17" s="78"/>
      <c r="BZ17" s="82"/>
      <c r="CA17" s="76"/>
      <c r="CB17" s="77"/>
      <c r="CC17" s="76"/>
      <c r="CD17" s="73"/>
      <c r="CE17" s="3612"/>
      <c r="CF17" s="3612"/>
      <c r="CG17" s="3612"/>
      <c r="CH17" s="3612"/>
      <c r="CI17" s="3612"/>
      <c r="CJ17" s="1002"/>
      <c r="CK17" s="84"/>
      <c r="CL17" s="1823"/>
      <c r="CM17" s="71"/>
    </row>
    <row r="18" spans="2:91" s="72" customFormat="1" ht="11.25" customHeight="1">
      <c r="B18" s="1810"/>
      <c r="C18" s="64"/>
      <c r="D18" s="3722"/>
      <c r="E18" s="3725" t="str">
        <f>'CALCULS Eaux usées'!F24</f>
        <v>Aucun</v>
      </c>
      <c r="F18" s="3725"/>
      <c r="G18" s="3725"/>
      <c r="H18" s="3725"/>
      <c r="I18" s="2849"/>
      <c r="J18" s="215"/>
      <c r="K18" s="215"/>
      <c r="L18" s="215"/>
      <c r="M18" s="215"/>
      <c r="N18" s="215"/>
      <c r="O18" s="215"/>
      <c r="P18" s="215"/>
      <c r="Q18" s="215"/>
      <c r="R18" s="215"/>
      <c r="S18" s="215"/>
      <c r="T18" s="215"/>
      <c r="U18" s="215"/>
      <c r="V18" s="215"/>
      <c r="W18" s="215"/>
      <c r="X18" s="215"/>
      <c r="Y18" s="215"/>
      <c r="Z18" s="75"/>
      <c r="AA18" s="75"/>
      <c r="AB18" s="75"/>
      <c r="AC18" s="75"/>
      <c r="AD18" s="75"/>
      <c r="AE18" s="169"/>
      <c r="AF18" s="1819"/>
      <c r="AG18" s="64"/>
      <c r="AH18" s="75"/>
      <c r="AI18" s="64"/>
      <c r="AJ18" s="75"/>
      <c r="AK18" s="75"/>
      <c r="AL18" s="75"/>
      <c r="AM18" s="75"/>
      <c r="AN18" s="75"/>
      <c r="AO18" s="75"/>
      <c r="AP18" s="75"/>
      <c r="AQ18" s="75"/>
      <c r="AR18" s="75"/>
      <c r="AS18" s="75"/>
      <c r="AT18" s="75"/>
      <c r="AU18" s="86"/>
      <c r="AV18" s="86"/>
      <c r="AW18" s="86"/>
      <c r="AX18" s="75"/>
      <c r="AY18" s="75"/>
      <c r="AZ18" s="75"/>
      <c r="BA18" s="75"/>
      <c r="BB18" s="75"/>
      <c r="BC18" s="75"/>
      <c r="BD18" s="75"/>
      <c r="BE18" s="75"/>
      <c r="BF18" s="69"/>
      <c r="BG18" s="75"/>
      <c r="BH18" s="64"/>
      <c r="BI18" s="75"/>
      <c r="BJ18" s="75"/>
      <c r="BK18" s="75"/>
      <c r="BL18" s="75"/>
      <c r="BM18" s="75"/>
      <c r="BN18" s="75"/>
      <c r="BO18" s="75"/>
      <c r="BP18" s="75"/>
      <c r="BQ18" s="75"/>
      <c r="BR18" s="75"/>
      <c r="BS18" s="75"/>
      <c r="BT18" s="75"/>
      <c r="BU18" s="75"/>
      <c r="BV18" s="75"/>
      <c r="BW18" s="75"/>
      <c r="BX18" s="75"/>
      <c r="BY18" s="75"/>
      <c r="BZ18" s="75"/>
      <c r="CA18" s="75"/>
      <c r="CB18" s="75"/>
      <c r="CC18" s="75"/>
      <c r="CD18" s="75"/>
      <c r="CE18" s="75"/>
      <c r="CF18" s="75"/>
      <c r="CG18" s="75"/>
      <c r="CH18" s="75"/>
      <c r="CI18" s="75"/>
      <c r="CJ18" s="69"/>
      <c r="CK18" s="69"/>
      <c r="CL18" s="1823"/>
      <c r="CM18" s="71"/>
    </row>
    <row r="19" spans="2:91" s="72" customFormat="1" ht="15" customHeight="1">
      <c r="B19" s="1810"/>
      <c r="C19" s="64"/>
      <c r="D19" s="3716" t="s">
        <v>748</v>
      </c>
      <c r="E19" s="2751" t="str">
        <f>'CALCULS Eaux usées'!D25</f>
        <v>Traitement / Ponctuel</v>
      </c>
      <c r="F19" s="2444"/>
      <c r="G19" s="2444"/>
      <c r="H19" s="2444"/>
      <c r="I19" s="2444"/>
      <c r="J19" s="215"/>
      <c r="K19" s="215"/>
      <c r="L19" s="215"/>
      <c r="M19" s="215"/>
      <c r="N19" s="215"/>
      <c r="O19" s="215"/>
      <c r="P19" s="215"/>
      <c r="Q19" s="215"/>
      <c r="R19" s="215"/>
      <c r="S19" s="215"/>
      <c r="T19" s="215"/>
      <c r="U19" s="215"/>
      <c r="V19" s="215"/>
      <c r="W19" s="215"/>
      <c r="X19" s="215"/>
      <c r="Y19" s="215"/>
      <c r="Z19" s="75"/>
      <c r="AA19" s="75"/>
      <c r="AB19" s="75"/>
      <c r="AC19" s="75"/>
      <c r="AD19" s="75"/>
      <c r="AE19" s="981"/>
      <c r="AF19" s="1817"/>
      <c r="AH19" s="75"/>
      <c r="AI19" s="64"/>
      <c r="BF19" s="69"/>
      <c r="BG19" s="75"/>
      <c r="BH19" s="64"/>
      <c r="CJ19" s="69"/>
      <c r="CK19" s="69"/>
      <c r="CL19" s="1823"/>
      <c r="CM19" s="71"/>
    </row>
    <row r="20" spans="2:91" s="72" customFormat="1" ht="11.25" customHeight="1">
      <c r="B20" s="1810"/>
      <c r="C20" s="64"/>
      <c r="D20" s="3716"/>
      <c r="E20" s="3718" t="str">
        <f>'CALCULS Eaux usées'!F25</f>
        <v>Aucun</v>
      </c>
      <c r="F20" s="3718"/>
      <c r="G20" s="3718"/>
      <c r="H20" s="3718"/>
      <c r="I20" s="2847"/>
      <c r="J20" s="215"/>
      <c r="K20" s="215"/>
      <c r="L20" s="215"/>
      <c r="M20" s="215"/>
      <c r="N20" s="215"/>
      <c r="O20" s="215"/>
      <c r="P20" s="215"/>
      <c r="Q20" s="215"/>
      <c r="R20" s="215"/>
      <c r="S20" s="215"/>
      <c r="T20" s="215"/>
      <c r="U20" s="215"/>
      <c r="V20" s="215"/>
      <c r="W20" s="215"/>
      <c r="X20" s="215"/>
      <c r="Y20" s="215"/>
      <c r="Z20" s="75"/>
      <c r="AA20" s="75"/>
      <c r="AB20" s="75"/>
      <c r="AC20" s="75"/>
      <c r="AD20" s="75"/>
      <c r="AE20" s="981"/>
      <c r="AF20" s="1817"/>
      <c r="AG20" s="64"/>
      <c r="AH20" s="75"/>
      <c r="AI20" s="64"/>
      <c r="AJ20" s="75"/>
      <c r="AK20" s="75"/>
      <c r="AL20" s="75"/>
      <c r="AM20" s="75"/>
      <c r="AO20" s="2274"/>
      <c r="AP20" s="2275"/>
      <c r="AQ20" s="2275"/>
      <c r="AR20" s="2275"/>
      <c r="AS20" s="2275"/>
      <c r="AT20" s="2275"/>
      <c r="AU20" s="2275"/>
      <c r="AV20" s="2275"/>
      <c r="AW20" s="2275"/>
      <c r="AX20" s="2275"/>
      <c r="AY20" s="2275"/>
      <c r="AZ20" s="2275"/>
      <c r="BA20" s="2275"/>
      <c r="BB20" s="2275"/>
      <c r="BC20" s="2275"/>
      <c r="BD20" s="2275"/>
      <c r="BE20" s="2275"/>
      <c r="BF20" s="69"/>
      <c r="BG20" s="75"/>
      <c r="BH20" s="64"/>
      <c r="BI20" s="75"/>
      <c r="BJ20" s="75"/>
      <c r="BK20" s="75"/>
      <c r="BL20" s="75"/>
      <c r="BM20" s="75"/>
      <c r="BN20" s="75"/>
      <c r="BO20" s="2274"/>
      <c r="BP20" s="75"/>
      <c r="BQ20" s="75"/>
      <c r="BR20" s="75"/>
      <c r="BS20" s="75"/>
      <c r="BT20" s="75"/>
      <c r="BU20" s="75"/>
      <c r="BV20" s="75"/>
      <c r="BW20" s="75"/>
      <c r="BX20" s="75"/>
      <c r="BY20" s="75"/>
      <c r="BZ20" s="75"/>
      <c r="CA20" s="75"/>
      <c r="CB20" s="75"/>
      <c r="CC20" s="75"/>
      <c r="CD20" s="75"/>
      <c r="CE20" s="75"/>
      <c r="CF20" s="75"/>
      <c r="CG20" s="75"/>
      <c r="CH20" s="75"/>
      <c r="CI20" s="75"/>
      <c r="CJ20" s="69"/>
      <c r="CK20" s="69"/>
      <c r="CL20" s="1823"/>
      <c r="CM20" s="71"/>
    </row>
    <row r="21" spans="2:91" s="72" customFormat="1" ht="15" customHeight="1">
      <c r="B21" s="1810"/>
      <c r="C21" s="64"/>
      <c r="D21" s="3717" t="s">
        <v>748</v>
      </c>
      <c r="E21" s="2751" t="str">
        <f>'CALCULS Eaux usées'!D26</f>
        <v>Traitement / Autres actifs</v>
      </c>
      <c r="F21" s="2444"/>
      <c r="G21" s="2444"/>
      <c r="H21" s="2444"/>
      <c r="I21" s="2444"/>
      <c r="J21" s="215"/>
      <c r="K21" s="215"/>
      <c r="L21" s="215"/>
      <c r="M21" s="215"/>
      <c r="N21" s="215"/>
      <c r="O21" s="215"/>
      <c r="P21" s="215"/>
      <c r="Q21" s="215"/>
      <c r="R21" s="215"/>
      <c r="S21" s="215"/>
      <c r="T21" s="215"/>
      <c r="U21" s="215"/>
      <c r="V21" s="215"/>
      <c r="W21" s="215"/>
      <c r="X21" s="215"/>
      <c r="Y21" s="215"/>
      <c r="Z21" s="75"/>
      <c r="AA21" s="75"/>
      <c r="AB21" s="75"/>
      <c r="AC21" s="75"/>
      <c r="AD21" s="75"/>
      <c r="AE21" s="981"/>
      <c r="AF21" s="1817"/>
      <c r="AG21" s="64"/>
      <c r="AH21" s="75"/>
      <c r="AI21" s="1031"/>
      <c r="AJ21" s="75"/>
      <c r="AK21" s="75"/>
      <c r="AL21" s="75"/>
      <c r="AM21" s="75"/>
      <c r="AO21" s="2274"/>
      <c r="AP21" s="2275"/>
      <c r="AQ21" s="2275"/>
      <c r="AR21" s="2275"/>
      <c r="AS21" s="2275"/>
      <c r="AT21" s="2275"/>
      <c r="AU21" s="2275"/>
      <c r="AV21" s="2275"/>
      <c r="AW21" s="2275"/>
      <c r="AX21" s="2275"/>
      <c r="AY21" s="2275"/>
      <c r="AZ21" s="2275"/>
      <c r="BA21" s="2275"/>
      <c r="BB21" s="2275"/>
      <c r="BC21" s="2275"/>
      <c r="BD21" s="2275"/>
      <c r="BE21" s="2275"/>
      <c r="BF21" s="996"/>
      <c r="BH21" s="1031"/>
      <c r="BI21" s="75"/>
      <c r="BJ21" s="75"/>
      <c r="BK21" s="75"/>
      <c r="BL21" s="75"/>
      <c r="BM21" s="75"/>
      <c r="BN21" s="75"/>
      <c r="BO21" s="2274"/>
      <c r="BP21" s="75"/>
      <c r="BQ21" s="75"/>
      <c r="BR21" s="75"/>
      <c r="BS21" s="75"/>
      <c r="BT21" s="75"/>
      <c r="BU21" s="75"/>
      <c r="BV21" s="75"/>
      <c r="BW21" s="75"/>
      <c r="BX21" s="75"/>
      <c r="BY21" s="75"/>
      <c r="BZ21" s="75"/>
      <c r="CA21" s="75"/>
      <c r="CB21" s="75"/>
      <c r="CC21" s="75"/>
      <c r="CD21" s="75"/>
      <c r="CE21" s="75"/>
      <c r="CF21" s="75"/>
      <c r="CG21" s="75"/>
      <c r="CH21" s="75"/>
      <c r="CI21" s="75"/>
      <c r="CJ21" s="69"/>
      <c r="CK21" s="69"/>
      <c r="CL21" s="1823"/>
      <c r="CM21" s="71"/>
    </row>
    <row r="22" spans="2:91" s="72" customFormat="1" ht="11.25" customHeight="1">
      <c r="B22" s="1810"/>
      <c r="C22" s="64"/>
      <c r="D22" s="3717"/>
      <c r="E22" s="3718" t="str">
        <f>'CALCULS Eaux usées'!F26</f>
        <v>Aucun</v>
      </c>
      <c r="F22" s="3718"/>
      <c r="G22" s="3718"/>
      <c r="H22" s="3718"/>
      <c r="I22" s="2847"/>
      <c r="J22" s="215"/>
      <c r="K22" s="215"/>
      <c r="L22" s="215"/>
      <c r="M22" s="215"/>
      <c r="N22" s="215"/>
      <c r="O22" s="215"/>
      <c r="P22" s="215"/>
      <c r="Q22" s="215"/>
      <c r="R22" s="215"/>
      <c r="S22" s="215"/>
      <c r="T22" s="215"/>
      <c r="U22" s="215"/>
      <c r="V22" s="215"/>
      <c r="W22" s="215"/>
      <c r="X22" s="215"/>
      <c r="Y22" s="215"/>
      <c r="Z22" s="75"/>
      <c r="AA22" s="75"/>
      <c r="AB22" s="75"/>
      <c r="AC22" s="75"/>
      <c r="AD22" s="75"/>
      <c r="AE22" s="981"/>
      <c r="AF22" s="1817"/>
      <c r="AG22" s="64"/>
      <c r="AH22" s="75"/>
      <c r="AI22" s="1031"/>
      <c r="AJ22" s="75"/>
      <c r="AK22" s="75"/>
      <c r="AL22" s="75"/>
      <c r="AM22" s="75"/>
      <c r="AO22" s="2274"/>
      <c r="AP22" s="2275"/>
      <c r="AQ22" s="2275"/>
      <c r="AR22" s="2275"/>
      <c r="AS22" s="2275"/>
      <c r="AT22" s="2275"/>
      <c r="AU22" s="2275"/>
      <c r="AV22" s="2275"/>
      <c r="AW22" s="2275"/>
      <c r="AX22" s="2275"/>
      <c r="AY22" s="2275"/>
      <c r="AZ22" s="2275"/>
      <c r="BA22" s="2275"/>
      <c r="BB22" s="2275"/>
      <c r="BC22" s="2275"/>
      <c r="BD22" s="2275"/>
      <c r="BE22" s="2275"/>
      <c r="BF22" s="996"/>
      <c r="BH22" s="1031"/>
      <c r="BI22" s="75"/>
      <c r="BJ22" s="75"/>
      <c r="BK22" s="75"/>
      <c r="BL22" s="75"/>
      <c r="BM22" s="75"/>
      <c r="BN22" s="75"/>
      <c r="BO22" s="2274"/>
      <c r="BP22" s="75"/>
      <c r="BQ22" s="75"/>
      <c r="BR22" s="75"/>
      <c r="BS22" s="75"/>
      <c r="BT22" s="75"/>
      <c r="BU22" s="75"/>
      <c r="BV22" s="75"/>
      <c r="BW22" s="75"/>
      <c r="BX22" s="75"/>
      <c r="BY22" s="75"/>
      <c r="BZ22" s="75"/>
      <c r="CA22" s="75"/>
      <c r="CB22" s="75"/>
      <c r="CC22" s="75"/>
      <c r="CD22" s="75"/>
      <c r="CE22" s="75"/>
      <c r="CF22" s="75"/>
      <c r="CG22" s="75"/>
      <c r="CH22" s="75"/>
      <c r="CI22" s="75"/>
      <c r="CJ22" s="69"/>
      <c r="CK22" s="69"/>
      <c r="CL22" s="1823"/>
      <c r="CM22" s="71"/>
    </row>
    <row r="23" spans="2:91" s="72" customFormat="1" ht="15" customHeight="1">
      <c r="B23" s="1810"/>
      <c r="C23" s="64"/>
      <c r="D23" s="3715" t="s">
        <v>748</v>
      </c>
      <c r="E23" s="2751" t="str">
        <f>'CALCULS Eaux usées'!D23</f>
        <v>Collecte / Autres actifs</v>
      </c>
      <c r="F23" s="2444"/>
      <c r="G23" s="2444"/>
      <c r="H23" s="215"/>
      <c r="I23" s="215"/>
      <c r="J23" s="215"/>
      <c r="K23" s="215"/>
      <c r="L23" s="215"/>
      <c r="M23" s="215"/>
      <c r="N23" s="215"/>
      <c r="O23" s="215"/>
      <c r="P23" s="215"/>
      <c r="Q23" s="215"/>
      <c r="R23" s="215"/>
      <c r="S23" s="215"/>
      <c r="T23" s="215"/>
      <c r="U23" s="215"/>
      <c r="V23" s="215"/>
      <c r="W23" s="215"/>
      <c r="X23" s="215"/>
      <c r="Y23" s="215"/>
      <c r="Z23" s="75"/>
      <c r="AA23" s="75"/>
      <c r="AB23" s="75"/>
      <c r="AC23" s="75"/>
      <c r="AD23" s="75"/>
      <c r="AE23" s="981"/>
      <c r="AF23" s="1817"/>
      <c r="AG23" s="64"/>
      <c r="AH23" s="75"/>
      <c r="AI23" s="1031"/>
      <c r="AJ23" s="75"/>
      <c r="AK23" s="75"/>
      <c r="AL23" s="75"/>
      <c r="AM23" s="75"/>
      <c r="AO23" s="2274"/>
      <c r="AP23" s="2275"/>
      <c r="AQ23" s="2275"/>
      <c r="AR23" s="2275"/>
      <c r="AS23" s="2275"/>
      <c r="AT23" s="2275"/>
      <c r="AU23" s="2275"/>
      <c r="AV23" s="2275"/>
      <c r="AW23" s="2275"/>
      <c r="AX23" s="2275"/>
      <c r="AY23" s="2275"/>
      <c r="AZ23" s="2275"/>
      <c r="BA23" s="2275"/>
      <c r="BB23" s="2275"/>
      <c r="BC23" s="2275"/>
      <c r="BD23" s="2275"/>
      <c r="BE23" s="2275"/>
      <c r="BF23" s="996"/>
      <c r="BH23" s="1031"/>
      <c r="BI23" s="75"/>
      <c r="BJ23" s="75"/>
      <c r="BK23" s="75"/>
      <c r="BL23" s="75"/>
      <c r="BM23" s="75"/>
      <c r="BN23" s="75"/>
      <c r="BO23" s="2274"/>
      <c r="BP23" s="75"/>
      <c r="BQ23" s="75"/>
      <c r="BR23" s="75"/>
      <c r="BS23" s="75"/>
      <c r="BT23" s="75"/>
      <c r="BU23" s="75"/>
      <c r="BV23" s="75"/>
      <c r="BW23" s="75"/>
      <c r="BX23" s="75"/>
      <c r="BY23" s="75"/>
      <c r="BZ23" s="75"/>
      <c r="CA23" s="75"/>
      <c r="CB23" s="75"/>
      <c r="CC23" s="75"/>
      <c r="CD23" s="75"/>
      <c r="CE23" s="75"/>
      <c r="CF23" s="75"/>
      <c r="CG23" s="75"/>
      <c r="CH23" s="75"/>
      <c r="CI23" s="75"/>
      <c r="CJ23" s="69"/>
      <c r="CK23" s="69"/>
      <c r="CL23" s="1823"/>
      <c r="CM23" s="71"/>
    </row>
    <row r="24" spans="2:91" s="72" customFormat="1" ht="11.25" customHeight="1">
      <c r="B24" s="1810"/>
      <c r="C24" s="64"/>
      <c r="D24" s="3715"/>
      <c r="E24" s="3718" t="str">
        <f>'CALCULS Eaux usées'!F23</f>
        <v>Aucun</v>
      </c>
      <c r="F24" s="3718"/>
      <c r="G24" s="3718"/>
      <c r="H24" s="3718"/>
      <c r="I24" s="2847"/>
      <c r="J24" s="215"/>
      <c r="K24" s="215"/>
      <c r="L24" s="215"/>
      <c r="M24" s="215"/>
      <c r="N24" s="215"/>
      <c r="O24" s="215"/>
      <c r="P24" s="215"/>
      <c r="Q24" s="215"/>
      <c r="R24" s="215"/>
      <c r="S24" s="215"/>
      <c r="T24" s="215"/>
      <c r="U24" s="215"/>
      <c r="V24" s="215"/>
      <c r="W24" s="215"/>
      <c r="X24" s="215"/>
      <c r="Y24" s="215"/>
      <c r="Z24" s="75"/>
      <c r="AA24" s="75"/>
      <c r="AB24" s="75"/>
      <c r="AC24" s="75"/>
      <c r="AD24" s="75"/>
      <c r="AE24" s="981"/>
      <c r="AF24" s="1817"/>
      <c r="AG24" s="64"/>
      <c r="AH24" s="75"/>
      <c r="AI24" s="1031" t="s">
        <v>35</v>
      </c>
      <c r="AJ24" s="75"/>
      <c r="AK24" s="75"/>
      <c r="AL24" s="75"/>
      <c r="AM24" s="75"/>
      <c r="AO24" s="2274" t="str">
        <f>'CALCULS Eaux usées'!E36</f>
        <v/>
      </c>
      <c r="AP24" s="2275"/>
      <c r="AQ24" s="2275"/>
      <c r="AR24" s="2275"/>
      <c r="AS24" s="2275"/>
      <c r="AT24" s="2275"/>
      <c r="AU24" s="2275"/>
      <c r="AV24" s="2275"/>
      <c r="AW24" s="2275"/>
      <c r="AX24" s="2275"/>
      <c r="AY24" s="2275"/>
      <c r="AZ24" s="2275"/>
      <c r="BA24" s="2275"/>
      <c r="BB24" s="2275"/>
      <c r="BC24" s="2275"/>
      <c r="BD24" s="2275"/>
      <c r="BE24" s="2275"/>
      <c r="BF24" s="996"/>
      <c r="BH24" s="1031" t="s">
        <v>35</v>
      </c>
      <c r="BI24" s="75"/>
      <c r="BJ24" s="75"/>
      <c r="BK24" s="75"/>
      <c r="BL24" s="75"/>
      <c r="BM24" s="75"/>
      <c r="BN24" s="75"/>
      <c r="BO24" s="2274" t="str">
        <f>'CALCULS Eaux usées'!E44</f>
        <v/>
      </c>
      <c r="BP24" s="75"/>
      <c r="BQ24" s="75"/>
      <c r="BR24" s="75"/>
      <c r="BS24" s="75"/>
      <c r="BT24" s="75"/>
      <c r="BU24" s="75"/>
      <c r="BV24" s="75"/>
      <c r="BW24" s="75"/>
      <c r="BX24" s="75"/>
      <c r="BY24" s="75"/>
      <c r="BZ24" s="75"/>
      <c r="CA24" s="75"/>
      <c r="CB24" s="75"/>
      <c r="CC24" s="75"/>
      <c r="CD24" s="75"/>
      <c r="CE24" s="75"/>
      <c r="CF24" s="75"/>
      <c r="CG24" s="75"/>
      <c r="CH24" s="75"/>
      <c r="CI24" s="75"/>
      <c r="CJ24" s="69"/>
      <c r="CK24" s="69"/>
      <c r="CL24" s="1823"/>
      <c r="CM24" s="71"/>
    </row>
    <row r="25" spans="2:91" s="72" customFormat="1" ht="11.25" customHeight="1">
      <c r="B25" s="1810"/>
      <c r="C25" s="64"/>
      <c r="D25" s="215"/>
      <c r="E25" s="215"/>
      <c r="F25" s="215"/>
      <c r="G25" s="215"/>
      <c r="H25" s="215"/>
      <c r="I25" s="215"/>
      <c r="J25" s="215"/>
      <c r="K25" s="215"/>
      <c r="L25" s="215"/>
      <c r="M25" s="215"/>
      <c r="N25" s="215"/>
      <c r="O25" s="215"/>
      <c r="P25" s="215"/>
      <c r="Q25" s="215"/>
      <c r="R25" s="215"/>
      <c r="S25" s="215"/>
      <c r="T25" s="215"/>
      <c r="U25" s="215"/>
      <c r="V25" s="215"/>
      <c r="W25" s="215"/>
      <c r="X25" s="215"/>
      <c r="Y25" s="215"/>
      <c r="Z25" s="75"/>
      <c r="AA25" s="75"/>
      <c r="AB25" s="75"/>
      <c r="AC25" s="75"/>
      <c r="AD25" s="75"/>
      <c r="AE25" s="981"/>
      <c r="AF25" s="1817"/>
      <c r="AG25" s="64"/>
      <c r="AH25" s="75"/>
      <c r="AI25" s="998"/>
      <c r="AJ25" s="3673">
        <f>'CALCULS Eaux usées'!L54</f>
        <v>0</v>
      </c>
      <c r="AK25" s="3673"/>
      <c r="AL25" s="3673"/>
      <c r="AM25" s="75"/>
      <c r="AN25" s="75"/>
      <c r="AO25" s="75"/>
      <c r="AP25" s="75"/>
      <c r="AQ25" s="75"/>
      <c r="AR25" s="75"/>
      <c r="AS25" s="75"/>
      <c r="AT25" s="75"/>
      <c r="AU25" s="86"/>
      <c r="AV25" s="86"/>
      <c r="AW25" s="86"/>
      <c r="AX25" s="75"/>
      <c r="AY25" s="75"/>
      <c r="AZ25" s="75"/>
      <c r="BA25" s="75"/>
      <c r="BB25" s="75"/>
      <c r="BC25" s="75"/>
      <c r="BD25" s="75"/>
      <c r="BE25" s="75"/>
      <c r="BF25" s="996"/>
      <c r="BH25" s="998"/>
      <c r="BI25" s="3673">
        <f>'CALCULS Eaux usées'!L56</f>
        <v>0</v>
      </c>
      <c r="BJ25" s="3673"/>
      <c r="BK25" s="3673"/>
      <c r="BL25" s="75"/>
      <c r="BM25" s="75"/>
      <c r="BN25" s="75"/>
      <c r="BO25" s="75"/>
      <c r="BP25" s="75"/>
      <c r="BQ25" s="75"/>
      <c r="BR25" s="75"/>
      <c r="BS25" s="75"/>
      <c r="BT25" s="75"/>
      <c r="BU25" s="75"/>
      <c r="BV25" s="75"/>
      <c r="BW25" s="75"/>
      <c r="BX25" s="75"/>
      <c r="BY25" s="75"/>
      <c r="BZ25" s="75"/>
      <c r="CA25" s="75"/>
      <c r="CB25" s="75"/>
      <c r="CC25" s="75"/>
      <c r="CD25" s="75"/>
      <c r="CE25" s="75"/>
      <c r="CF25" s="75"/>
      <c r="CG25" s="75"/>
      <c r="CH25" s="75"/>
      <c r="CI25" s="75"/>
      <c r="CJ25" s="69"/>
      <c r="CK25" s="69"/>
      <c r="CL25" s="1823"/>
      <c r="CM25" s="71"/>
    </row>
    <row r="26" spans="2:91" ht="18" customHeight="1">
      <c r="B26" s="1809"/>
      <c r="C26" s="50"/>
      <c r="D26" s="2708" t="s">
        <v>751</v>
      </c>
      <c r="E26" s="2709"/>
      <c r="F26" s="2709"/>
      <c r="G26" s="2709"/>
      <c r="H26" s="2709"/>
      <c r="I26" s="2710"/>
      <c r="J26" s="215"/>
      <c r="K26" s="215"/>
      <c r="L26" s="215"/>
      <c r="M26" s="215"/>
      <c r="N26" s="215"/>
      <c r="O26" s="215"/>
      <c r="P26" s="215"/>
      <c r="Q26" s="215"/>
      <c r="R26" s="215"/>
      <c r="S26" s="215"/>
      <c r="T26" s="215"/>
      <c r="U26" s="215"/>
      <c r="V26" s="215"/>
      <c r="W26" s="215"/>
      <c r="X26" s="215"/>
      <c r="Y26" s="215"/>
      <c r="Z26" s="215"/>
      <c r="AA26" s="215"/>
      <c r="AB26" s="215"/>
      <c r="AC26" s="215"/>
      <c r="AD26" s="215"/>
      <c r="AE26" s="114"/>
      <c r="AF26" s="1815"/>
      <c r="AG26" s="50"/>
      <c r="AH26" s="59"/>
      <c r="AI26" s="50"/>
      <c r="AJ26" s="3673"/>
      <c r="AK26" s="3673"/>
      <c r="AL26" s="3673"/>
      <c r="AM26" s="59"/>
      <c r="AN26" s="59"/>
      <c r="AO26" s="59"/>
      <c r="AP26" s="59"/>
      <c r="AQ26" s="59"/>
      <c r="AR26" s="59"/>
      <c r="AS26" s="59"/>
      <c r="AT26" s="59"/>
      <c r="AU26" s="59"/>
      <c r="AV26" s="59"/>
      <c r="AW26" s="59"/>
      <c r="AX26" s="59"/>
      <c r="AY26" s="59"/>
      <c r="AZ26" s="59"/>
      <c r="BA26" s="59"/>
      <c r="BB26" s="59"/>
      <c r="BC26" s="59"/>
      <c r="BD26" s="59"/>
      <c r="BE26" s="59"/>
      <c r="BF26" s="61"/>
      <c r="BG26" s="59"/>
      <c r="BH26" s="50"/>
      <c r="BI26" s="3673"/>
      <c r="BJ26" s="3673"/>
      <c r="BK26" s="3673"/>
      <c r="BL26" s="59"/>
      <c r="BM26" s="59"/>
      <c r="BN26" s="59"/>
      <c r="BO26" s="59"/>
      <c r="BP26" s="59"/>
      <c r="BQ26" s="59"/>
      <c r="BR26" s="59"/>
      <c r="BS26" s="59"/>
      <c r="BT26" s="59"/>
      <c r="BU26" s="59"/>
      <c r="BV26" s="59"/>
      <c r="BW26" s="59"/>
      <c r="BX26" s="59"/>
      <c r="BY26" s="59"/>
      <c r="BZ26" s="59"/>
      <c r="CA26" s="59"/>
      <c r="CB26" s="59"/>
      <c r="CC26" s="59"/>
      <c r="CD26" s="59"/>
      <c r="CE26" s="59"/>
      <c r="CF26" s="59"/>
      <c r="CG26" s="59"/>
      <c r="CH26" s="59"/>
      <c r="CI26" s="59"/>
      <c r="CJ26" s="61"/>
      <c r="CK26" s="61"/>
      <c r="CL26" s="1822"/>
      <c r="CM26" s="43"/>
    </row>
    <row r="27" spans="2:91" ht="15.75" customHeight="1">
      <c r="B27" s="1809"/>
      <c r="C27" s="50"/>
      <c r="D27" s="2711" t="str">
        <f>IF('FORMULAIRE PGA Eaux usées'!G157="oui","Certains actifs de la municipalité inclus ci-dessus, sont en mode partagé, soit:","Aucun des actifs inclus ci-dessus n'est en mode partagé")</f>
        <v>Aucun des actifs inclus ci-dessus n'est en mode partagé</v>
      </c>
      <c r="E27" s="2711"/>
      <c r="F27" s="2712"/>
      <c r="G27" s="2712"/>
      <c r="H27" s="2712"/>
      <c r="I27" s="2713"/>
      <c r="J27" s="2713"/>
      <c r="K27" s="2713"/>
      <c r="L27" s="2713"/>
      <c r="M27" s="2713"/>
      <c r="N27" s="2713"/>
      <c r="O27" s="2713"/>
      <c r="P27" s="2713"/>
      <c r="Q27" s="2713"/>
      <c r="R27" s="2713"/>
      <c r="S27" s="2713"/>
      <c r="T27" s="2713"/>
      <c r="U27" s="2713"/>
      <c r="V27" s="2713"/>
      <c r="W27" s="2713"/>
      <c r="X27" s="2713"/>
      <c r="Y27" s="2713"/>
      <c r="Z27" s="2713"/>
      <c r="AA27" s="2713"/>
      <c r="AB27" s="2713"/>
      <c r="AC27" s="2713"/>
      <c r="AD27" s="2714"/>
      <c r="AE27" s="114"/>
      <c r="AF27" s="1815"/>
      <c r="AG27" s="50"/>
      <c r="AH27" s="59"/>
      <c r="AI27" s="50"/>
      <c r="AJ27" s="59"/>
      <c r="AK27" s="59"/>
      <c r="AL27" s="59"/>
      <c r="AM27" s="59"/>
      <c r="AN27" s="59"/>
      <c r="AO27" s="59"/>
      <c r="AP27" s="59"/>
      <c r="AQ27" s="59"/>
      <c r="AR27" s="59"/>
      <c r="AS27" s="59"/>
      <c r="AT27" s="59"/>
      <c r="AU27" s="59"/>
      <c r="AV27" s="59"/>
      <c r="AW27" s="59"/>
      <c r="AX27" s="59"/>
      <c r="AY27" s="59"/>
      <c r="AZ27" s="59"/>
      <c r="BA27" s="59"/>
      <c r="BB27" s="59"/>
      <c r="BC27" s="59"/>
      <c r="BD27" s="59"/>
      <c r="BE27" s="59"/>
      <c r="BF27" s="61"/>
      <c r="BG27" s="59"/>
      <c r="BH27" s="50"/>
      <c r="BI27" s="59"/>
      <c r="BJ27" s="59"/>
      <c r="BK27" s="59"/>
      <c r="BL27" s="59"/>
      <c r="BM27" s="59"/>
      <c r="BN27" s="59"/>
      <c r="BO27" s="59"/>
      <c r="BP27" s="59"/>
      <c r="BQ27" s="59"/>
      <c r="BR27" s="59"/>
      <c r="BS27" s="59"/>
      <c r="BT27" s="59"/>
      <c r="BU27" s="59"/>
      <c r="BV27" s="59"/>
      <c r="BW27" s="59"/>
      <c r="BX27" s="59"/>
      <c r="BY27" s="59"/>
      <c r="BZ27" s="59"/>
      <c r="CA27" s="59"/>
      <c r="CB27" s="59"/>
      <c r="CC27" s="59"/>
      <c r="CD27" s="59"/>
      <c r="CE27" s="59"/>
      <c r="CF27" s="59"/>
      <c r="CG27" s="59"/>
      <c r="CH27" s="59"/>
      <c r="CI27" s="59"/>
      <c r="CJ27" s="61"/>
      <c r="CK27" s="61"/>
      <c r="CL27" s="1822"/>
      <c r="CM27" s="43"/>
    </row>
    <row r="28" spans="2:91" ht="15.75" customHeight="1">
      <c r="B28" s="1809"/>
      <c r="C28" s="50"/>
      <c r="D28" s="2715"/>
      <c r="E28" s="2715"/>
      <c r="F28" s="2716" t="s">
        <v>107</v>
      </c>
      <c r="G28" s="2716"/>
      <c r="H28" s="2716" t="str">
        <f>IF(('FORMULAIRE PGA Eaux usées'!$H$81='MENU DÉROULANT'!$C$44),"(Aucun actif)","")</f>
        <v/>
      </c>
      <c r="I28" s="2713"/>
      <c r="J28" s="2713"/>
      <c r="K28" s="2713"/>
      <c r="L28" s="2713"/>
      <c r="M28" s="2713"/>
      <c r="N28" s="2713"/>
      <c r="O28" s="2713"/>
      <c r="P28" s="2713"/>
      <c r="Q28" s="2713"/>
      <c r="R28" s="2716" t="s">
        <v>108</v>
      </c>
      <c r="S28" s="2713"/>
      <c r="T28" s="2713"/>
      <c r="U28" s="2713"/>
      <c r="V28" s="2713"/>
      <c r="W28" s="2716" t="str">
        <f>IF(('FORMULAIRE PGA Eaux usées'!$H$120='MENU DÉROULANT'!$F$44),"(Aucun actif)","")</f>
        <v/>
      </c>
      <c r="X28" s="2713"/>
      <c r="Y28" s="2713"/>
      <c r="Z28" s="2713"/>
      <c r="AA28" s="2713"/>
      <c r="AB28" s="2713"/>
      <c r="AC28" s="2713"/>
      <c r="AD28" s="2714"/>
      <c r="AE28" s="114"/>
      <c r="AF28" s="1815"/>
      <c r="AG28" s="50"/>
      <c r="AH28" s="59"/>
      <c r="AI28" s="50"/>
      <c r="AJ28" s="59"/>
      <c r="AK28" s="59"/>
      <c r="AL28" s="59"/>
      <c r="AM28" s="59"/>
      <c r="AN28" s="59"/>
      <c r="AO28" s="59"/>
      <c r="AP28" s="59"/>
      <c r="AQ28" s="59"/>
      <c r="AR28" s="59"/>
      <c r="AS28" s="59"/>
      <c r="AT28" s="59"/>
      <c r="AU28" s="59"/>
      <c r="AV28" s="59"/>
      <c r="AW28" s="59"/>
      <c r="AX28" s="59"/>
      <c r="AY28" s="59"/>
      <c r="AZ28" s="59"/>
      <c r="BA28" s="59"/>
      <c r="BB28" s="59"/>
      <c r="BC28" s="59"/>
      <c r="BD28" s="59"/>
      <c r="BE28" s="59"/>
      <c r="BF28" s="61"/>
      <c r="BG28" s="59"/>
      <c r="BH28" s="50"/>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59"/>
      <c r="CI28" s="59"/>
      <c r="CJ28" s="61"/>
      <c r="CK28" s="61"/>
      <c r="CL28" s="1822"/>
      <c r="CM28" s="43"/>
    </row>
    <row r="29" spans="2:91" ht="13.5" customHeight="1">
      <c r="B29" s="1809"/>
      <c r="C29" s="50"/>
      <c r="D29" s="2715"/>
      <c r="E29" s="2717" t="s">
        <v>58</v>
      </c>
      <c r="F29" s="3691" t="str">
        <f>IF(ISBLANK('FORMULAIRE PGA Eaux usées'!G160)=TRUE,"",CONCATENATE('FORMULAIRE PGA Eaux usées'!G160,"; ",'FORMULAIRE PGA Eaux usées'!K160))</f>
        <v/>
      </c>
      <c r="G29" s="3692"/>
      <c r="H29" s="3692"/>
      <c r="I29" s="3692"/>
      <c r="J29" s="3692"/>
      <c r="K29" s="3692"/>
      <c r="L29" s="3692"/>
      <c r="M29" s="3692"/>
      <c r="N29" s="3692"/>
      <c r="O29" s="3692"/>
      <c r="P29" s="3692"/>
      <c r="Q29" s="3693"/>
      <c r="R29" s="3691" t="str">
        <f>IF(ISBLANK('FORMULAIRE PGA Eaux usées'!G163)=TRUE,"",CONCATENATE('FORMULAIRE PGA Eaux usées'!G163,"; ",'FORMULAIRE PGA Eaux usées'!K163))</f>
        <v/>
      </c>
      <c r="S29" s="3692"/>
      <c r="T29" s="3692"/>
      <c r="U29" s="3692"/>
      <c r="V29" s="3692"/>
      <c r="W29" s="3692"/>
      <c r="X29" s="3692"/>
      <c r="Y29" s="3692"/>
      <c r="Z29" s="3692"/>
      <c r="AA29" s="3692"/>
      <c r="AB29" s="3692"/>
      <c r="AC29" s="3693"/>
      <c r="AD29" s="2714"/>
      <c r="AE29" s="114"/>
      <c r="AF29" s="1815"/>
      <c r="AG29" s="50"/>
      <c r="AH29" s="59"/>
      <c r="AI29" s="50"/>
      <c r="AJ29" s="59"/>
      <c r="AK29" s="59"/>
      <c r="AL29" s="59"/>
      <c r="AM29" s="59"/>
      <c r="AN29" s="59"/>
      <c r="AO29" s="59"/>
      <c r="AP29" s="59"/>
      <c r="AQ29" s="59"/>
      <c r="AR29" s="59"/>
      <c r="AS29" s="59"/>
      <c r="AT29" s="59"/>
      <c r="AU29" s="59"/>
      <c r="AV29" s="59"/>
      <c r="AW29" s="59"/>
      <c r="AX29" s="59"/>
      <c r="AY29" s="59"/>
      <c r="AZ29" s="59"/>
      <c r="BA29" s="59"/>
      <c r="BB29" s="59"/>
      <c r="BC29" s="59"/>
      <c r="BD29" s="59"/>
      <c r="BE29" s="59"/>
      <c r="BF29" s="61"/>
      <c r="BG29" s="59"/>
      <c r="BH29" s="50"/>
      <c r="BI29" s="59"/>
      <c r="BJ29" s="59"/>
      <c r="BK29" s="59"/>
      <c r="BL29" s="59"/>
      <c r="BM29" s="59"/>
      <c r="BN29" s="59"/>
      <c r="BO29" s="59"/>
      <c r="BP29" s="59"/>
      <c r="BQ29" s="59"/>
      <c r="BR29" s="59"/>
      <c r="BS29" s="59"/>
      <c r="BT29" s="59"/>
      <c r="BU29" s="59"/>
      <c r="BV29" s="59"/>
      <c r="BW29" s="59"/>
      <c r="BX29" s="59"/>
      <c r="BY29" s="59"/>
      <c r="BZ29" s="59"/>
      <c r="CA29" s="59"/>
      <c r="CB29" s="59"/>
      <c r="CC29" s="59"/>
      <c r="CD29" s="59"/>
      <c r="CE29" s="59"/>
      <c r="CF29" s="59"/>
      <c r="CG29" s="59"/>
      <c r="CH29" s="59"/>
      <c r="CI29" s="59"/>
      <c r="CJ29" s="61"/>
      <c r="CK29" s="61"/>
      <c r="CL29" s="1822"/>
      <c r="CM29" s="43"/>
    </row>
    <row r="30" spans="2:91" ht="13.5" customHeight="1">
      <c r="B30" s="1809"/>
      <c r="C30" s="50"/>
      <c r="D30" s="2715"/>
      <c r="E30" s="2717" t="s">
        <v>59</v>
      </c>
      <c r="F30" s="3691" t="str">
        <f>IF(ISBLANK('FORMULAIRE PGA Eaux usées'!G161)=TRUE,"",CONCATENATE('FORMULAIRE PGA Eaux usées'!G161,"; ",'FORMULAIRE PGA Eaux usées'!K161))</f>
        <v/>
      </c>
      <c r="G30" s="3692"/>
      <c r="H30" s="3692"/>
      <c r="I30" s="3692"/>
      <c r="J30" s="3692"/>
      <c r="K30" s="3692"/>
      <c r="L30" s="3692"/>
      <c r="M30" s="3692"/>
      <c r="N30" s="3692"/>
      <c r="O30" s="3692"/>
      <c r="P30" s="3692"/>
      <c r="Q30" s="3693"/>
      <c r="R30" s="3691" t="str">
        <f>IF(ISBLANK('FORMULAIRE PGA Eaux usées'!G164)=TRUE,"",CONCATENATE('FORMULAIRE PGA Eaux usées'!G164,"; ",'FORMULAIRE PGA Eaux usées'!K164))</f>
        <v/>
      </c>
      <c r="S30" s="3692"/>
      <c r="T30" s="3692"/>
      <c r="U30" s="3692"/>
      <c r="V30" s="3692"/>
      <c r="W30" s="3692"/>
      <c r="X30" s="3692"/>
      <c r="Y30" s="3692"/>
      <c r="Z30" s="3692"/>
      <c r="AA30" s="3692"/>
      <c r="AB30" s="3692"/>
      <c r="AC30" s="3693"/>
      <c r="AD30" s="2714"/>
      <c r="AE30" s="114"/>
      <c r="AF30" s="1815"/>
      <c r="AG30" s="50"/>
      <c r="AH30" s="59"/>
      <c r="AI30" s="50"/>
      <c r="AJ30" s="59"/>
      <c r="AK30" s="59"/>
      <c r="AL30" s="59"/>
      <c r="AM30" s="59"/>
      <c r="AN30" s="59"/>
      <c r="AO30" s="59"/>
      <c r="AP30" s="59"/>
      <c r="AQ30" s="59"/>
      <c r="AR30" s="59"/>
      <c r="AS30" s="59"/>
      <c r="AT30" s="59"/>
      <c r="AU30" s="59"/>
      <c r="AV30" s="59"/>
      <c r="AW30" s="59"/>
      <c r="AX30" s="59"/>
      <c r="AY30" s="59"/>
      <c r="AZ30" s="59"/>
      <c r="BA30" s="59"/>
      <c r="BB30" s="59"/>
      <c r="BC30" s="59"/>
      <c r="BD30" s="59"/>
      <c r="BE30" s="59"/>
      <c r="BF30" s="61"/>
      <c r="BG30" s="59"/>
      <c r="BH30" s="50"/>
      <c r="BI30" s="59"/>
      <c r="BJ30" s="59"/>
      <c r="BK30" s="59"/>
      <c r="BL30" s="59"/>
      <c r="BM30" s="59"/>
      <c r="BN30" s="59"/>
      <c r="BO30" s="59"/>
      <c r="BP30" s="59"/>
      <c r="BQ30" s="59"/>
      <c r="BR30" s="59"/>
      <c r="BS30" s="59"/>
      <c r="BT30" s="59"/>
      <c r="BU30" s="59"/>
      <c r="BV30" s="59"/>
      <c r="BW30" s="59"/>
      <c r="BX30" s="59"/>
      <c r="BY30" s="59"/>
      <c r="BZ30" s="59"/>
      <c r="CA30" s="59"/>
      <c r="CB30" s="59"/>
      <c r="CC30" s="59"/>
      <c r="CD30" s="59"/>
      <c r="CE30" s="59"/>
      <c r="CF30" s="59"/>
      <c r="CG30" s="59"/>
      <c r="CH30" s="59"/>
      <c r="CI30" s="59"/>
      <c r="CJ30" s="61"/>
      <c r="CK30" s="61"/>
      <c r="CL30" s="1822"/>
      <c r="CM30" s="43"/>
    </row>
    <row r="31" spans="2:91" ht="13.5" customHeight="1">
      <c r="B31" s="1809"/>
      <c r="C31" s="50"/>
      <c r="D31" s="2715"/>
      <c r="E31" s="2717" t="s">
        <v>752</v>
      </c>
      <c r="F31" s="3691" t="str">
        <f>IF(ISBLANK('FORMULAIRE PGA Eaux usées'!G162)=TRUE,"",CONCATENATE('FORMULAIRE PGA Eaux usées'!G162,"; ",'FORMULAIRE PGA Eaux usées'!K162))</f>
        <v/>
      </c>
      <c r="G31" s="3692"/>
      <c r="H31" s="3692"/>
      <c r="I31" s="3692"/>
      <c r="J31" s="3692"/>
      <c r="K31" s="3692"/>
      <c r="L31" s="3692"/>
      <c r="M31" s="3692"/>
      <c r="N31" s="3692"/>
      <c r="O31" s="3692"/>
      <c r="P31" s="3692"/>
      <c r="Q31" s="3693"/>
      <c r="R31" s="3691" t="str">
        <f>IF(ISBLANK('FORMULAIRE PGA Eaux usées'!G165)=TRUE,"",CONCATENATE('FORMULAIRE PGA Eaux usées'!G165,"; ",'FORMULAIRE PGA Eaux usées'!K165))</f>
        <v/>
      </c>
      <c r="S31" s="3692"/>
      <c r="T31" s="3692"/>
      <c r="U31" s="3692"/>
      <c r="V31" s="3692"/>
      <c r="W31" s="3692"/>
      <c r="X31" s="3692"/>
      <c r="Y31" s="3692"/>
      <c r="Z31" s="3692"/>
      <c r="AA31" s="3692"/>
      <c r="AB31" s="3692"/>
      <c r="AC31" s="3693"/>
      <c r="AD31" s="2714"/>
      <c r="AE31" s="114"/>
      <c r="AF31" s="1815"/>
      <c r="AG31" s="50"/>
      <c r="AH31" s="59"/>
      <c r="AI31" s="50"/>
      <c r="AJ31" s="59"/>
      <c r="AK31" s="59"/>
      <c r="AL31" s="59"/>
      <c r="AM31" s="59"/>
      <c r="AN31" s="59"/>
      <c r="AO31" s="59"/>
      <c r="AP31" s="59"/>
      <c r="AQ31" s="59"/>
      <c r="AR31" s="59"/>
      <c r="AS31" s="59"/>
      <c r="AT31" s="59"/>
      <c r="AU31" s="59"/>
      <c r="AV31" s="59"/>
      <c r="AW31" s="59"/>
      <c r="AX31" s="59"/>
      <c r="AY31" s="59"/>
      <c r="AZ31" s="59"/>
      <c r="BA31" s="59"/>
      <c r="BB31" s="59"/>
      <c r="BC31" s="59"/>
      <c r="BD31" s="59"/>
      <c r="BE31" s="59"/>
      <c r="BF31" s="61"/>
      <c r="BG31" s="59"/>
      <c r="BH31" s="50"/>
      <c r="BI31" s="59"/>
      <c r="BJ31" s="59"/>
      <c r="BK31" s="59"/>
      <c r="BL31" s="59"/>
      <c r="BM31" s="59"/>
      <c r="BN31" s="59"/>
      <c r="BO31" s="59"/>
      <c r="BP31" s="59"/>
      <c r="BQ31" s="59"/>
      <c r="BR31" s="59"/>
      <c r="BS31" s="59"/>
      <c r="BT31" s="59"/>
      <c r="BU31" s="59"/>
      <c r="BV31" s="59"/>
      <c r="BW31" s="59"/>
      <c r="BX31" s="59"/>
      <c r="BY31" s="59"/>
      <c r="BZ31" s="59"/>
      <c r="CA31" s="59"/>
      <c r="CB31" s="59"/>
      <c r="CC31" s="59"/>
      <c r="CD31" s="59"/>
      <c r="CE31" s="59"/>
      <c r="CF31" s="59"/>
      <c r="CG31" s="59"/>
      <c r="CH31" s="59"/>
      <c r="CI31" s="59"/>
      <c r="CJ31" s="61"/>
      <c r="CK31" s="61"/>
      <c r="CL31" s="1822"/>
      <c r="CM31" s="43"/>
    </row>
    <row r="32" spans="2:91" ht="9" customHeight="1">
      <c r="B32" s="1809"/>
      <c r="C32" s="50"/>
      <c r="D32" s="2718"/>
      <c r="E32" s="2718"/>
      <c r="F32" s="2718"/>
      <c r="G32" s="2718"/>
      <c r="H32" s="2718"/>
      <c r="I32" s="2718"/>
      <c r="J32" s="2718"/>
      <c r="K32" s="2718"/>
      <c r="L32" s="2718"/>
      <c r="M32" s="2718"/>
      <c r="N32" s="2718"/>
      <c r="O32" s="2718"/>
      <c r="P32" s="2718"/>
      <c r="Q32" s="2718"/>
      <c r="R32" s="2718"/>
      <c r="S32" s="2718"/>
      <c r="T32" s="2718"/>
      <c r="U32" s="2718"/>
      <c r="V32" s="2718"/>
      <c r="W32" s="2718"/>
      <c r="X32" s="2718"/>
      <c r="Y32" s="2718"/>
      <c r="Z32" s="2718"/>
      <c r="AA32" s="2718"/>
      <c r="AB32" s="2718"/>
      <c r="AC32" s="2718"/>
      <c r="AD32" s="2714"/>
      <c r="AE32" s="114"/>
      <c r="AF32" s="1815"/>
      <c r="AG32" s="50"/>
      <c r="AH32" s="59"/>
      <c r="AI32" s="91"/>
      <c r="AJ32" s="92"/>
      <c r="AK32" s="92"/>
      <c r="AL32" s="92"/>
      <c r="AM32" s="92"/>
      <c r="AN32" s="92"/>
      <c r="AO32" s="92"/>
      <c r="AP32" s="92"/>
      <c r="AQ32" s="92"/>
      <c r="AR32" s="92"/>
      <c r="AS32" s="92"/>
      <c r="AT32" s="92"/>
      <c r="AU32" s="92"/>
      <c r="AV32" s="92"/>
      <c r="AW32" s="92"/>
      <c r="AX32" s="92"/>
      <c r="AY32" s="92"/>
      <c r="AZ32" s="92"/>
      <c r="BA32" s="92"/>
      <c r="BB32" s="92"/>
      <c r="BC32" s="92"/>
      <c r="BD32" s="92"/>
      <c r="BE32" s="92"/>
      <c r="BF32" s="93"/>
      <c r="BG32" s="59"/>
      <c r="BH32" s="91"/>
      <c r="BI32" s="92"/>
      <c r="BJ32" s="92"/>
      <c r="BK32" s="92"/>
      <c r="BL32" s="92"/>
      <c r="BM32" s="92"/>
      <c r="BN32" s="92"/>
      <c r="BO32" s="92"/>
      <c r="BP32" s="92"/>
      <c r="BQ32" s="92"/>
      <c r="BR32" s="92"/>
      <c r="BS32" s="92"/>
      <c r="BT32" s="92"/>
      <c r="BU32" s="92"/>
      <c r="BV32" s="92"/>
      <c r="BW32" s="92"/>
      <c r="BX32" s="92"/>
      <c r="BY32" s="92"/>
      <c r="BZ32" s="92"/>
      <c r="CA32" s="92"/>
      <c r="CB32" s="92"/>
      <c r="CC32" s="92"/>
      <c r="CD32" s="92"/>
      <c r="CE32" s="92"/>
      <c r="CF32" s="92"/>
      <c r="CG32" s="92"/>
      <c r="CH32" s="92"/>
      <c r="CI32" s="92"/>
      <c r="CJ32" s="93"/>
      <c r="CK32" s="61"/>
      <c r="CL32" s="1822"/>
      <c r="CM32" s="43"/>
    </row>
    <row r="33" spans="2:91" ht="9" customHeight="1">
      <c r="B33" s="1809"/>
      <c r="C33" s="91"/>
      <c r="D33" s="92"/>
      <c r="E33" s="92"/>
      <c r="F33" s="92"/>
      <c r="G33" s="92"/>
      <c r="H33" s="92"/>
      <c r="I33" s="92"/>
      <c r="J33" s="92"/>
      <c r="K33" s="92"/>
      <c r="L33" s="92"/>
      <c r="M33" s="92"/>
      <c r="N33" s="92"/>
      <c r="O33" s="92"/>
      <c r="P33" s="92"/>
      <c r="Q33" s="92"/>
      <c r="R33" s="92"/>
      <c r="S33" s="92"/>
      <c r="T33" s="92"/>
      <c r="U33" s="92"/>
      <c r="V33" s="92"/>
      <c r="W33" s="92"/>
      <c r="X33" s="92"/>
      <c r="Y33" s="92"/>
      <c r="Z33" s="92"/>
      <c r="AA33" s="116"/>
      <c r="AB33" s="116"/>
      <c r="AC33" s="116"/>
      <c r="AD33" s="116"/>
      <c r="AE33" s="117"/>
      <c r="AF33" s="1815"/>
      <c r="AG33" s="91"/>
      <c r="AH33" s="92"/>
      <c r="AI33" s="92"/>
      <c r="AJ33" s="92"/>
      <c r="AK33" s="92"/>
      <c r="AL33" s="92"/>
      <c r="AM33" s="92"/>
      <c r="AN33" s="92"/>
      <c r="AO33" s="92"/>
      <c r="AP33" s="92"/>
      <c r="AQ33" s="92"/>
      <c r="AR33" s="92"/>
      <c r="AS33" s="92"/>
      <c r="AT33" s="92"/>
      <c r="AU33" s="92"/>
      <c r="AV33" s="92"/>
      <c r="AW33" s="92"/>
      <c r="AX33" s="92"/>
      <c r="AY33" s="92"/>
      <c r="AZ33" s="92"/>
      <c r="BA33" s="92"/>
      <c r="BB33" s="92"/>
      <c r="BC33" s="92"/>
      <c r="BD33" s="92"/>
      <c r="BE33" s="92"/>
      <c r="BF33" s="92"/>
      <c r="BG33" s="92"/>
      <c r="BH33" s="92"/>
      <c r="BI33" s="92"/>
      <c r="BJ33" s="92"/>
      <c r="BK33" s="92"/>
      <c r="BL33" s="92"/>
      <c r="BM33" s="92"/>
      <c r="BN33" s="92"/>
      <c r="BO33" s="92"/>
      <c r="BP33" s="92"/>
      <c r="BQ33" s="92"/>
      <c r="BR33" s="92"/>
      <c r="BS33" s="92"/>
      <c r="BT33" s="92"/>
      <c r="BU33" s="92"/>
      <c r="BV33" s="92"/>
      <c r="BW33" s="92"/>
      <c r="BX33" s="92"/>
      <c r="BY33" s="92"/>
      <c r="BZ33" s="92"/>
      <c r="CA33" s="92"/>
      <c r="CB33" s="92"/>
      <c r="CC33" s="92"/>
      <c r="CD33" s="92"/>
      <c r="CE33" s="92"/>
      <c r="CF33" s="92"/>
      <c r="CG33" s="92"/>
      <c r="CH33" s="92"/>
      <c r="CI33" s="92"/>
      <c r="CJ33" s="92"/>
      <c r="CK33" s="93"/>
      <c r="CL33" s="1822"/>
      <c r="CM33" s="43"/>
    </row>
    <row r="34" spans="2:91" ht="9" customHeight="1">
      <c r="B34" s="1812"/>
      <c r="C34" s="1820"/>
      <c r="D34" s="1820"/>
      <c r="E34" s="1820"/>
      <c r="F34" s="1820"/>
      <c r="G34" s="1820"/>
      <c r="H34" s="1820"/>
      <c r="I34" s="1820"/>
      <c r="J34" s="1820"/>
      <c r="K34" s="1820"/>
      <c r="L34" s="1820"/>
      <c r="M34" s="1820"/>
      <c r="N34" s="1820"/>
      <c r="O34" s="1820"/>
      <c r="P34" s="1820"/>
      <c r="Q34" s="1820"/>
      <c r="R34" s="1820"/>
      <c r="S34" s="1820"/>
      <c r="T34" s="1820"/>
      <c r="U34" s="1820"/>
      <c r="V34" s="1820"/>
      <c r="W34" s="1820"/>
      <c r="X34" s="1820"/>
      <c r="Y34" s="1820"/>
      <c r="Z34" s="1820"/>
      <c r="AA34" s="1820"/>
      <c r="AB34" s="1820"/>
      <c r="AC34" s="1820"/>
      <c r="AD34" s="1820"/>
      <c r="AE34" s="1820"/>
      <c r="AF34" s="1820"/>
      <c r="AG34" s="1820"/>
      <c r="AH34" s="1820"/>
      <c r="AI34" s="1820"/>
      <c r="AJ34" s="1820"/>
      <c r="AK34" s="1820"/>
      <c r="AL34" s="1820"/>
      <c r="AM34" s="1820"/>
      <c r="AN34" s="1820"/>
      <c r="AO34" s="1820"/>
      <c r="AP34" s="1820"/>
      <c r="AQ34" s="1820"/>
      <c r="AR34" s="1820"/>
      <c r="AS34" s="1820"/>
      <c r="AT34" s="1820"/>
      <c r="AU34" s="1820"/>
      <c r="AV34" s="1820"/>
      <c r="AW34" s="1820"/>
      <c r="AX34" s="1820"/>
      <c r="AY34" s="1820"/>
      <c r="AZ34" s="1820"/>
      <c r="BA34" s="1820"/>
      <c r="BB34" s="1820"/>
      <c r="BC34" s="1820"/>
      <c r="BD34" s="1820"/>
      <c r="BE34" s="1820"/>
      <c r="BF34" s="1820"/>
      <c r="BG34" s="1820"/>
      <c r="BH34" s="1820"/>
      <c r="BI34" s="1820"/>
      <c r="BJ34" s="1820"/>
      <c r="BK34" s="1820"/>
      <c r="BL34" s="1820"/>
      <c r="BM34" s="1820"/>
      <c r="BN34" s="1820"/>
      <c r="BO34" s="1820"/>
      <c r="BP34" s="1820"/>
      <c r="BQ34" s="1820"/>
      <c r="BR34" s="1820"/>
      <c r="BS34" s="1820"/>
      <c r="BT34" s="1820"/>
      <c r="BU34" s="1820"/>
      <c r="BV34" s="1820"/>
      <c r="BW34" s="1820"/>
      <c r="BX34" s="1820"/>
      <c r="BY34" s="1820"/>
      <c r="BZ34" s="1820"/>
      <c r="CA34" s="1820"/>
      <c r="CB34" s="1820"/>
      <c r="CC34" s="1820"/>
      <c r="CD34" s="1820"/>
      <c r="CE34" s="1820"/>
      <c r="CF34" s="1820"/>
      <c r="CG34" s="1820"/>
      <c r="CH34" s="1820"/>
      <c r="CI34" s="1820"/>
      <c r="CJ34" s="1820"/>
      <c r="CK34" s="1820"/>
      <c r="CL34" s="1821"/>
      <c r="CM34" s="43"/>
    </row>
    <row r="35" spans="2:91" ht="15.75" customHeight="1">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c r="BK35" s="59"/>
      <c r="BL35" s="59"/>
      <c r="BM35" s="59"/>
      <c r="BN35" s="59"/>
      <c r="BO35" s="59"/>
      <c r="BP35" s="59"/>
      <c r="BQ35" s="59"/>
      <c r="BR35" s="59"/>
      <c r="BS35" s="59"/>
      <c r="BT35" s="59"/>
      <c r="BU35" s="59"/>
      <c r="BV35" s="59"/>
      <c r="BW35" s="59"/>
      <c r="BX35" s="59"/>
      <c r="BY35" s="59"/>
      <c r="BZ35" s="59"/>
      <c r="CA35" s="59"/>
      <c r="CB35" s="59"/>
      <c r="CC35" s="59"/>
      <c r="CD35" s="59"/>
      <c r="CE35" s="59"/>
      <c r="CF35" s="59"/>
      <c r="CG35" s="59"/>
      <c r="CH35" s="59"/>
      <c r="CI35" s="59"/>
      <c r="CJ35" s="59"/>
      <c r="CK35" s="59"/>
      <c r="CL35" s="59"/>
      <c r="CM35" s="59"/>
    </row>
    <row r="36" spans="2:91" ht="22.5" customHeight="1">
      <c r="B36" s="1702"/>
      <c r="C36" s="1703" t="s">
        <v>504</v>
      </c>
      <c r="D36" s="1704"/>
      <c r="E36" s="1704"/>
      <c r="F36" s="1704"/>
      <c r="G36" s="1704"/>
      <c r="H36" s="1704"/>
      <c r="I36" s="1704"/>
      <c r="J36" s="1704"/>
      <c r="K36" s="1704"/>
      <c r="L36" s="1704"/>
      <c r="M36" s="1704"/>
      <c r="N36" s="1704"/>
      <c r="O36" s="1704"/>
      <c r="P36" s="1704"/>
      <c r="Q36" s="1704"/>
      <c r="R36" s="1704"/>
      <c r="S36" s="1704"/>
      <c r="T36" s="1704"/>
      <c r="U36" s="1704"/>
      <c r="V36" s="1704"/>
      <c r="W36" s="1704"/>
      <c r="X36" s="1706"/>
      <c r="Y36" s="1716"/>
      <c r="Z36" s="1716"/>
      <c r="AA36" s="1716"/>
      <c r="AB36" s="1716"/>
      <c r="AC36" s="1716"/>
      <c r="AD36" s="1716"/>
      <c r="AE36" s="1716"/>
      <c r="AF36" s="1716"/>
      <c r="AG36" s="1716"/>
      <c r="AH36" s="1716"/>
      <c r="AI36" s="1716"/>
      <c r="AJ36" s="1716"/>
      <c r="AK36" s="1716"/>
      <c r="AL36" s="1716"/>
      <c r="AM36" s="1716"/>
      <c r="AN36" s="1716"/>
      <c r="AO36" s="1716"/>
      <c r="AP36" s="1716"/>
      <c r="AQ36" s="1716"/>
      <c r="AR36" s="1716"/>
      <c r="AS36" s="1716"/>
      <c r="AT36" s="1716"/>
      <c r="AU36" s="1716"/>
      <c r="AV36" s="1716"/>
      <c r="AW36" s="1716"/>
      <c r="AX36" s="1716"/>
      <c r="AY36" s="1716"/>
      <c r="AZ36" s="1716"/>
      <c r="BA36" s="1716"/>
      <c r="BB36" s="1716"/>
      <c r="BC36" s="1716"/>
      <c r="BD36" s="1716"/>
      <c r="BE36" s="1716"/>
      <c r="BF36" s="1716"/>
      <c r="BG36" s="1716"/>
      <c r="BH36" s="1716"/>
      <c r="BI36" s="1716"/>
      <c r="BJ36" s="1716"/>
      <c r="BK36" s="1716"/>
      <c r="BL36" s="1716"/>
      <c r="BM36" s="1716"/>
      <c r="BN36" s="1716"/>
      <c r="BO36" s="1716"/>
      <c r="BP36" s="1716"/>
      <c r="BQ36" s="1716"/>
      <c r="BR36" s="1716"/>
      <c r="BS36" s="1716"/>
      <c r="BT36" s="1716"/>
      <c r="BU36" s="1716"/>
      <c r="BV36" s="1716"/>
      <c r="BW36" s="1704"/>
      <c r="BX36" s="1704"/>
      <c r="BY36" s="1704"/>
      <c r="BZ36" s="1704"/>
      <c r="CA36" s="1704"/>
      <c r="CB36" s="1704"/>
      <c r="CC36" s="1704"/>
      <c r="CD36" s="1704"/>
      <c r="CE36" s="1704"/>
      <c r="CF36" s="1704"/>
      <c r="CG36" s="1704"/>
      <c r="CH36" s="1706"/>
      <c r="CI36" s="1702"/>
      <c r="CJ36" s="3713"/>
      <c r="CK36" s="3713"/>
      <c r="CL36" s="1704"/>
    </row>
    <row r="37" spans="2:91" ht="6.75" customHeight="1"/>
    <row r="38" spans="2:91" ht="14.25" customHeight="1">
      <c r="B38" s="1811"/>
      <c r="C38" s="1813"/>
      <c r="D38" s="1813"/>
      <c r="E38" s="1813"/>
      <c r="F38" s="1813"/>
      <c r="G38" s="1813"/>
      <c r="H38" s="1813"/>
      <c r="I38" s="1813"/>
      <c r="J38" s="1813"/>
      <c r="K38" s="1813"/>
      <c r="L38" s="1813"/>
      <c r="M38" s="1813"/>
      <c r="N38" s="1813"/>
      <c r="O38" s="1813"/>
      <c r="P38" s="1813"/>
      <c r="Q38" s="1813"/>
      <c r="R38" s="1813"/>
      <c r="S38" s="1813"/>
      <c r="T38" s="1813"/>
      <c r="U38" s="1813"/>
      <c r="V38" s="1813"/>
      <c r="W38" s="1813"/>
      <c r="X38" s="1824"/>
      <c r="Y38" s="1824"/>
      <c r="Z38" s="1824"/>
      <c r="AA38" s="1824"/>
      <c r="AB38" s="1824"/>
      <c r="AC38" s="1824"/>
      <c r="AD38" s="1824"/>
      <c r="AE38" s="1824"/>
      <c r="AF38" s="1824"/>
      <c r="AG38" s="1824"/>
      <c r="AH38" s="1824"/>
      <c r="AI38" s="1824"/>
      <c r="AJ38" s="1824"/>
      <c r="AK38" s="1824"/>
      <c r="AL38" s="1824"/>
      <c r="AM38" s="1824"/>
      <c r="AN38" s="1824"/>
      <c r="AO38" s="1824"/>
      <c r="AP38" s="1824"/>
      <c r="AQ38" s="1824"/>
      <c r="AR38" s="1824"/>
      <c r="AS38" s="1824"/>
      <c r="AT38" s="1824"/>
      <c r="AU38" s="1824"/>
      <c r="AV38" s="1824"/>
      <c r="AW38" s="1824"/>
      <c r="AX38" s="1824"/>
      <c r="AY38" s="1824"/>
      <c r="AZ38" s="1824"/>
      <c r="BA38" s="1824"/>
      <c r="BB38" s="1824"/>
      <c r="BC38" s="1824"/>
      <c r="BD38" s="1824"/>
      <c r="BE38" s="1824"/>
      <c r="BF38" s="1824"/>
      <c r="BG38" s="1824"/>
      <c r="BH38" s="1824"/>
      <c r="BI38" s="1824"/>
      <c r="BJ38" s="1813"/>
      <c r="BK38" s="1813"/>
      <c r="BL38" s="1813"/>
      <c r="BM38" s="1813"/>
      <c r="BN38" s="1813"/>
      <c r="BO38" s="1813"/>
      <c r="BP38" s="1813"/>
      <c r="BQ38" s="1813"/>
      <c r="BR38" s="1813"/>
      <c r="BS38" s="1813"/>
      <c r="BT38" s="1813"/>
      <c r="BU38" s="1813"/>
      <c r="BV38" s="1813"/>
      <c r="BW38" s="1813"/>
      <c r="BX38" s="1813"/>
      <c r="BY38" s="1813"/>
      <c r="BZ38" s="1813"/>
      <c r="CA38" s="1813"/>
      <c r="CB38" s="1813"/>
      <c r="CC38" s="1813"/>
      <c r="CD38" s="1813"/>
      <c r="CE38" s="1813"/>
      <c r="CF38" s="1813"/>
      <c r="CG38" s="1813"/>
      <c r="CH38" s="1813"/>
      <c r="CI38" s="1813"/>
      <c r="CJ38" s="1813"/>
      <c r="CK38" s="1813"/>
      <c r="CL38" s="1814"/>
      <c r="CM38" s="43"/>
    </row>
    <row r="39" spans="2:91" ht="9.75" customHeight="1">
      <c r="B39" s="1809"/>
      <c r="C39" s="45"/>
      <c r="D39" s="46"/>
      <c r="E39" s="46"/>
      <c r="F39" s="46"/>
      <c r="G39" s="46"/>
      <c r="H39" s="46"/>
      <c r="I39" s="46"/>
      <c r="J39" s="46"/>
      <c r="K39" s="46"/>
      <c r="L39" s="46"/>
      <c r="M39" s="46"/>
      <c r="N39" s="46"/>
      <c r="O39" s="46"/>
      <c r="P39" s="46"/>
      <c r="Q39" s="46"/>
      <c r="R39" s="46"/>
      <c r="S39" s="46"/>
      <c r="T39" s="46"/>
      <c r="U39" s="46"/>
      <c r="V39" s="46"/>
      <c r="W39" s="403"/>
      <c r="X39" s="46"/>
      <c r="Y39" s="47"/>
      <c r="Z39" s="1828"/>
      <c r="AA39" s="45"/>
      <c r="AB39" s="46"/>
      <c r="AC39" s="403"/>
      <c r="AD39" s="403"/>
      <c r="AE39" s="403"/>
      <c r="AF39" s="403"/>
      <c r="AG39" s="46"/>
      <c r="AH39" s="46"/>
      <c r="AI39" s="46"/>
      <c r="AJ39" s="46"/>
      <c r="AK39" s="46"/>
      <c r="AL39" s="46"/>
      <c r="AM39" s="46"/>
      <c r="AN39" s="46"/>
      <c r="AO39" s="46"/>
      <c r="AP39" s="46"/>
      <c r="AQ39" s="46"/>
      <c r="AR39" s="46"/>
      <c r="AS39" s="46"/>
      <c r="AT39" s="46"/>
      <c r="AU39" s="46"/>
      <c r="AV39" s="46"/>
      <c r="AW39" s="46"/>
      <c r="AX39" s="46"/>
      <c r="AY39" s="46"/>
      <c r="AZ39" s="46"/>
      <c r="BA39" s="460"/>
      <c r="BB39" s="460"/>
      <c r="BC39" s="403"/>
      <c r="BD39" s="403"/>
      <c r="BE39" s="46"/>
      <c r="BF39" s="46"/>
      <c r="BG39" s="46"/>
      <c r="BH39" s="46"/>
      <c r="BI39" s="1822"/>
      <c r="BJ39" s="403"/>
      <c r="BK39" s="403"/>
      <c r="BL39" s="46"/>
      <c r="BM39" s="46"/>
      <c r="BN39" s="46"/>
      <c r="BO39" s="46"/>
      <c r="BP39" s="46"/>
      <c r="BQ39" s="46"/>
      <c r="BR39" s="46"/>
      <c r="BS39" s="46"/>
      <c r="BT39" s="46"/>
      <c r="BU39" s="46"/>
      <c r="BV39" s="46"/>
      <c r="BW39" s="46"/>
      <c r="BX39" s="46"/>
      <c r="BY39" s="46"/>
      <c r="BZ39" s="46"/>
      <c r="CA39" s="46"/>
      <c r="CB39" s="46"/>
      <c r="CC39" s="46"/>
      <c r="CD39" s="46"/>
      <c r="CE39" s="46"/>
      <c r="CF39" s="46"/>
      <c r="CG39" s="46"/>
      <c r="CH39" s="46"/>
      <c r="CI39" s="46"/>
      <c r="CJ39" s="46"/>
      <c r="CK39" s="47"/>
      <c r="CL39" s="1825"/>
      <c r="CM39" s="43"/>
    </row>
    <row r="40" spans="2:91" ht="19.5" customHeight="1">
      <c r="B40" s="1809"/>
      <c r="C40" s="101"/>
      <c r="D40" s="102" t="s">
        <v>36</v>
      </c>
      <c r="E40" s="102"/>
      <c r="F40" s="102"/>
      <c r="G40" s="102"/>
      <c r="H40" s="102"/>
      <c r="I40" s="59"/>
      <c r="J40" s="59"/>
      <c r="K40" s="59"/>
      <c r="L40" s="59"/>
      <c r="M40" s="59"/>
      <c r="N40" s="59"/>
      <c r="O40" s="59"/>
      <c r="P40" s="59"/>
      <c r="Q40" s="59"/>
      <c r="R40" s="59"/>
      <c r="S40" s="59"/>
      <c r="T40" s="59"/>
      <c r="U40" s="59"/>
      <c r="V40" s="59"/>
      <c r="Y40" s="2832">
        <f>'CALCULS Eaux usées'!O63</f>
        <v>0</v>
      </c>
      <c r="Z40" s="1822"/>
      <c r="AA40" s="50"/>
      <c r="AB40" s="57" t="s">
        <v>753</v>
      </c>
      <c r="AG40" s="59"/>
      <c r="AH40" s="59"/>
      <c r="AI40" s="59"/>
      <c r="AJ40" s="59"/>
      <c r="AK40" s="59"/>
      <c r="AL40" s="59"/>
      <c r="AM40" s="59"/>
      <c r="AN40" s="59"/>
      <c r="AO40" s="59"/>
      <c r="AP40" s="59"/>
      <c r="AQ40" s="59"/>
      <c r="AR40" s="59"/>
      <c r="AS40" s="59"/>
      <c r="AT40" s="59"/>
      <c r="AU40" s="59"/>
      <c r="AV40" s="59"/>
      <c r="AW40" s="59"/>
      <c r="BD40" s="1051"/>
      <c r="BE40" s="3575">
        <f>'CALCULS Eaux usées'!O71</f>
        <v>0</v>
      </c>
      <c r="BF40" s="3575"/>
      <c r="BG40" s="3575"/>
      <c r="BI40" s="1822"/>
      <c r="BK40" s="57" t="s">
        <v>754</v>
      </c>
      <c r="BL40" s="59"/>
      <c r="BM40" s="57"/>
      <c r="BN40" s="59"/>
      <c r="BO40" s="59"/>
      <c r="BP40" s="59"/>
      <c r="BQ40" s="59"/>
      <c r="BR40" s="59"/>
      <c r="BS40" s="59"/>
      <c r="BT40" s="59"/>
      <c r="BU40" s="59"/>
      <c r="BV40" s="59"/>
      <c r="BW40" s="59"/>
      <c r="BX40" s="59"/>
      <c r="BY40" s="59"/>
      <c r="BZ40" s="59"/>
      <c r="CA40" s="59"/>
      <c r="CB40" s="59"/>
      <c r="CC40" s="59"/>
      <c r="CD40" s="59"/>
      <c r="CE40" s="59"/>
      <c r="CF40" s="59"/>
      <c r="CG40" s="59"/>
      <c r="CH40" s="59"/>
      <c r="CI40" s="3620">
        <f>'CALCULS Eaux usées'!O86</f>
        <v>0</v>
      </c>
      <c r="CJ40" s="3620"/>
      <c r="CK40" s="61"/>
      <c r="CL40" s="1825"/>
      <c r="CM40" s="43"/>
    </row>
    <row r="41" spans="2:91" ht="7.5" customHeight="1">
      <c r="B41" s="1809"/>
      <c r="C41" s="411"/>
      <c r="D41" s="102"/>
      <c r="E41" s="102"/>
      <c r="F41" s="102"/>
      <c r="G41" s="102"/>
      <c r="H41" s="102"/>
      <c r="I41" s="59"/>
      <c r="J41" s="59"/>
      <c r="K41" s="59"/>
      <c r="L41" s="59"/>
      <c r="M41" s="59"/>
      <c r="N41" s="59"/>
      <c r="O41" s="59"/>
      <c r="P41" s="59"/>
      <c r="Q41" s="59"/>
      <c r="R41" s="59"/>
      <c r="S41" s="59"/>
      <c r="T41" s="59"/>
      <c r="U41" s="59"/>
      <c r="V41" s="59"/>
      <c r="X41" s="59"/>
      <c r="Y41" s="61"/>
      <c r="Z41" s="1829"/>
      <c r="AA41" s="50"/>
      <c r="AG41" s="59"/>
      <c r="AH41" s="59"/>
      <c r="AI41" s="59"/>
      <c r="AJ41" s="59"/>
      <c r="AK41" s="59"/>
      <c r="AL41" s="59"/>
      <c r="AM41" s="59"/>
      <c r="AN41" s="59"/>
      <c r="AO41" s="59"/>
      <c r="AP41" s="59"/>
      <c r="AQ41" s="59"/>
      <c r="AR41" s="59"/>
      <c r="AS41" s="59"/>
      <c r="AT41" s="59"/>
      <c r="AU41" s="59"/>
      <c r="AV41" s="59"/>
      <c r="AW41" s="59"/>
      <c r="AX41" s="2833"/>
      <c r="AY41" s="2833"/>
      <c r="AZ41" s="2833"/>
      <c r="BA41" s="55"/>
      <c r="BB41" s="55"/>
      <c r="BE41" s="59"/>
      <c r="BF41" s="55"/>
      <c r="BI41" s="1822"/>
      <c r="BL41" s="59"/>
      <c r="BM41" s="57"/>
      <c r="BN41" s="59"/>
      <c r="BO41" s="59"/>
      <c r="BP41" s="59"/>
      <c r="BQ41" s="59"/>
      <c r="BR41" s="59"/>
      <c r="BS41" s="59"/>
      <c r="BT41" s="59"/>
      <c r="BU41" s="59"/>
      <c r="BV41" s="59"/>
      <c r="BW41" s="59"/>
      <c r="BX41" s="59"/>
      <c r="BY41" s="59"/>
      <c r="BZ41" s="59"/>
      <c r="CA41" s="59"/>
      <c r="CB41" s="59"/>
      <c r="CC41" s="59"/>
      <c r="CD41" s="59"/>
      <c r="CE41" s="59"/>
      <c r="CF41" s="59"/>
      <c r="CG41" s="59"/>
      <c r="CH41" s="59"/>
      <c r="CI41" s="59"/>
      <c r="CJ41" s="2833"/>
      <c r="CK41" s="61"/>
      <c r="CL41" s="1825"/>
      <c r="CM41" s="43"/>
    </row>
    <row r="42" spans="2:91" ht="23.25" customHeight="1">
      <c r="B42" s="1809"/>
      <c r="C42" s="386"/>
      <c r="D42" s="397" t="s">
        <v>755</v>
      </c>
      <c r="E42" s="397"/>
      <c r="F42" s="397"/>
      <c r="G42" s="397"/>
      <c r="H42" s="397"/>
      <c r="I42" s="402"/>
      <c r="J42" s="402"/>
      <c r="K42" s="402"/>
      <c r="M42" s="402"/>
      <c r="O42" s="563" t="s">
        <v>494</v>
      </c>
      <c r="P42" s="402"/>
      <c r="Q42" s="103"/>
      <c r="S42" s="406"/>
      <c r="T42" s="406"/>
      <c r="U42" s="406"/>
      <c r="V42" s="406"/>
      <c r="W42" s="406"/>
      <c r="X42" s="406"/>
      <c r="Y42" s="120"/>
      <c r="Z42" s="1822"/>
      <c r="AA42" s="1041"/>
      <c r="AD42" s="1037" t="s">
        <v>756</v>
      </c>
      <c r="AE42" s="406"/>
      <c r="AF42" s="406"/>
      <c r="AG42" s="406"/>
      <c r="AH42" s="406"/>
      <c r="AI42" s="406"/>
      <c r="AJ42" s="406"/>
      <c r="AK42" s="406"/>
      <c r="AL42" s="406"/>
      <c r="AM42" s="406"/>
      <c r="AN42" s="406"/>
      <c r="AO42" s="406"/>
      <c r="AP42" s="406"/>
      <c r="AQ42" s="406"/>
      <c r="AR42" s="3621"/>
      <c r="AS42" s="3621"/>
      <c r="AT42" s="3621"/>
      <c r="AU42" s="3621"/>
      <c r="AV42" s="3621"/>
      <c r="AW42" s="2421"/>
      <c r="AX42" s="3622" t="s">
        <v>757</v>
      </c>
      <c r="AY42" s="3623"/>
      <c r="AZ42" s="2502"/>
      <c r="BA42" s="3623" t="s">
        <v>758</v>
      </c>
      <c r="BB42" s="3623"/>
      <c r="BC42" s="3623"/>
      <c r="BD42" s="3623"/>
      <c r="BE42" s="3623"/>
      <c r="BF42" s="3623"/>
      <c r="BI42" s="1822"/>
      <c r="BL42" s="103"/>
      <c r="BM42" s="394" t="s">
        <v>26</v>
      </c>
      <c r="BN42" s="394"/>
      <c r="BO42" s="394"/>
      <c r="BP42" s="394"/>
      <c r="BQ42" s="394"/>
      <c r="BR42" s="394"/>
      <c r="BS42" s="394"/>
      <c r="BU42" s="406"/>
      <c r="BV42" s="406"/>
      <c r="BW42" s="406"/>
      <c r="BX42" s="3624" t="s">
        <v>759</v>
      </c>
      <c r="BY42" s="3625"/>
      <c r="BZ42" s="3625"/>
      <c r="CA42" s="3625"/>
      <c r="CB42" s="3625"/>
      <c r="CC42" s="3625"/>
      <c r="CD42" s="3625"/>
      <c r="CE42" s="1049"/>
      <c r="CF42" s="3626" t="s">
        <v>760</v>
      </c>
      <c r="CG42" s="3626"/>
      <c r="CH42" s="3626"/>
      <c r="CI42" s="3626"/>
      <c r="CJ42" s="3626"/>
      <c r="CK42" s="559"/>
      <c r="CL42" s="1825"/>
      <c r="CM42" s="43"/>
    </row>
    <row r="43" spans="2:91" ht="3.75" customHeight="1" thickBot="1">
      <c r="B43" s="1809"/>
      <c r="C43" s="386"/>
      <c r="D43" s="1045"/>
      <c r="E43" s="1045"/>
      <c r="F43" s="1045"/>
      <c r="G43" s="1045"/>
      <c r="H43" s="1045"/>
      <c r="I43" s="1045"/>
      <c r="J43" s="1045"/>
      <c r="K43" s="1045"/>
      <c r="L43" s="1045"/>
      <c r="M43" s="1045"/>
      <c r="N43" s="405"/>
      <c r="O43" s="1046"/>
      <c r="P43" s="1045"/>
      <c r="Q43" s="1045"/>
      <c r="R43" s="1045"/>
      <c r="S43" s="1045"/>
      <c r="T43" s="1045"/>
      <c r="U43" s="404"/>
      <c r="V43" s="404"/>
      <c r="W43" s="404"/>
      <c r="X43" s="404"/>
      <c r="Y43" s="1039"/>
      <c r="Z43" s="1830"/>
      <c r="AA43" s="1042"/>
      <c r="AB43" s="385"/>
      <c r="AC43" s="398"/>
      <c r="AD43" s="398"/>
      <c r="AE43" s="398"/>
      <c r="AF43" s="398"/>
      <c r="AG43" s="398"/>
      <c r="AH43" s="398"/>
      <c r="AI43" s="398"/>
      <c r="AJ43" s="398"/>
      <c r="AK43" s="398"/>
      <c r="AL43" s="398"/>
      <c r="AM43" s="398"/>
      <c r="AN43" s="399"/>
      <c r="AO43" s="399"/>
      <c r="AP43" s="399"/>
      <c r="AQ43" s="399"/>
      <c r="AR43" s="399"/>
      <c r="AS43" s="399"/>
      <c r="AT43" s="399"/>
      <c r="AU43" s="399"/>
      <c r="AV43" s="399"/>
      <c r="AW43" s="1034"/>
      <c r="AX43" s="1116"/>
      <c r="AY43" s="399"/>
      <c r="AZ43" s="1034"/>
      <c r="BA43" s="399"/>
      <c r="BB43" s="399"/>
      <c r="BC43" s="399"/>
      <c r="BD43" s="399"/>
      <c r="BE43" s="399"/>
      <c r="BF43" s="1050"/>
      <c r="BI43" s="1822"/>
      <c r="BK43" s="103"/>
      <c r="BL43" s="404"/>
      <c r="BM43" s="405"/>
      <c r="BN43" s="395"/>
      <c r="BO43" s="395"/>
      <c r="BP43" s="395"/>
      <c r="BQ43" s="395"/>
      <c r="BR43" s="395"/>
      <c r="BS43" s="395"/>
      <c r="BT43" s="395"/>
      <c r="BU43" s="395"/>
      <c r="BV43" s="393"/>
      <c r="BW43" s="393"/>
      <c r="BX43" s="1054"/>
      <c r="BY43" s="404"/>
      <c r="BZ43" s="393"/>
      <c r="CA43" s="395"/>
      <c r="CB43" s="395"/>
      <c r="CC43" s="395"/>
      <c r="CD43" s="395"/>
      <c r="CE43" s="395"/>
      <c r="CF43" s="396"/>
      <c r="CG43" s="395"/>
      <c r="CH43" s="395"/>
      <c r="CI43" s="395"/>
      <c r="CJ43" s="395"/>
      <c r="CK43" s="387"/>
      <c r="CL43" s="1825"/>
      <c r="CM43" s="43"/>
    </row>
    <row r="44" spans="2:91" ht="8.25" customHeight="1">
      <c r="B44" s="1809"/>
      <c r="C44" s="386"/>
      <c r="D44" s="2468"/>
      <c r="E44" s="2468"/>
      <c r="F44" s="2468"/>
      <c r="G44" s="2468"/>
      <c r="H44" s="2468"/>
      <c r="I44" s="2469"/>
      <c r="J44" s="2469"/>
      <c r="K44" s="2469"/>
      <c r="L44" s="2470"/>
      <c r="M44" s="2469"/>
      <c r="N44" s="2471"/>
      <c r="O44" s="103"/>
      <c r="P44" s="103"/>
      <c r="Q44" s="103"/>
      <c r="S44" s="103"/>
      <c r="T44" s="103"/>
      <c r="U44" s="103"/>
      <c r="V44" s="103"/>
      <c r="W44" s="103"/>
      <c r="X44" s="103"/>
      <c r="Y44" s="1040"/>
      <c r="Z44" s="1822"/>
      <c r="AA44" s="1043"/>
      <c r="AE44" s="385"/>
      <c r="AF44" s="385"/>
      <c r="AG44" s="385"/>
      <c r="AH44" s="385"/>
      <c r="AI44" s="385"/>
      <c r="AJ44" s="385"/>
      <c r="AK44" s="385"/>
      <c r="AL44" s="385"/>
      <c r="AM44" s="385"/>
      <c r="AN44" s="385"/>
      <c r="AO44" s="103"/>
      <c r="AP44" s="103"/>
      <c r="AQ44" s="103"/>
      <c r="AR44" s="103"/>
      <c r="AT44" s="103"/>
      <c r="AU44" s="103"/>
      <c r="AW44" s="1035"/>
      <c r="AX44" s="401"/>
      <c r="AY44" s="103"/>
      <c r="AZ44" s="1117"/>
      <c r="BA44" s="55"/>
      <c r="BB44" s="55"/>
      <c r="BC44" s="55"/>
      <c r="BD44" s="55"/>
      <c r="BE44" s="55"/>
      <c r="BF44" s="55"/>
      <c r="BI44" s="1822"/>
      <c r="BK44" s="103"/>
      <c r="BL44" s="103"/>
      <c r="BN44" s="103"/>
      <c r="BO44" s="103"/>
      <c r="BP44" s="103"/>
      <c r="BQ44" s="103"/>
      <c r="BR44" s="103"/>
      <c r="BS44" s="103"/>
      <c r="BU44" s="103"/>
      <c r="BV44" s="103"/>
      <c r="BW44" s="1117"/>
      <c r="BX44" s="2472"/>
      <c r="BY44" s="103"/>
      <c r="BZ44" s="103"/>
      <c r="CA44" s="392"/>
      <c r="CB44" s="103"/>
      <c r="CC44" s="103"/>
      <c r="CD44" s="103"/>
      <c r="CE44" s="103"/>
      <c r="CG44" s="103"/>
      <c r="CH44" s="392"/>
      <c r="CI44" s="103"/>
      <c r="CJ44" s="103"/>
      <c r="CK44" s="387"/>
      <c r="CL44" s="1825"/>
      <c r="CM44" s="43"/>
    </row>
    <row r="45" spans="2:91" ht="20.25" customHeight="1">
      <c r="B45" s="1809"/>
      <c r="C45" s="386"/>
      <c r="D45" s="3682" t="str">
        <f>IF('CALCULS Eaux usées'!D64=0,"",'CALCULS Eaux usées'!D64)</f>
        <v/>
      </c>
      <c r="E45" s="3682"/>
      <c r="F45" s="3682"/>
      <c r="G45" s="3682"/>
      <c r="H45" s="3682"/>
      <c r="I45" s="3682"/>
      <c r="J45" s="3682"/>
      <c r="K45" s="3682"/>
      <c r="L45" s="3682"/>
      <c r="M45" s="3682"/>
      <c r="N45" s="3684"/>
      <c r="O45" s="3682" t="str">
        <f>IF('CALCULS Eaux usées'!H64=0,"",'CALCULS Eaux usées'!H64)</f>
        <v/>
      </c>
      <c r="P45" s="3682"/>
      <c r="Q45" s="3682"/>
      <c r="R45" s="3682"/>
      <c r="S45" s="3682"/>
      <c r="T45" s="3682"/>
      <c r="U45" s="3682"/>
      <c r="V45" s="3682"/>
      <c r="W45" s="3682"/>
      <c r="X45" s="3682"/>
      <c r="Y45" s="2467"/>
      <c r="Z45" s="1822"/>
      <c r="AA45" s="1044"/>
      <c r="AC45" s="2848" t="s">
        <v>761</v>
      </c>
      <c r="AD45" s="2454"/>
      <c r="AE45" s="2455"/>
      <c r="AF45" s="2455"/>
      <c r="AG45" s="2455"/>
      <c r="AH45" s="2455"/>
      <c r="AI45" s="2456"/>
      <c r="AJ45" s="2456"/>
      <c r="AK45" s="2456"/>
      <c r="AL45" s="2456"/>
      <c r="AM45" s="2456"/>
      <c r="AN45" s="2457"/>
      <c r="AO45" s="2457"/>
      <c r="AP45" s="2457"/>
      <c r="AQ45" s="2457"/>
      <c r="AR45" s="2457"/>
      <c r="AS45" s="2458"/>
      <c r="AT45" s="2458"/>
      <c r="AU45" s="2458"/>
      <c r="AV45" s="2497"/>
      <c r="AW45" s="2459"/>
      <c r="AX45" s="2834" t="str">
        <f>IF('CALCULS Eaux usées'!J72&gt;0,"P","")</f>
        <v/>
      </c>
      <c r="AY45" s="2500"/>
      <c r="AZ45" s="2460"/>
      <c r="BA45" s="3677" t="str">
        <f>IF('CALCULS Eaux usées'!K72&gt;0,"P","")</f>
        <v/>
      </c>
      <c r="BB45" s="3677"/>
      <c r="BC45" s="3677"/>
      <c r="BD45" s="3677"/>
      <c r="BE45" s="3677"/>
      <c r="BF45" s="2456"/>
      <c r="BI45" s="1822"/>
      <c r="BK45" s="76"/>
      <c r="BL45" s="76"/>
      <c r="BM45" s="3630" t="str">
        <f>IF('CALCULS Eaux usées'!D72=0,"",'CALCULS Eaux usées'!D72)</f>
        <v/>
      </c>
      <c r="BN45" s="3630"/>
      <c r="BO45" s="3630"/>
      <c r="BP45" s="3630"/>
      <c r="BQ45" s="3630"/>
      <c r="BR45" s="3630"/>
      <c r="BS45" s="3630"/>
      <c r="BT45" s="3630"/>
      <c r="BU45" s="3630"/>
      <c r="BV45" s="3630"/>
      <c r="BW45" s="3631"/>
      <c r="BX45" s="3617" t="str">
        <f>'CALCULS Eaux usées'!J87</f>
        <v/>
      </c>
      <c r="BY45" s="3618"/>
      <c r="BZ45" s="3618"/>
      <c r="CA45" s="3619" t="str">
        <f>'CALCULS Eaux usées'!I87</f>
        <v/>
      </c>
      <c r="CB45" s="3619"/>
      <c r="CC45" s="72"/>
      <c r="CD45" s="1052"/>
      <c r="CE45" s="1052"/>
      <c r="CF45" s="3618" t="str">
        <f>'CALCULS Eaux usées'!L87</f>
        <v/>
      </c>
      <c r="CG45" s="3618"/>
      <c r="CH45" s="3629" t="str">
        <f>'CALCULS Eaux usées'!K87</f>
        <v/>
      </c>
      <c r="CI45" s="3629"/>
      <c r="CJ45" s="3629"/>
      <c r="CK45" s="387"/>
      <c r="CL45" s="1825"/>
      <c r="CM45" s="43"/>
    </row>
    <row r="46" spans="2:91" ht="10.5" customHeight="1">
      <c r="B46" s="1809"/>
      <c r="C46" s="386"/>
      <c r="D46" s="3682"/>
      <c r="E46" s="3682"/>
      <c r="F46" s="3682"/>
      <c r="G46" s="3682"/>
      <c r="H46" s="3682"/>
      <c r="I46" s="3682"/>
      <c r="J46" s="3682"/>
      <c r="K46" s="3682"/>
      <c r="L46" s="3682"/>
      <c r="M46" s="3682"/>
      <c r="N46" s="3684"/>
      <c r="O46" s="3682"/>
      <c r="P46" s="3682"/>
      <c r="Q46" s="3682"/>
      <c r="R46" s="3682"/>
      <c r="S46" s="3682"/>
      <c r="T46" s="3682"/>
      <c r="U46" s="3682"/>
      <c r="V46" s="3682"/>
      <c r="W46" s="3682"/>
      <c r="X46" s="3682"/>
      <c r="Y46" s="2467"/>
      <c r="Z46" s="1822"/>
      <c r="AA46" s="1044"/>
      <c r="AC46" s="3680" t="s">
        <v>762</v>
      </c>
      <c r="AD46" s="3680"/>
      <c r="AE46" s="3680"/>
      <c r="AF46" s="3680"/>
      <c r="AG46" s="3680"/>
      <c r="AH46" s="3680"/>
      <c r="AI46" s="3680"/>
      <c r="AJ46" s="3680"/>
      <c r="AK46" s="3680"/>
      <c r="AL46" s="3680"/>
      <c r="AM46" s="3680"/>
      <c r="AN46" s="3680"/>
      <c r="AO46" s="3680"/>
      <c r="AP46" s="3680"/>
      <c r="AQ46" s="3680"/>
      <c r="AR46" s="3680"/>
      <c r="AS46" s="3680"/>
      <c r="AT46" s="3680"/>
      <c r="AU46" s="3680"/>
      <c r="AV46" s="3680"/>
      <c r="AW46" s="2462"/>
      <c r="AX46" s="3627" t="str">
        <f>IF('CALCULS Eaux usées'!J73&gt;0,"P","")</f>
        <v/>
      </c>
      <c r="AY46" s="2461"/>
      <c r="AZ46" s="2464"/>
      <c r="BA46" s="3676" t="str">
        <f>IF('CALCULS Eaux usées'!K73&gt;0,"P","")</f>
        <v/>
      </c>
      <c r="BB46" s="3676"/>
      <c r="BC46" s="3676"/>
      <c r="BD46" s="3676"/>
      <c r="BE46" s="3676"/>
      <c r="BF46" s="2465"/>
      <c r="BI46" s="1822"/>
      <c r="BM46" s="3630"/>
      <c r="BN46" s="3630"/>
      <c r="BO46" s="3630"/>
      <c r="BP46" s="3630"/>
      <c r="BQ46" s="3630"/>
      <c r="BR46" s="3630"/>
      <c r="BS46" s="3630"/>
      <c r="BT46" s="3630"/>
      <c r="BU46" s="3630"/>
      <c r="BV46" s="3630"/>
      <c r="BW46" s="3631"/>
      <c r="BX46" s="3617"/>
      <c r="BY46" s="3618"/>
      <c r="BZ46" s="3618"/>
      <c r="CA46" s="3619"/>
      <c r="CB46" s="3619"/>
      <c r="CF46" s="3618"/>
      <c r="CG46" s="3618"/>
      <c r="CH46" s="3629"/>
      <c r="CI46" s="3629"/>
      <c r="CJ46" s="3629"/>
      <c r="CK46" s="1163"/>
      <c r="CL46" s="1825"/>
      <c r="CM46" s="43"/>
    </row>
    <row r="47" spans="2:91" ht="10.5" customHeight="1">
      <c r="B47" s="1809"/>
      <c r="C47" s="386"/>
      <c r="D47" s="3682" t="str">
        <f>IF('CALCULS Eaux usées'!D65=0,"",'CALCULS Eaux usées'!D65)</f>
        <v/>
      </c>
      <c r="E47" s="3682"/>
      <c r="F47" s="3682"/>
      <c r="G47" s="3682"/>
      <c r="H47" s="3682"/>
      <c r="I47" s="3682"/>
      <c r="J47" s="3682"/>
      <c r="K47" s="3682"/>
      <c r="L47" s="3682"/>
      <c r="M47" s="3682"/>
      <c r="N47" s="3684"/>
      <c r="O47" s="3682" t="str">
        <f>IF('CALCULS Eaux usées'!H65=0,"",'CALCULS Eaux usées'!H65)</f>
        <v/>
      </c>
      <c r="P47" s="3682"/>
      <c r="Q47" s="3682"/>
      <c r="R47" s="3682"/>
      <c r="S47" s="3682"/>
      <c r="T47" s="3682"/>
      <c r="U47" s="3682"/>
      <c r="V47" s="3682"/>
      <c r="W47" s="3682"/>
      <c r="X47" s="3682"/>
      <c r="Y47" s="2467"/>
      <c r="Z47" s="1822"/>
      <c r="AA47" s="1044"/>
      <c r="AC47" s="3681"/>
      <c r="AD47" s="3681"/>
      <c r="AE47" s="3681"/>
      <c r="AF47" s="3681"/>
      <c r="AG47" s="3681"/>
      <c r="AH47" s="3681"/>
      <c r="AI47" s="3681"/>
      <c r="AJ47" s="3681"/>
      <c r="AK47" s="3681"/>
      <c r="AL47" s="3681"/>
      <c r="AM47" s="3681"/>
      <c r="AN47" s="3681"/>
      <c r="AO47" s="3681"/>
      <c r="AP47" s="3681"/>
      <c r="AQ47" s="3681"/>
      <c r="AR47" s="3681"/>
      <c r="AS47" s="3681"/>
      <c r="AT47" s="3681"/>
      <c r="AU47" s="3681"/>
      <c r="AV47" s="3681"/>
      <c r="AW47" s="2463"/>
      <c r="AX47" s="3628"/>
      <c r="AY47" s="2423"/>
      <c r="AZ47" s="1118"/>
      <c r="BA47" s="3677"/>
      <c r="BB47" s="3677"/>
      <c r="BC47" s="3677"/>
      <c r="BD47" s="3677"/>
      <c r="BE47" s="3677"/>
      <c r="BF47" s="580"/>
      <c r="BI47" s="1822"/>
      <c r="BM47" s="3630" t="str">
        <f>IF('CALCULS Eaux usées'!D73=0,"",'CALCULS Eaux usées'!D73)</f>
        <v/>
      </c>
      <c r="BN47" s="3630"/>
      <c r="BO47" s="3630"/>
      <c r="BP47" s="3630"/>
      <c r="BQ47" s="3630"/>
      <c r="BR47" s="3630"/>
      <c r="BS47" s="3630"/>
      <c r="BT47" s="3630"/>
      <c r="BU47" s="3630"/>
      <c r="BV47" s="3630"/>
      <c r="BW47" s="3631"/>
      <c r="BX47" s="3617" t="str">
        <f>'CALCULS Eaux usées'!J88</f>
        <v/>
      </c>
      <c r="BY47" s="3618"/>
      <c r="BZ47" s="3618"/>
      <c r="CA47" s="3619" t="str">
        <f>'CALCULS Eaux usées'!I88</f>
        <v/>
      </c>
      <c r="CB47" s="3619"/>
      <c r="CF47" s="3618" t="str">
        <f>'CALCULS Eaux usées'!L88</f>
        <v/>
      </c>
      <c r="CG47" s="3618"/>
      <c r="CH47" s="3629" t="str">
        <f>'CALCULS Eaux usées'!K88</f>
        <v/>
      </c>
      <c r="CI47" s="3629"/>
      <c r="CJ47" s="3629"/>
      <c r="CK47" s="1163"/>
      <c r="CL47" s="1825"/>
      <c r="CM47" s="43"/>
    </row>
    <row r="48" spans="2:91" ht="21" customHeight="1">
      <c r="B48" s="1809"/>
      <c r="C48" s="386"/>
      <c r="D48" s="3682"/>
      <c r="E48" s="3682"/>
      <c r="F48" s="3682"/>
      <c r="G48" s="3682"/>
      <c r="H48" s="3682"/>
      <c r="I48" s="3682"/>
      <c r="J48" s="3682"/>
      <c r="K48" s="3682"/>
      <c r="L48" s="3682"/>
      <c r="M48" s="3682"/>
      <c r="N48" s="3684"/>
      <c r="O48" s="3682"/>
      <c r="P48" s="3682"/>
      <c r="Q48" s="3682"/>
      <c r="R48" s="3682"/>
      <c r="S48" s="3682"/>
      <c r="T48" s="3682"/>
      <c r="U48" s="3682"/>
      <c r="V48" s="3682"/>
      <c r="W48" s="3682"/>
      <c r="X48" s="3682"/>
      <c r="Y48" s="2467"/>
      <c r="Z48" s="1822"/>
      <c r="AA48" s="1044"/>
      <c r="AC48" s="1038" t="s">
        <v>763</v>
      </c>
      <c r="AD48" s="581"/>
      <c r="AE48" s="582"/>
      <c r="AF48" s="582"/>
      <c r="AG48" s="582"/>
      <c r="AH48" s="582"/>
      <c r="AI48" s="584"/>
      <c r="AJ48" s="584"/>
      <c r="AK48" s="584"/>
      <c r="AL48" s="584"/>
      <c r="AM48" s="584"/>
      <c r="AN48" s="584"/>
      <c r="AO48" s="584"/>
      <c r="AP48" s="584"/>
      <c r="AQ48" s="584"/>
      <c r="AR48" s="584"/>
      <c r="AS48" s="1033"/>
      <c r="AT48" s="1033"/>
      <c r="AU48" s="1033"/>
      <c r="AV48" s="2498"/>
      <c r="AW48" s="1036"/>
      <c r="AX48" s="1120" t="str">
        <f>IF('CALCULS Eaux usées'!J74&gt;0,"P","")</f>
        <v/>
      </c>
      <c r="AY48" s="2422"/>
      <c r="AZ48" s="1119"/>
      <c r="BA48" s="3695" t="str">
        <f>IF('CALCULS Eaux usées'!K74&gt;0,"P","")</f>
        <v/>
      </c>
      <c r="BB48" s="3695"/>
      <c r="BC48" s="3695"/>
      <c r="BD48" s="3695"/>
      <c r="BE48" s="3695"/>
      <c r="BF48" s="584"/>
      <c r="BI48" s="1826"/>
      <c r="BK48" s="76"/>
      <c r="BL48" s="76"/>
      <c r="BM48" s="3630"/>
      <c r="BN48" s="3630"/>
      <c r="BO48" s="3630"/>
      <c r="BP48" s="3630"/>
      <c r="BQ48" s="3630"/>
      <c r="BR48" s="3630"/>
      <c r="BS48" s="3630"/>
      <c r="BT48" s="3630"/>
      <c r="BU48" s="3630"/>
      <c r="BV48" s="3630"/>
      <c r="BW48" s="3631"/>
      <c r="BX48" s="3617"/>
      <c r="BY48" s="3618"/>
      <c r="BZ48" s="3618"/>
      <c r="CA48" s="3619"/>
      <c r="CB48" s="3619"/>
      <c r="CC48" s="72"/>
      <c r="CD48" s="1052"/>
      <c r="CE48" s="1052"/>
      <c r="CF48" s="3618"/>
      <c r="CG48" s="3618"/>
      <c r="CH48" s="3629"/>
      <c r="CI48" s="3629"/>
      <c r="CJ48" s="3629"/>
      <c r="CK48" s="387"/>
      <c r="CL48" s="1825"/>
      <c r="CM48" s="43"/>
    </row>
    <row r="49" spans="2:91" ht="21" customHeight="1">
      <c r="B49" s="1809"/>
      <c r="C49" s="386"/>
      <c r="D49" s="3682" t="str">
        <f>IF('CALCULS Eaux usées'!D66=0,"",'CALCULS Eaux usées'!D66)</f>
        <v/>
      </c>
      <c r="E49" s="3682"/>
      <c r="F49" s="3682"/>
      <c r="G49" s="3682"/>
      <c r="H49" s="3682"/>
      <c r="I49" s="3682"/>
      <c r="J49" s="3682"/>
      <c r="K49" s="3682"/>
      <c r="L49" s="3682"/>
      <c r="M49" s="3682"/>
      <c r="N49" s="3684"/>
      <c r="O49" s="3682" t="str">
        <f>IF('CALCULS Eaux usées'!H66=0,"",'CALCULS Eaux usées'!H66)</f>
        <v/>
      </c>
      <c r="P49" s="3682"/>
      <c r="Q49" s="3682"/>
      <c r="R49" s="3682"/>
      <c r="S49" s="3682"/>
      <c r="T49" s="3682"/>
      <c r="U49" s="3682"/>
      <c r="V49" s="3682"/>
      <c r="W49" s="3682"/>
      <c r="X49" s="3682"/>
      <c r="Y49" s="2453"/>
      <c r="Z49" s="1822"/>
      <c r="AA49" s="1044"/>
      <c r="AC49" s="1038" t="s">
        <v>764</v>
      </c>
      <c r="AD49" s="581"/>
      <c r="AE49" s="582"/>
      <c r="AF49" s="582"/>
      <c r="AG49" s="582"/>
      <c r="AH49" s="582"/>
      <c r="AI49" s="583"/>
      <c r="AJ49" s="583"/>
      <c r="AK49" s="583"/>
      <c r="AL49" s="583"/>
      <c r="AM49" s="583"/>
      <c r="AN49" s="584"/>
      <c r="AO49" s="584"/>
      <c r="AP49" s="584"/>
      <c r="AQ49" s="584"/>
      <c r="AR49" s="584"/>
      <c r="AS49" s="1033"/>
      <c r="AT49" s="1033"/>
      <c r="AU49" s="1033"/>
      <c r="AV49" s="2498"/>
      <c r="AW49" s="1036"/>
      <c r="AX49" s="1120" t="str">
        <f>IF('CALCULS Eaux usées'!J75&gt;0,"P","")</f>
        <v/>
      </c>
      <c r="AY49" s="2422"/>
      <c r="AZ49" s="1119"/>
      <c r="BA49" s="3695" t="str">
        <f>IF('CALCULS Eaux usées'!K75&gt;0,"P","")</f>
        <v/>
      </c>
      <c r="BB49" s="3695"/>
      <c r="BC49" s="3695"/>
      <c r="BD49" s="3695"/>
      <c r="BE49" s="3695"/>
      <c r="BF49" s="583"/>
      <c r="BI49" s="1826"/>
      <c r="BK49" s="76"/>
      <c r="BL49" s="76"/>
      <c r="BM49" s="3630" t="str">
        <f>IF('CALCULS Eaux usées'!D74=0,"",'CALCULS Eaux usées'!D74)</f>
        <v/>
      </c>
      <c r="BN49" s="3630"/>
      <c r="BO49" s="3630"/>
      <c r="BP49" s="3630"/>
      <c r="BQ49" s="3630"/>
      <c r="BR49" s="3630"/>
      <c r="BS49" s="3630"/>
      <c r="BT49" s="3630"/>
      <c r="BU49" s="3630"/>
      <c r="BV49" s="3630"/>
      <c r="BW49" s="3631"/>
      <c r="BX49" s="3617" t="str">
        <f>'CALCULS Eaux usées'!J89</f>
        <v/>
      </c>
      <c r="BY49" s="3618"/>
      <c r="BZ49" s="3618"/>
      <c r="CA49" s="3619" t="str">
        <f>'CALCULS Eaux usées'!I89</f>
        <v/>
      </c>
      <c r="CB49" s="3619"/>
      <c r="CC49" s="72"/>
      <c r="CD49" s="1052"/>
      <c r="CE49" s="1052"/>
      <c r="CF49" s="3618" t="str">
        <f>'CALCULS Eaux usées'!L89</f>
        <v/>
      </c>
      <c r="CG49" s="3618"/>
      <c r="CH49" s="3629" t="str">
        <f>'CALCULS Eaux usées'!K89</f>
        <v/>
      </c>
      <c r="CI49" s="3629"/>
      <c r="CJ49" s="3629"/>
      <c r="CK49" s="387"/>
      <c r="CL49" s="1825"/>
      <c r="CM49" s="43"/>
    </row>
    <row r="50" spans="2:91" ht="17.25" customHeight="1">
      <c r="B50" s="1809"/>
      <c r="C50" s="386"/>
      <c r="D50" s="3682"/>
      <c r="E50" s="3682"/>
      <c r="F50" s="3682"/>
      <c r="G50" s="3682"/>
      <c r="H50" s="3682"/>
      <c r="I50" s="3682"/>
      <c r="J50" s="3682"/>
      <c r="K50" s="3682"/>
      <c r="L50" s="3682"/>
      <c r="M50" s="3682"/>
      <c r="N50" s="3684"/>
      <c r="O50" s="3682"/>
      <c r="P50" s="3682"/>
      <c r="Q50" s="3682"/>
      <c r="R50" s="3682"/>
      <c r="S50" s="3682"/>
      <c r="T50" s="3682"/>
      <c r="U50" s="3682"/>
      <c r="V50" s="3682"/>
      <c r="W50" s="3682"/>
      <c r="X50" s="3682"/>
      <c r="Y50" s="2453"/>
      <c r="Z50" s="1822"/>
      <c r="AA50" s="1044"/>
      <c r="AC50" s="1136" t="s">
        <v>765</v>
      </c>
      <c r="AD50" s="1130"/>
      <c r="AE50" s="1131"/>
      <c r="AF50" s="1131"/>
      <c r="AG50" s="1131"/>
      <c r="AH50" s="1131"/>
      <c r="AI50" s="1131"/>
      <c r="AJ50" s="1131"/>
      <c r="AK50" s="1131"/>
      <c r="AL50" s="1131"/>
      <c r="AM50" s="1131"/>
      <c r="AN50" s="1132"/>
      <c r="AO50" s="1132"/>
      <c r="AP50" s="1132"/>
      <c r="AQ50" s="1132"/>
      <c r="AR50" s="1132"/>
      <c r="AS50" s="1133"/>
      <c r="AT50" s="1133"/>
      <c r="AU50" s="1133"/>
      <c r="AV50" s="2499"/>
      <c r="AW50" s="1134"/>
      <c r="AX50" s="1137" t="str">
        <f>IF('CALCULS Eaux usées'!J76&gt;0,"P","")</f>
        <v/>
      </c>
      <c r="AY50" s="2501"/>
      <c r="AZ50" s="1135"/>
      <c r="BA50" s="3632" t="str">
        <f>IF('CALCULS Eaux usées'!K76&gt;0,"P","")</f>
        <v/>
      </c>
      <c r="BB50" s="3632"/>
      <c r="BC50" s="3632"/>
      <c r="BD50" s="3632"/>
      <c r="BE50" s="3632"/>
      <c r="BF50" s="1131"/>
      <c r="BI50" s="1826"/>
      <c r="BK50" s="76"/>
      <c r="BL50" s="76"/>
      <c r="BM50" s="3630"/>
      <c r="BN50" s="3630"/>
      <c r="BO50" s="3630"/>
      <c r="BP50" s="3630"/>
      <c r="BQ50" s="3630"/>
      <c r="BR50" s="3630"/>
      <c r="BS50" s="3630"/>
      <c r="BT50" s="3630"/>
      <c r="BU50" s="3630"/>
      <c r="BV50" s="3630"/>
      <c r="BW50" s="3631"/>
      <c r="BX50" s="3617"/>
      <c r="BY50" s="3618"/>
      <c r="BZ50" s="3618"/>
      <c r="CA50" s="3619"/>
      <c r="CB50" s="3619"/>
      <c r="CC50" s="72"/>
      <c r="CD50" s="561"/>
      <c r="CE50" s="561"/>
      <c r="CF50" s="3618"/>
      <c r="CG50" s="3618"/>
      <c r="CH50" s="3629"/>
      <c r="CI50" s="3629"/>
      <c r="CJ50" s="3629"/>
      <c r="CK50" s="387"/>
      <c r="CL50" s="1825"/>
      <c r="CM50" s="43"/>
    </row>
    <row r="51" spans="2:91" ht="9" customHeight="1">
      <c r="B51" s="1809"/>
      <c r="C51" s="388"/>
      <c r="D51" s="389"/>
      <c r="E51" s="389"/>
      <c r="F51" s="389"/>
      <c r="G51" s="389"/>
      <c r="H51" s="389"/>
      <c r="I51" s="390"/>
      <c r="J51" s="390"/>
      <c r="K51" s="390"/>
      <c r="L51" s="390"/>
      <c r="M51" s="390"/>
      <c r="N51" s="390"/>
      <c r="O51" s="390"/>
      <c r="P51" s="390"/>
      <c r="Q51" s="390"/>
      <c r="R51" s="390"/>
      <c r="S51" s="390"/>
      <c r="T51" s="390"/>
      <c r="U51" s="390"/>
      <c r="V51" s="390"/>
      <c r="W51" s="157"/>
      <c r="X51" s="390"/>
      <c r="Y51" s="391"/>
      <c r="Z51" s="1831"/>
      <c r="AA51" s="388"/>
      <c r="AB51" s="390"/>
      <c r="AC51" s="157"/>
      <c r="AD51" s="157"/>
      <c r="AE51" s="157"/>
      <c r="AF51" s="157"/>
      <c r="AG51" s="390"/>
      <c r="AH51" s="390"/>
      <c r="AI51" s="390"/>
      <c r="AJ51" s="390"/>
      <c r="AK51" s="390"/>
      <c r="AL51" s="390"/>
      <c r="AM51" s="390"/>
      <c r="AN51" s="390"/>
      <c r="AO51" s="390"/>
      <c r="AP51" s="390"/>
      <c r="AQ51" s="390"/>
      <c r="AR51" s="390"/>
      <c r="AS51" s="390"/>
      <c r="AT51" s="390"/>
      <c r="AU51" s="390"/>
      <c r="AV51" s="390"/>
      <c r="AW51" s="390"/>
      <c r="AX51" s="390"/>
      <c r="AY51" s="390"/>
      <c r="AZ51" s="390"/>
      <c r="BA51" s="156"/>
      <c r="BB51" s="156"/>
      <c r="BC51" s="157"/>
      <c r="BD51" s="157"/>
      <c r="BE51" s="390"/>
      <c r="BF51" s="156"/>
      <c r="BG51" s="157"/>
      <c r="BH51" s="157"/>
      <c r="BI51" s="1822"/>
      <c r="BJ51" s="157"/>
      <c r="BK51" s="157"/>
      <c r="BL51" s="390"/>
      <c r="BM51" s="390"/>
      <c r="BN51" s="390"/>
      <c r="BO51" s="390"/>
      <c r="BP51" s="390"/>
      <c r="BQ51" s="390"/>
      <c r="BR51" s="390"/>
      <c r="BS51" s="390"/>
      <c r="BT51" s="390"/>
      <c r="BU51" s="390"/>
      <c r="BV51" s="390"/>
      <c r="BW51" s="390"/>
      <c r="BX51" s="390"/>
      <c r="BY51" s="390"/>
      <c r="BZ51" s="390"/>
      <c r="CA51" s="390"/>
      <c r="CB51" s="390"/>
      <c r="CC51" s="390"/>
      <c r="CD51" s="390"/>
      <c r="CE51" s="390"/>
      <c r="CF51" s="390"/>
      <c r="CG51" s="390"/>
      <c r="CH51" s="390"/>
      <c r="CI51" s="390"/>
      <c r="CJ51" s="390"/>
      <c r="CK51" s="391"/>
      <c r="CL51" s="1825"/>
      <c r="CM51" s="43"/>
    </row>
    <row r="52" spans="2:91" ht="12.75" customHeight="1">
      <c r="B52" s="1812"/>
      <c r="C52" s="1820"/>
      <c r="D52" s="1820"/>
      <c r="E52" s="1820"/>
      <c r="F52" s="1820"/>
      <c r="G52" s="1820"/>
      <c r="H52" s="1820"/>
      <c r="I52" s="1820"/>
      <c r="J52" s="1820"/>
      <c r="K52" s="1820"/>
      <c r="L52" s="1820"/>
      <c r="M52" s="1820"/>
      <c r="N52" s="1820"/>
      <c r="O52" s="1820"/>
      <c r="P52" s="1820"/>
      <c r="Q52" s="1820"/>
      <c r="R52" s="1820"/>
      <c r="S52" s="1820"/>
      <c r="T52" s="1820"/>
      <c r="U52" s="1820"/>
      <c r="V52" s="1820"/>
      <c r="W52" s="1820"/>
      <c r="X52" s="1827"/>
      <c r="Y52" s="1827"/>
      <c r="Z52" s="1827"/>
      <c r="AA52" s="1827"/>
      <c r="AB52" s="1827"/>
      <c r="AC52" s="1827"/>
      <c r="AD52" s="1827"/>
      <c r="AE52" s="1827"/>
      <c r="AF52" s="1827"/>
      <c r="AG52" s="1827"/>
      <c r="AH52" s="1827"/>
      <c r="AI52" s="1827"/>
      <c r="AJ52" s="1827"/>
      <c r="AK52" s="1827"/>
      <c r="AL52" s="1827"/>
      <c r="AM52" s="1827"/>
      <c r="AN52" s="1827"/>
      <c r="AO52" s="1827"/>
      <c r="AP52" s="1827"/>
      <c r="AQ52" s="1827"/>
      <c r="AR52" s="1827"/>
      <c r="AS52" s="1827"/>
      <c r="AT52" s="1827"/>
      <c r="AU52" s="1827"/>
      <c r="AV52" s="1827"/>
      <c r="AW52" s="1827"/>
      <c r="AX52" s="1827"/>
      <c r="AY52" s="1827"/>
      <c r="AZ52" s="1827"/>
      <c r="BA52" s="1827"/>
      <c r="BB52" s="1827"/>
      <c r="BC52" s="1827"/>
      <c r="BD52" s="1827"/>
      <c r="BE52" s="1827"/>
      <c r="BF52" s="1827"/>
      <c r="BG52" s="1827"/>
      <c r="BH52" s="1827"/>
      <c r="BI52" s="1827"/>
      <c r="BJ52" s="1820"/>
      <c r="BK52" s="1820"/>
      <c r="BL52" s="1820"/>
      <c r="BM52" s="1820"/>
      <c r="BN52" s="1820"/>
      <c r="BO52" s="1820"/>
      <c r="BP52" s="1820"/>
      <c r="BQ52" s="1820"/>
      <c r="BR52" s="1820"/>
      <c r="BS52" s="1820"/>
      <c r="BT52" s="1820"/>
      <c r="BU52" s="1820"/>
      <c r="BV52" s="1820"/>
      <c r="BW52" s="1820"/>
      <c r="BX52" s="1820"/>
      <c r="BY52" s="1820"/>
      <c r="BZ52" s="1820"/>
      <c r="CA52" s="1820"/>
      <c r="CB52" s="1820"/>
      <c r="CC52" s="1820"/>
      <c r="CD52" s="1820"/>
      <c r="CE52" s="1820"/>
      <c r="CF52" s="1820"/>
      <c r="CG52" s="1820"/>
      <c r="CH52" s="1820"/>
      <c r="CI52" s="1820"/>
      <c r="CJ52" s="1820"/>
      <c r="CK52" s="1820"/>
      <c r="CL52" s="1821"/>
      <c r="CM52" s="43"/>
    </row>
    <row r="53" spans="2:91" ht="15.75" customHeight="1">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c r="CA53" s="59"/>
      <c r="CB53" s="59"/>
      <c r="CC53" s="59"/>
      <c r="CD53" s="59"/>
      <c r="CE53" s="59"/>
      <c r="CF53" s="59"/>
      <c r="CG53" s="59"/>
      <c r="CH53" s="59"/>
      <c r="CI53" s="59"/>
      <c r="CJ53" s="59"/>
      <c r="CK53" s="59"/>
      <c r="CL53" s="59"/>
      <c r="CM53" s="59"/>
    </row>
    <row r="54" spans="2:91" ht="22.5" customHeight="1">
      <c r="B54" s="1702"/>
      <c r="C54" s="1703" t="s">
        <v>89</v>
      </c>
      <c r="D54" s="1704"/>
      <c r="E54" s="1704"/>
      <c r="F54" s="1704"/>
      <c r="G54" s="1704"/>
      <c r="H54" s="1704"/>
      <c r="I54" s="1704"/>
      <c r="J54" s="1704"/>
      <c r="K54" s="1704"/>
      <c r="L54" s="1704"/>
      <c r="M54" s="1704"/>
      <c r="N54" s="1704"/>
      <c r="O54" s="1704"/>
      <c r="P54" s="1704"/>
      <c r="Q54" s="1704"/>
      <c r="R54" s="1704"/>
      <c r="S54" s="1704"/>
      <c r="T54" s="1704"/>
      <c r="U54" s="1704"/>
      <c r="V54" s="1704"/>
      <c r="W54" s="1704"/>
      <c r="X54" s="1706"/>
      <c r="Y54" s="3714"/>
      <c r="Z54" s="3714"/>
      <c r="AA54" s="3714"/>
      <c r="AB54" s="3714"/>
      <c r="AC54" s="1704"/>
      <c r="AD54" s="1717"/>
      <c r="AE54" s="1704"/>
      <c r="AF54" s="1704"/>
      <c r="AG54" s="1704"/>
      <c r="AH54" s="1704"/>
      <c r="AI54" s="1704"/>
      <c r="AJ54" s="1717"/>
      <c r="AK54" s="1704"/>
      <c r="AL54" s="1704"/>
      <c r="AM54" s="1704"/>
      <c r="AN54" s="1704"/>
      <c r="AO54" s="1704"/>
      <c r="AP54" s="1704"/>
      <c r="AQ54" s="1704"/>
      <c r="AR54" s="1704"/>
      <c r="AS54" s="55"/>
      <c r="AT54" s="1704"/>
      <c r="AU54" s="1718" t="s">
        <v>507</v>
      </c>
      <c r="AV54" s="1719"/>
      <c r="AW54" s="1719"/>
      <c r="AX54" s="1706"/>
      <c r="AY54" s="1706"/>
      <c r="AZ54" s="1706"/>
      <c r="BA54" s="3714"/>
      <c r="BB54" s="3714"/>
      <c r="BC54" s="3714"/>
      <c r="BD54" s="3714"/>
      <c r="BE54" s="3714"/>
      <c r="BF54" s="3714"/>
      <c r="BG54" s="3714"/>
      <c r="BH54" s="3714"/>
      <c r="BI54" s="3714"/>
      <c r="BJ54" s="3714"/>
      <c r="BK54" s="3714"/>
      <c r="BL54" s="3714"/>
      <c r="BM54" s="3714"/>
      <c r="BN54" s="3714"/>
      <c r="BO54" s="3714"/>
      <c r="BP54" s="1704"/>
      <c r="BQ54" s="1704"/>
      <c r="BR54" s="1704"/>
      <c r="BS54" s="1704"/>
      <c r="BT54" s="1704"/>
      <c r="BU54" s="1704"/>
      <c r="BV54" s="1704"/>
      <c r="BW54" s="1704"/>
      <c r="BX54" s="1704"/>
      <c r="BY54" s="1704"/>
      <c r="BZ54" s="1704"/>
      <c r="CA54" s="1704"/>
      <c r="CB54" s="1704"/>
      <c r="CC54" s="1704"/>
      <c r="CD54" s="1704"/>
      <c r="CE54" s="1704"/>
      <c r="CF54" s="1704"/>
      <c r="CG54" s="1704"/>
      <c r="CH54" s="1706"/>
      <c r="CI54" s="1702"/>
      <c r="CJ54" s="3713"/>
      <c r="CK54" s="3713"/>
      <c r="CL54" s="1704"/>
    </row>
    <row r="55" spans="2:91" ht="6.75" customHeight="1"/>
    <row r="56" spans="2:91" ht="14.25" customHeight="1">
      <c r="B56" s="1811"/>
      <c r="C56" s="1813"/>
      <c r="D56" s="1813"/>
      <c r="E56" s="1813"/>
      <c r="F56" s="1813"/>
      <c r="G56" s="1813"/>
      <c r="H56" s="1813"/>
      <c r="I56" s="1813"/>
      <c r="J56" s="1813"/>
      <c r="K56" s="1813"/>
      <c r="L56" s="1813"/>
      <c r="M56" s="1813"/>
      <c r="N56" s="1813"/>
      <c r="O56" s="1813"/>
      <c r="P56" s="1813"/>
      <c r="Q56" s="1813"/>
      <c r="R56" s="1813"/>
      <c r="S56" s="1813"/>
      <c r="T56" s="1813"/>
      <c r="U56" s="1813"/>
      <c r="V56" s="1813"/>
      <c r="W56" s="1813"/>
      <c r="X56" s="1813"/>
      <c r="Y56" s="1813"/>
      <c r="Z56" s="1813"/>
      <c r="AA56" s="1813"/>
      <c r="AB56" s="1813"/>
      <c r="AC56" s="1813"/>
      <c r="AD56" s="1813"/>
      <c r="AE56" s="1813"/>
      <c r="AF56" s="1813"/>
      <c r="AG56" s="1813"/>
      <c r="AH56" s="1813"/>
      <c r="AI56" s="1813"/>
      <c r="AJ56" s="1813"/>
      <c r="AK56" s="1832"/>
      <c r="AL56" s="1832"/>
      <c r="AM56" s="1832"/>
      <c r="AN56" s="1832"/>
      <c r="AO56" s="1832"/>
      <c r="AP56" s="1832"/>
      <c r="AQ56" s="1832"/>
      <c r="AR56" s="1832"/>
      <c r="AS56" s="110"/>
      <c r="AT56" s="1832"/>
      <c r="AU56" s="1832"/>
      <c r="AV56" s="1832"/>
      <c r="AW56" s="1832"/>
      <c r="AX56" s="1832"/>
      <c r="AY56" s="1832"/>
      <c r="AZ56" s="1832"/>
      <c r="BA56" s="1832"/>
      <c r="BB56" s="1832"/>
      <c r="BC56" s="1832"/>
      <c r="BD56" s="1832"/>
      <c r="BE56" s="1832"/>
      <c r="BF56" s="1832"/>
      <c r="BG56" s="1832"/>
      <c r="BH56" s="1813"/>
      <c r="BI56" s="1813"/>
      <c r="BJ56" s="1813"/>
      <c r="BK56" s="1813"/>
      <c r="BL56" s="1813"/>
      <c r="BM56" s="1813"/>
      <c r="BN56" s="1813"/>
      <c r="BO56" s="1813"/>
      <c r="BP56" s="1813"/>
      <c r="BQ56" s="1813"/>
      <c r="BR56" s="1813"/>
      <c r="BS56" s="1813"/>
      <c r="BT56" s="1813"/>
      <c r="BU56" s="1813"/>
      <c r="BV56" s="1813"/>
      <c r="BW56" s="1813"/>
      <c r="BX56" s="1813"/>
      <c r="BY56" s="1813"/>
      <c r="BZ56" s="1813"/>
      <c r="CA56" s="1813"/>
      <c r="CB56" s="1813"/>
      <c r="CC56" s="1813"/>
      <c r="CD56" s="1813"/>
      <c r="CE56" s="1813"/>
      <c r="CF56" s="1813"/>
      <c r="CG56" s="1813"/>
      <c r="CH56" s="1813"/>
      <c r="CI56" s="1813"/>
      <c r="CJ56" s="1813"/>
      <c r="CK56" s="1813"/>
      <c r="CL56" s="1814"/>
      <c r="CM56" s="43"/>
    </row>
    <row r="57" spans="2:91" ht="9.75" customHeight="1">
      <c r="B57" s="1809"/>
      <c r="C57" s="45"/>
      <c r="D57" s="46"/>
      <c r="E57" s="46"/>
      <c r="F57" s="46"/>
      <c r="G57" s="46"/>
      <c r="H57" s="46"/>
      <c r="I57" s="46"/>
      <c r="J57" s="46"/>
      <c r="K57" s="46"/>
      <c r="L57" s="46"/>
      <c r="M57" s="46"/>
      <c r="N57" s="46"/>
      <c r="O57" s="46"/>
      <c r="P57" s="46"/>
      <c r="Q57" s="46"/>
      <c r="R57" s="46"/>
      <c r="S57" s="46"/>
      <c r="T57" s="46"/>
      <c r="U57" s="46"/>
      <c r="V57" s="46"/>
      <c r="W57" s="46"/>
      <c r="X57" s="46"/>
      <c r="Y57" s="111"/>
      <c r="Z57" s="111"/>
      <c r="AA57" s="111"/>
      <c r="AB57" s="111"/>
      <c r="AC57" s="111"/>
      <c r="AD57" s="111"/>
      <c r="AE57" s="111"/>
      <c r="AF57" s="111"/>
      <c r="AG57" s="111"/>
      <c r="AH57" s="111"/>
      <c r="AI57" s="111"/>
      <c r="AJ57" s="111"/>
      <c r="AK57" s="111"/>
      <c r="AL57" s="111"/>
      <c r="AM57" s="111"/>
      <c r="AN57" s="111"/>
      <c r="AO57" s="111"/>
      <c r="AP57" s="111"/>
      <c r="AQ57" s="112"/>
      <c r="AR57" s="1833"/>
      <c r="AS57" s="110"/>
      <c r="AT57" s="1833"/>
      <c r="AU57" s="113"/>
      <c r="AV57" s="111"/>
      <c r="AW57" s="111"/>
      <c r="AX57" s="111"/>
      <c r="AY57" s="111"/>
      <c r="AZ57" s="111"/>
      <c r="BA57" s="111"/>
      <c r="BB57" s="111"/>
      <c r="BC57" s="111"/>
      <c r="BD57" s="111"/>
      <c r="BE57" s="111"/>
      <c r="BF57" s="111"/>
      <c r="BG57" s="111"/>
      <c r="BH57" s="111"/>
      <c r="BI57" s="111"/>
      <c r="BJ57" s="46"/>
      <c r="BK57" s="46"/>
      <c r="BL57" s="46"/>
      <c r="BM57" s="46"/>
      <c r="BN57" s="46"/>
      <c r="BO57" s="46"/>
      <c r="BP57" s="46"/>
      <c r="BQ57" s="46"/>
      <c r="BR57" s="46"/>
      <c r="BS57" s="46"/>
      <c r="BT57" s="46"/>
      <c r="BU57" s="46"/>
      <c r="BV57" s="46"/>
      <c r="BW57" s="46"/>
      <c r="BX57" s="46"/>
      <c r="BY57" s="46"/>
      <c r="BZ57" s="46"/>
      <c r="CA57" s="46"/>
      <c r="CB57" s="46"/>
      <c r="CC57" s="46"/>
      <c r="CD57" s="46"/>
      <c r="CE57" s="46"/>
      <c r="CF57" s="46"/>
      <c r="CG57" s="46"/>
      <c r="CH57" s="46"/>
      <c r="CI57" s="46"/>
      <c r="CJ57" s="46"/>
      <c r="CK57" s="47"/>
      <c r="CL57" s="1825"/>
      <c r="CM57" s="43"/>
    </row>
    <row r="58" spans="2:91" ht="18" customHeight="1">
      <c r="B58" s="1809"/>
      <c r="C58" s="101"/>
      <c r="D58" s="51" t="s">
        <v>766</v>
      </c>
      <c r="E58" s="51"/>
      <c r="F58" s="51"/>
      <c r="G58" s="51"/>
      <c r="H58" s="51"/>
      <c r="I58" s="59"/>
      <c r="J58" s="59"/>
      <c r="K58" s="59"/>
      <c r="L58" s="59"/>
      <c r="M58" s="59"/>
      <c r="N58" s="59"/>
      <c r="O58" s="59"/>
      <c r="P58" s="59"/>
      <c r="Q58" s="59"/>
      <c r="R58" s="59"/>
      <c r="S58" s="59"/>
      <c r="T58" s="59"/>
      <c r="U58" s="59"/>
      <c r="V58" s="59"/>
      <c r="W58" s="59"/>
      <c r="X58" s="59"/>
      <c r="Y58" s="59"/>
      <c r="Z58" s="59"/>
      <c r="AA58" s="59"/>
      <c r="AB58" s="59"/>
      <c r="AC58" s="59"/>
      <c r="AD58" s="55"/>
      <c r="AE58" s="59"/>
      <c r="AF58" s="57"/>
      <c r="AG58" s="59"/>
      <c r="AH58" s="59"/>
      <c r="AI58" s="59"/>
      <c r="AJ58" s="59"/>
      <c r="AK58" s="59"/>
      <c r="AL58" s="59"/>
      <c r="AM58" s="59"/>
      <c r="AN58" s="3620">
        <f>'CALCULS Eaux usées'!L125</f>
        <v>0</v>
      </c>
      <c r="AO58" s="3620"/>
      <c r="AP58" s="3620"/>
      <c r="AQ58" s="114"/>
      <c r="AR58" s="1833"/>
      <c r="AS58" s="110"/>
      <c r="AT58" s="1833"/>
      <c r="AU58" s="115"/>
      <c r="AV58" s="102" t="s">
        <v>767</v>
      </c>
      <c r="AW58" s="102"/>
      <c r="BA58" s="59"/>
      <c r="BB58" s="59"/>
      <c r="BC58" s="59"/>
      <c r="BD58" s="59"/>
      <c r="BE58" s="59"/>
      <c r="BF58" s="59"/>
      <c r="BG58" s="55"/>
      <c r="BH58" s="59"/>
      <c r="BI58" s="57"/>
      <c r="BJ58" s="59"/>
      <c r="BL58" s="59"/>
      <c r="BN58" s="59"/>
      <c r="BO58" s="59"/>
      <c r="BP58" s="59"/>
      <c r="BQ58" s="59"/>
      <c r="BR58" s="59"/>
      <c r="BS58" s="59"/>
      <c r="BT58" s="59"/>
      <c r="BU58" s="59"/>
      <c r="BV58" s="59"/>
      <c r="BW58" s="59"/>
      <c r="BX58" s="59"/>
      <c r="BY58" s="59"/>
      <c r="BZ58" s="59"/>
      <c r="CA58" s="59"/>
      <c r="CB58" s="59"/>
      <c r="CC58" s="59"/>
      <c r="CD58" s="59"/>
      <c r="CE58" s="59"/>
      <c r="CF58" s="59"/>
      <c r="CG58" s="59"/>
      <c r="CH58" s="3620">
        <f>'CALCULS Eaux usées'!L112</f>
        <v>0</v>
      </c>
      <c r="CI58" s="3620"/>
      <c r="CJ58" s="3620"/>
      <c r="CK58" s="61"/>
      <c r="CL58" s="1825"/>
      <c r="CM58" s="43"/>
    </row>
    <row r="59" spans="2:91" ht="7.5" customHeight="1">
      <c r="B59" s="1809"/>
      <c r="C59" s="50"/>
      <c r="D59" s="52"/>
      <c r="E59" s="52"/>
      <c r="F59" s="52"/>
      <c r="G59" s="52"/>
      <c r="H59" s="52"/>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114"/>
      <c r="AR59" s="1833"/>
      <c r="AS59" s="110"/>
      <c r="AT59" s="1833"/>
      <c r="AU59" s="115"/>
      <c r="AV59" s="59"/>
      <c r="AW59" s="59"/>
      <c r="AX59" s="59"/>
      <c r="AY59" s="59"/>
      <c r="AZ59" s="59"/>
      <c r="BA59" s="59"/>
      <c r="BB59" s="59"/>
      <c r="BC59" s="59"/>
      <c r="BD59" s="59"/>
      <c r="BE59" s="59"/>
      <c r="BF59" s="59"/>
      <c r="BG59" s="59"/>
      <c r="BH59" s="59"/>
      <c r="BI59" s="59"/>
      <c r="BJ59" s="59"/>
      <c r="BK59" s="59"/>
      <c r="BL59" s="59"/>
      <c r="BM59" s="59"/>
      <c r="BN59" s="59"/>
      <c r="BO59" s="59"/>
      <c r="BP59" s="59"/>
      <c r="BQ59" s="59"/>
      <c r="BR59" s="59"/>
      <c r="BS59" s="59"/>
      <c r="BT59" s="59"/>
      <c r="BU59" s="59"/>
      <c r="BV59" s="59"/>
      <c r="BW59" s="59"/>
      <c r="BX59" s="59"/>
      <c r="BY59" s="59"/>
      <c r="BZ59" s="59"/>
      <c r="CA59" s="59"/>
      <c r="CB59" s="59"/>
      <c r="CC59" s="59"/>
      <c r="CD59" s="59"/>
      <c r="CE59" s="59"/>
      <c r="CF59" s="59"/>
      <c r="CG59" s="59"/>
      <c r="CH59" s="59"/>
      <c r="CI59" s="59"/>
      <c r="CJ59" s="59"/>
      <c r="CK59" s="61"/>
      <c r="CL59" s="1825"/>
      <c r="CM59" s="43"/>
    </row>
    <row r="60" spans="2:91" ht="6" customHeight="1">
      <c r="B60" s="1809"/>
      <c r="C60" s="50"/>
      <c r="D60" s="52"/>
      <c r="E60" s="52"/>
      <c r="F60" s="52"/>
      <c r="G60" s="2539"/>
      <c r="H60" s="52"/>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114"/>
      <c r="AR60" s="1833"/>
      <c r="AS60" s="110"/>
      <c r="AT60" s="1833"/>
      <c r="AU60" s="115"/>
      <c r="AV60" s="59"/>
      <c r="AW60" s="59"/>
      <c r="AX60" s="59"/>
      <c r="AY60" s="59"/>
      <c r="AZ60" s="59"/>
      <c r="BA60" s="1460"/>
      <c r="BB60" s="59"/>
      <c r="BC60" s="59"/>
      <c r="BD60" s="59"/>
      <c r="BE60" s="59"/>
      <c r="BF60" s="59"/>
      <c r="BG60" s="59"/>
      <c r="BH60" s="59"/>
      <c r="BI60" s="59"/>
      <c r="BJ60" s="59"/>
      <c r="BK60" s="59"/>
      <c r="BL60" s="59"/>
      <c r="BM60" s="59"/>
      <c r="BN60" s="59"/>
      <c r="BO60" s="59"/>
      <c r="BP60" s="59"/>
      <c r="BQ60" s="59"/>
      <c r="BR60" s="59"/>
      <c r="BS60" s="59"/>
      <c r="BT60" s="59"/>
      <c r="BU60" s="59"/>
      <c r="BV60" s="59"/>
      <c r="BW60" s="59"/>
      <c r="BX60" s="59"/>
      <c r="BY60" s="59"/>
      <c r="BZ60" s="59"/>
      <c r="CA60" s="59"/>
      <c r="CB60" s="59"/>
      <c r="CC60" s="59"/>
      <c r="CD60" s="59"/>
      <c r="CE60" s="59"/>
      <c r="CF60" s="59"/>
      <c r="CG60" s="59"/>
      <c r="CH60" s="59"/>
      <c r="CI60" s="59"/>
      <c r="CJ60" s="59"/>
      <c r="CK60" s="61"/>
      <c r="CL60" s="1825"/>
      <c r="CM60" s="43"/>
    </row>
    <row r="61" spans="2:91" ht="10.5" customHeight="1">
      <c r="B61" s="1809"/>
      <c r="C61" s="50"/>
      <c r="D61" s="52"/>
      <c r="E61" s="52"/>
      <c r="F61" s="52"/>
      <c r="G61" s="2535" t="str">
        <f>'CALCULS Eaux usées'!D123</f>
        <v>Actifs critiques</v>
      </c>
      <c r="H61" s="2536"/>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114"/>
      <c r="AR61" s="1833"/>
      <c r="AS61" s="110"/>
      <c r="AT61" s="1833"/>
      <c r="AU61" s="115"/>
      <c r="AV61" s="59"/>
      <c r="AW61" s="59"/>
      <c r="AX61" s="59"/>
      <c r="AY61" s="59"/>
      <c r="AZ61" s="2535" t="str">
        <f>'CALCULS Eaux usées'!D105</f>
        <v>Démographiques</v>
      </c>
      <c r="BA61" s="122"/>
      <c r="BB61" s="59"/>
      <c r="BC61" s="59"/>
      <c r="BD61" s="59"/>
      <c r="BE61" s="59"/>
      <c r="BF61" s="59"/>
      <c r="BG61" s="59"/>
      <c r="BH61" s="59"/>
      <c r="BI61" s="59"/>
      <c r="BJ61" s="59"/>
      <c r="BK61" s="59"/>
      <c r="BL61" s="59"/>
      <c r="BM61" s="59"/>
      <c r="BN61" s="55"/>
      <c r="BO61" s="59"/>
      <c r="BP61" s="59"/>
      <c r="BQ61" s="59"/>
      <c r="BR61" s="59"/>
      <c r="BS61" s="59"/>
      <c r="BT61" s="59"/>
      <c r="BU61" s="59"/>
      <c r="BV61" s="59"/>
      <c r="BW61" s="59"/>
      <c r="BX61" s="59"/>
      <c r="BY61" s="55"/>
      <c r="BZ61" s="59"/>
      <c r="CA61" s="59"/>
      <c r="CB61" s="59"/>
      <c r="CC61" s="59"/>
      <c r="CD61" s="59"/>
      <c r="CE61" s="59"/>
      <c r="CF61" s="59"/>
      <c r="CG61" s="59"/>
      <c r="CH61" s="59"/>
      <c r="CI61" s="59"/>
      <c r="CJ61" s="59"/>
      <c r="CK61" s="61"/>
      <c r="CL61" s="1825"/>
      <c r="CM61" s="43"/>
    </row>
    <row r="62" spans="2:91" ht="6" customHeight="1">
      <c r="B62" s="1809"/>
      <c r="C62" s="50"/>
      <c r="D62" s="52"/>
      <c r="E62" s="52"/>
      <c r="F62" s="52"/>
      <c r="G62" s="52"/>
      <c r="H62" s="2536"/>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114"/>
      <c r="AR62" s="1833"/>
      <c r="AS62" s="110"/>
      <c r="AT62" s="1833"/>
      <c r="AU62" s="115"/>
      <c r="AV62" s="59"/>
      <c r="AW62" s="59"/>
      <c r="AX62" s="59"/>
      <c r="AY62" s="59"/>
      <c r="AZ62" s="52"/>
      <c r="BA62" s="122"/>
      <c r="BB62" s="59"/>
      <c r="BC62" s="59"/>
      <c r="BD62" s="59"/>
      <c r="BE62" s="59"/>
      <c r="BF62" s="59"/>
      <c r="BG62" s="59"/>
      <c r="BH62" s="59"/>
      <c r="BI62" s="59"/>
      <c r="BJ62" s="59"/>
      <c r="BK62" s="59"/>
      <c r="BL62" s="59"/>
      <c r="BM62" s="59"/>
      <c r="BN62" s="55"/>
      <c r="BO62" s="59"/>
      <c r="BP62" s="59"/>
      <c r="BQ62" s="59"/>
      <c r="BR62" s="59"/>
      <c r="BS62" s="59"/>
      <c r="BT62" s="59"/>
      <c r="BU62" s="59"/>
      <c r="BV62" s="59"/>
      <c r="BW62" s="59"/>
      <c r="BX62" s="59"/>
      <c r="BY62" s="55"/>
      <c r="BZ62" s="59"/>
      <c r="CA62" s="59"/>
      <c r="CB62" s="59"/>
      <c r="CC62" s="59"/>
      <c r="CD62" s="59"/>
      <c r="CE62" s="59"/>
      <c r="CF62" s="59"/>
      <c r="CG62" s="59"/>
      <c r="CH62" s="59"/>
      <c r="CI62" s="59"/>
      <c r="CJ62" s="59"/>
      <c r="CK62" s="61"/>
      <c r="CL62" s="1825"/>
      <c r="CM62" s="43"/>
    </row>
    <row r="63" spans="2:91" ht="10.5" customHeight="1">
      <c r="B63" s="1809"/>
      <c r="C63" s="50"/>
      <c r="D63" s="52"/>
      <c r="E63" s="52"/>
      <c r="F63" s="52"/>
      <c r="G63" s="2535" t="str">
        <f>'CALCULS Eaux usées'!D122</f>
        <v>Dotation de personnel</v>
      </c>
      <c r="H63" s="2536"/>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114"/>
      <c r="AR63" s="1833"/>
      <c r="AS63" s="110"/>
      <c r="AT63" s="1833"/>
      <c r="AU63" s="115"/>
      <c r="AV63" s="59"/>
      <c r="AW63" s="59"/>
      <c r="AX63" s="59"/>
      <c r="AY63" s="59"/>
      <c r="AZ63" s="2535" t="str">
        <f>'CALCULS Eaux usées'!D106</f>
        <v>Climatiques</v>
      </c>
      <c r="BA63" s="122"/>
      <c r="BB63" s="59"/>
      <c r="BC63" s="59"/>
      <c r="BD63" s="59"/>
      <c r="BE63" s="59"/>
      <c r="BF63" s="59"/>
      <c r="BG63" s="59"/>
      <c r="BH63" s="59"/>
      <c r="BI63" s="59"/>
      <c r="BJ63" s="59"/>
      <c r="BK63" s="59"/>
      <c r="BL63" s="59"/>
      <c r="BM63" s="59"/>
      <c r="BN63" s="55"/>
      <c r="BO63" s="59"/>
      <c r="BP63" s="59"/>
      <c r="BQ63" s="59"/>
      <c r="BR63" s="59"/>
      <c r="BS63" s="59"/>
      <c r="BT63" s="59"/>
      <c r="BU63" s="59"/>
      <c r="BV63" s="59"/>
      <c r="BW63" s="59"/>
      <c r="BX63" s="59"/>
      <c r="BY63" s="55"/>
      <c r="BZ63" s="59"/>
      <c r="CA63" s="59"/>
      <c r="CB63" s="59"/>
      <c r="CC63" s="59"/>
      <c r="CD63" s="59"/>
      <c r="CE63" s="59"/>
      <c r="CF63" s="59"/>
      <c r="CG63" s="59"/>
      <c r="CH63" s="59"/>
      <c r="CI63" s="59"/>
      <c r="CJ63" s="59"/>
      <c r="CK63" s="61"/>
      <c r="CL63" s="1825"/>
      <c r="CM63" s="43"/>
    </row>
    <row r="64" spans="2:91" ht="6" customHeight="1">
      <c r="B64" s="1809"/>
      <c r="C64" s="50"/>
      <c r="D64" s="52"/>
      <c r="E64" s="52"/>
      <c r="F64" s="52"/>
      <c r="G64" s="52"/>
      <c r="H64" s="2536"/>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114"/>
      <c r="AR64" s="1833"/>
      <c r="AS64" s="110"/>
      <c r="AT64" s="1833"/>
      <c r="AU64" s="115"/>
      <c r="AV64" s="59"/>
      <c r="AW64" s="59"/>
      <c r="AX64" s="59"/>
      <c r="AY64" s="59"/>
      <c r="AZ64" s="52"/>
      <c r="BA64" s="122"/>
      <c r="BB64" s="59"/>
      <c r="BC64" s="59"/>
      <c r="BD64" s="59"/>
      <c r="BE64" s="59"/>
      <c r="BF64" s="59"/>
      <c r="BG64" s="59"/>
      <c r="BH64" s="59"/>
      <c r="BI64" s="59"/>
      <c r="BJ64" s="59"/>
      <c r="BK64" s="59"/>
      <c r="BL64" s="59"/>
      <c r="BM64" s="59"/>
      <c r="BN64" s="55"/>
      <c r="BO64" s="59"/>
      <c r="BP64" s="59"/>
      <c r="BQ64" s="59"/>
      <c r="BR64" s="59"/>
      <c r="BS64" s="59"/>
      <c r="BT64" s="59"/>
      <c r="BU64" s="59"/>
      <c r="BV64" s="59"/>
      <c r="BW64" s="59"/>
      <c r="BX64" s="59"/>
      <c r="BY64" s="55"/>
      <c r="BZ64" s="59"/>
      <c r="CA64" s="59"/>
      <c r="CB64" s="59"/>
      <c r="CC64" s="59"/>
      <c r="CD64" s="59"/>
      <c r="CE64" s="59"/>
      <c r="CF64" s="59"/>
      <c r="CG64" s="59"/>
      <c r="CH64" s="59"/>
      <c r="CI64" s="59"/>
      <c r="CJ64" s="59"/>
      <c r="CK64" s="61"/>
      <c r="CL64" s="1825"/>
      <c r="CM64" s="43"/>
    </row>
    <row r="65" spans="2:91" ht="10.5" customHeight="1">
      <c r="B65" s="1809"/>
      <c r="C65" s="50"/>
      <c r="D65" s="52"/>
      <c r="E65" s="52"/>
      <c r="F65" s="52"/>
      <c r="G65" s="2535" t="str">
        <f>'CALCULS Eaux usées'!D121</f>
        <v>Sous-financement</v>
      </c>
      <c r="H65" s="2536"/>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114"/>
      <c r="AR65" s="1833"/>
      <c r="AS65" s="110"/>
      <c r="AT65" s="1833"/>
      <c r="AU65" s="115"/>
      <c r="AV65" s="59"/>
      <c r="AW65" s="59"/>
      <c r="AX65" s="59"/>
      <c r="AY65" s="59"/>
      <c r="AZ65" s="2535" t="str">
        <f>'CALCULS Eaux usées'!D107</f>
        <v>Cadre légal et règlementaire</v>
      </c>
      <c r="BA65" s="122"/>
      <c r="BB65" s="59"/>
      <c r="BC65" s="59"/>
      <c r="BD65" s="59"/>
      <c r="BE65" s="59"/>
      <c r="BF65" s="59"/>
      <c r="BG65" s="59"/>
      <c r="BH65" s="59"/>
      <c r="BI65" s="59"/>
      <c r="BJ65" s="59"/>
      <c r="BK65" s="59"/>
      <c r="BL65" s="59"/>
      <c r="BM65" s="59"/>
      <c r="BN65" s="55"/>
      <c r="BO65" s="59"/>
      <c r="BP65" s="59"/>
      <c r="BQ65" s="59"/>
      <c r="BR65" s="59"/>
      <c r="BS65" s="59"/>
      <c r="BT65" s="59"/>
      <c r="BU65" s="59"/>
      <c r="BV65" s="59"/>
      <c r="BW65" s="59"/>
      <c r="BX65" s="59"/>
      <c r="BY65" s="55"/>
      <c r="BZ65" s="59"/>
      <c r="CA65" s="59"/>
      <c r="CB65" s="59"/>
      <c r="CC65" s="59"/>
      <c r="CD65" s="59"/>
      <c r="CE65" s="59"/>
      <c r="CF65" s="59"/>
      <c r="CG65" s="59"/>
      <c r="CH65" s="59"/>
      <c r="CI65" s="59"/>
      <c r="CJ65" s="59"/>
      <c r="CK65" s="61"/>
      <c r="CL65" s="1825"/>
      <c r="CM65" s="43"/>
    </row>
    <row r="66" spans="2:91" ht="6" customHeight="1">
      <c r="B66" s="1809"/>
      <c r="C66" s="50"/>
      <c r="D66" s="52"/>
      <c r="E66" s="52"/>
      <c r="F66" s="52"/>
      <c r="G66" s="52"/>
      <c r="H66" s="2536"/>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114"/>
      <c r="AR66" s="1833"/>
      <c r="AS66" s="110"/>
      <c r="AT66" s="1833"/>
      <c r="AU66" s="115"/>
      <c r="AV66" s="59"/>
      <c r="AW66" s="59"/>
      <c r="AX66" s="59"/>
      <c r="AY66" s="59"/>
      <c r="AZ66" s="52"/>
      <c r="BA66" s="122"/>
      <c r="BB66" s="59"/>
      <c r="BC66" s="59"/>
      <c r="BD66" s="59"/>
      <c r="BE66" s="59"/>
      <c r="BF66" s="59"/>
      <c r="BG66" s="59"/>
      <c r="BH66" s="59"/>
      <c r="BI66" s="59"/>
      <c r="BJ66" s="59"/>
      <c r="BK66" s="59"/>
      <c r="BL66" s="59"/>
      <c r="BM66" s="59"/>
      <c r="BN66" s="55"/>
      <c r="BO66" s="59"/>
      <c r="BP66" s="59"/>
      <c r="BQ66" s="59"/>
      <c r="BR66" s="59"/>
      <c r="BS66" s="59"/>
      <c r="BT66" s="59"/>
      <c r="BU66" s="59"/>
      <c r="BV66" s="59"/>
      <c r="BW66" s="59"/>
      <c r="BX66" s="59"/>
      <c r="BY66" s="55"/>
      <c r="BZ66" s="59"/>
      <c r="CA66" s="59"/>
      <c r="CB66" s="59"/>
      <c r="CC66" s="59"/>
      <c r="CD66" s="59"/>
      <c r="CE66" s="59"/>
      <c r="CF66" s="59"/>
      <c r="CG66" s="59"/>
      <c r="CH66" s="59"/>
      <c r="CI66" s="59"/>
      <c r="CJ66" s="59"/>
      <c r="CK66" s="61"/>
      <c r="CL66" s="1825"/>
      <c r="CM66" s="43"/>
    </row>
    <row r="67" spans="2:91" ht="10.5" customHeight="1">
      <c r="B67" s="1809"/>
      <c r="C67" s="50"/>
      <c r="D67" s="52"/>
      <c r="E67" s="52"/>
      <c r="F67" s="52"/>
      <c r="G67" s="2535" t="str">
        <f>'CALCULS Eaux usées'!D120</f>
        <v>Changements climatiques</v>
      </c>
      <c r="H67" s="2536"/>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114"/>
      <c r="AR67" s="1833"/>
      <c r="AS67" s="110"/>
      <c r="AT67" s="1833"/>
      <c r="AU67" s="115"/>
      <c r="AV67" s="59"/>
      <c r="AW67" s="59"/>
      <c r="AX67" s="59"/>
      <c r="AY67" s="59"/>
      <c r="AZ67" s="2535" t="str">
        <f>'CALCULS Eaux usées'!D108</f>
        <v>Économiques</v>
      </c>
      <c r="BA67" s="122"/>
      <c r="BB67" s="59"/>
      <c r="BC67" s="59"/>
      <c r="BD67" s="59"/>
      <c r="BE67" s="59"/>
      <c r="BF67" s="59"/>
      <c r="BG67" s="59"/>
      <c r="BH67" s="59"/>
      <c r="BI67" s="59"/>
      <c r="BJ67" s="59"/>
      <c r="BK67" s="59"/>
      <c r="BL67" s="59"/>
      <c r="BM67" s="59"/>
      <c r="BN67" s="55"/>
      <c r="BO67" s="59"/>
      <c r="BP67" s="59"/>
      <c r="BQ67" s="59"/>
      <c r="BR67" s="59"/>
      <c r="BS67" s="59"/>
      <c r="BT67" s="59"/>
      <c r="BU67" s="59"/>
      <c r="BV67" s="59"/>
      <c r="BW67" s="59"/>
      <c r="BX67" s="59"/>
      <c r="BY67" s="55"/>
      <c r="BZ67" s="59"/>
      <c r="CA67" s="59"/>
      <c r="CB67" s="59"/>
      <c r="CC67" s="59"/>
      <c r="CD67" s="59"/>
      <c r="CE67" s="59"/>
      <c r="CF67" s="59"/>
      <c r="CG67" s="59"/>
      <c r="CH67" s="59"/>
      <c r="CI67" s="59"/>
      <c r="CJ67" s="59"/>
      <c r="CK67" s="61"/>
      <c r="CL67" s="1825"/>
      <c r="CM67" s="43"/>
    </row>
    <row r="68" spans="2:91" ht="6" customHeight="1">
      <c r="B68" s="1809"/>
      <c r="C68" s="50"/>
      <c r="D68" s="52"/>
      <c r="E68" s="52"/>
      <c r="F68" s="52"/>
      <c r="G68" s="52"/>
      <c r="H68" s="2536"/>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114"/>
      <c r="AR68" s="1833"/>
      <c r="AS68" s="110"/>
      <c r="AT68" s="1833"/>
      <c r="AU68" s="115"/>
      <c r="AV68" s="59"/>
      <c r="AW68" s="59"/>
      <c r="AX68" s="59"/>
      <c r="AY68" s="59"/>
      <c r="AZ68" s="52"/>
      <c r="BA68" s="122"/>
      <c r="BB68" s="59"/>
      <c r="BC68" s="59"/>
      <c r="BD68" s="59"/>
      <c r="BE68" s="59"/>
      <c r="BF68" s="59"/>
      <c r="BG68" s="59"/>
      <c r="BH68" s="59"/>
      <c r="BI68" s="59"/>
      <c r="BJ68" s="59"/>
      <c r="BK68" s="59"/>
      <c r="BL68" s="59"/>
      <c r="BM68" s="59"/>
      <c r="BN68" s="55"/>
      <c r="BO68" s="59"/>
      <c r="BP68" s="59"/>
      <c r="BQ68" s="59"/>
      <c r="BR68" s="59"/>
      <c r="BS68" s="59"/>
      <c r="BT68" s="59"/>
      <c r="BU68" s="59"/>
      <c r="BV68" s="59"/>
      <c r="BW68" s="59"/>
      <c r="BX68" s="59"/>
      <c r="BY68" s="55"/>
      <c r="BZ68" s="59"/>
      <c r="CA68" s="59"/>
      <c r="CB68" s="59"/>
      <c r="CC68" s="59"/>
      <c r="CD68" s="59"/>
      <c r="CE68" s="59"/>
      <c r="CF68" s="59"/>
      <c r="CG68" s="59"/>
      <c r="CH68" s="59"/>
      <c r="CI68" s="59"/>
      <c r="CJ68" s="59"/>
      <c r="CK68" s="61"/>
      <c r="CL68" s="1825"/>
      <c r="CM68" s="43"/>
    </row>
    <row r="69" spans="2:91" ht="10.5" customHeight="1">
      <c r="B69" s="1809"/>
      <c r="C69" s="50"/>
      <c r="D69" s="52"/>
      <c r="E69" s="52"/>
      <c r="F69" s="52"/>
      <c r="G69" s="2535" t="str">
        <f>'CALCULS Eaux usées'!D119</f>
        <v>Manque d'informations</v>
      </c>
      <c r="H69" s="2536"/>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114"/>
      <c r="AR69" s="1833"/>
      <c r="AS69" s="110"/>
      <c r="AT69" s="1833"/>
      <c r="AU69" s="115"/>
      <c r="AV69" s="59"/>
      <c r="AW69" s="59"/>
      <c r="AX69" s="59"/>
      <c r="AY69" s="59"/>
      <c r="AZ69" s="2535" t="str">
        <f>'CALCULS Eaux usées'!D109</f>
        <v>Technologiques</v>
      </c>
      <c r="BA69" s="122"/>
      <c r="BB69" s="59"/>
      <c r="BC69" s="59"/>
      <c r="BD69" s="59"/>
      <c r="BE69" s="59"/>
      <c r="BF69" s="59"/>
      <c r="BG69" s="59"/>
      <c r="BH69" s="59"/>
      <c r="BI69" s="59"/>
      <c r="BJ69" s="59"/>
      <c r="BK69" s="59"/>
      <c r="BL69" s="59"/>
      <c r="BM69" s="59"/>
      <c r="BN69" s="55"/>
      <c r="BO69" s="59"/>
      <c r="BP69" s="59"/>
      <c r="BQ69" s="59"/>
      <c r="BR69" s="59"/>
      <c r="BS69" s="59"/>
      <c r="BT69" s="59"/>
      <c r="BU69" s="59"/>
      <c r="BV69" s="59"/>
      <c r="BW69" s="59"/>
      <c r="BX69" s="59"/>
      <c r="BY69" s="55"/>
      <c r="BZ69" s="59"/>
      <c r="CA69" s="59"/>
      <c r="CB69" s="59"/>
      <c r="CC69" s="59"/>
      <c r="CD69" s="59"/>
      <c r="CE69" s="59"/>
      <c r="CF69" s="59"/>
      <c r="CG69" s="59"/>
      <c r="CH69" s="59"/>
      <c r="CI69" s="59"/>
      <c r="CJ69" s="59"/>
      <c r="CK69" s="61"/>
      <c r="CL69" s="1825"/>
      <c r="CM69" s="43"/>
    </row>
    <row r="70" spans="2:91" ht="6" customHeight="1">
      <c r="B70" s="1809"/>
      <c r="C70" s="50"/>
      <c r="D70" s="52"/>
      <c r="E70" s="52"/>
      <c r="F70" s="52"/>
      <c r="G70" s="52"/>
      <c r="H70" s="2536"/>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114"/>
      <c r="AR70" s="1833"/>
      <c r="AS70" s="110"/>
      <c r="AT70" s="1833"/>
      <c r="AU70" s="115"/>
      <c r="AV70" s="59"/>
      <c r="AW70" s="59"/>
      <c r="AX70" s="59"/>
      <c r="AY70" s="59"/>
      <c r="AZ70" s="59"/>
      <c r="BA70" s="122"/>
      <c r="BB70" s="59"/>
      <c r="BC70" s="59"/>
      <c r="BD70" s="59"/>
      <c r="BE70" s="59"/>
      <c r="BF70" s="59"/>
      <c r="BG70" s="59"/>
      <c r="BH70" s="59"/>
      <c r="BI70" s="59"/>
      <c r="BJ70" s="59"/>
      <c r="BK70" s="59"/>
      <c r="BL70" s="59"/>
      <c r="BM70" s="59"/>
      <c r="BN70" s="55"/>
      <c r="BO70" s="59"/>
      <c r="BP70" s="59"/>
      <c r="BQ70" s="59"/>
      <c r="BR70" s="59"/>
      <c r="BS70" s="59"/>
      <c r="BT70" s="59"/>
      <c r="BU70" s="59"/>
      <c r="BV70" s="59"/>
      <c r="BW70" s="59"/>
      <c r="BX70" s="59"/>
      <c r="BY70" s="55"/>
      <c r="BZ70" s="59"/>
      <c r="CA70" s="59"/>
      <c r="CB70" s="59"/>
      <c r="CC70" s="59"/>
      <c r="CD70" s="59"/>
      <c r="CE70" s="59"/>
      <c r="CF70" s="59"/>
      <c r="CG70" s="59"/>
      <c r="CH70" s="59"/>
      <c r="CI70" s="59"/>
      <c r="CJ70" s="59"/>
      <c r="CK70" s="61"/>
      <c r="CL70" s="1825"/>
      <c r="CM70" s="43"/>
    </row>
    <row r="71" spans="2:91" ht="10.5" customHeight="1">
      <c r="B71" s="1809"/>
      <c r="C71" s="50"/>
      <c r="D71" s="3579" t="str">
        <f>'CALCULS Eaux usées'!D118</f>
        <v xml:space="preserve">Autre </v>
      </c>
      <c r="E71" s="3579"/>
      <c r="F71" s="3579"/>
      <c r="G71" s="3579"/>
      <c r="H71" s="2536"/>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114"/>
      <c r="AR71" s="1833"/>
      <c r="AS71" s="110"/>
      <c r="AT71" s="1833"/>
      <c r="AU71" s="115"/>
      <c r="AV71" s="59"/>
      <c r="AW71" s="3579" t="str">
        <f>'CALCULS Eaux usées'!D110</f>
        <v xml:space="preserve">Autre </v>
      </c>
      <c r="AX71" s="3579"/>
      <c r="AY71" s="3579"/>
      <c r="AZ71" s="3579"/>
      <c r="BA71" s="122"/>
      <c r="BB71" s="59"/>
      <c r="BC71" s="59"/>
      <c r="BD71" s="59"/>
      <c r="BE71" s="59"/>
      <c r="BF71" s="59"/>
      <c r="BG71" s="59"/>
      <c r="BH71" s="59"/>
      <c r="BI71" s="59"/>
      <c r="BJ71" s="59"/>
      <c r="BK71" s="59"/>
      <c r="BL71" s="59"/>
      <c r="BM71" s="59"/>
      <c r="BN71" s="55"/>
      <c r="BO71" s="59"/>
      <c r="BP71" s="59"/>
      <c r="BQ71" s="59"/>
      <c r="BR71" s="59"/>
      <c r="BS71" s="59"/>
      <c r="BT71" s="59"/>
      <c r="BU71" s="59"/>
      <c r="BV71" s="59"/>
      <c r="BW71" s="59"/>
      <c r="BX71" s="59"/>
      <c r="BY71" s="55"/>
      <c r="BZ71" s="59"/>
      <c r="CA71" s="59"/>
      <c r="CB71" s="59"/>
      <c r="CC71" s="59"/>
      <c r="CD71" s="59"/>
      <c r="CE71" s="59"/>
      <c r="CF71" s="59"/>
      <c r="CG71" s="59"/>
      <c r="CH71" s="59"/>
      <c r="CI71" s="59"/>
      <c r="CJ71" s="59"/>
      <c r="CK71" s="61"/>
      <c r="CL71" s="1825"/>
      <c r="CM71" s="43"/>
    </row>
    <row r="72" spans="2:91" ht="6" customHeight="1">
      <c r="B72" s="1809"/>
      <c r="C72" s="50"/>
      <c r="D72" s="3579"/>
      <c r="E72" s="3579"/>
      <c r="F72" s="3579"/>
      <c r="G72" s="3579"/>
      <c r="H72" s="2537"/>
      <c r="I72" s="1578"/>
      <c r="J72" s="1578"/>
      <c r="K72" s="1578"/>
      <c r="L72" s="1578"/>
      <c r="M72" s="1578"/>
      <c r="N72" s="1578"/>
      <c r="O72" s="1578"/>
      <c r="P72" s="1578"/>
      <c r="Q72" s="1578"/>
      <c r="R72" s="1578"/>
      <c r="S72" s="1578"/>
      <c r="T72" s="1578"/>
      <c r="U72" s="1578"/>
      <c r="V72" s="1578"/>
      <c r="W72" s="1578"/>
      <c r="X72" s="1578"/>
      <c r="Y72" s="1578"/>
      <c r="Z72" s="1578"/>
      <c r="AA72" s="1578"/>
      <c r="AB72" s="1578"/>
      <c r="AC72" s="1578"/>
      <c r="AD72" s="1578"/>
      <c r="AE72" s="1578"/>
      <c r="AF72" s="1578"/>
      <c r="AG72" s="1578"/>
      <c r="AH72" s="1578"/>
      <c r="AI72" s="1578"/>
      <c r="AJ72" s="1578"/>
      <c r="AK72" s="1578"/>
      <c r="AL72" s="1578"/>
      <c r="AM72" s="1578"/>
      <c r="AN72" s="1578"/>
      <c r="AO72" s="1578"/>
      <c r="AP72" s="1578"/>
      <c r="AQ72" s="114"/>
      <c r="AR72" s="1833"/>
      <c r="AS72" s="110"/>
      <c r="AT72" s="1833"/>
      <c r="AU72" s="115"/>
      <c r="AV72" s="59"/>
      <c r="AW72" s="3579"/>
      <c r="AX72" s="3579"/>
      <c r="AY72" s="3579"/>
      <c r="AZ72" s="3579"/>
      <c r="BA72" s="2538"/>
      <c r="BB72" s="1578"/>
      <c r="BC72" s="1578"/>
      <c r="BD72" s="1578"/>
      <c r="BE72" s="1578"/>
      <c r="BF72" s="1578"/>
      <c r="BG72" s="1578"/>
      <c r="BH72" s="1578"/>
      <c r="BI72" s="1578"/>
      <c r="BJ72" s="1578"/>
      <c r="BK72" s="1578"/>
      <c r="BL72" s="1578"/>
      <c r="BM72" s="1578"/>
      <c r="BN72" s="1578"/>
      <c r="BO72" s="1578"/>
      <c r="BP72" s="1578"/>
      <c r="BQ72" s="1578"/>
      <c r="BR72" s="1578"/>
      <c r="BS72" s="1578"/>
      <c r="BT72" s="1578"/>
      <c r="BU72" s="1578"/>
      <c r="BV72" s="1578"/>
      <c r="BW72" s="1578"/>
      <c r="BX72" s="1578"/>
      <c r="BY72" s="1578"/>
      <c r="BZ72" s="1578"/>
      <c r="CA72" s="1578"/>
      <c r="CB72" s="1578"/>
      <c r="CC72" s="1578"/>
      <c r="CD72" s="1578"/>
      <c r="CE72" s="1578"/>
      <c r="CF72" s="1578"/>
      <c r="CG72" s="1578"/>
      <c r="CH72" s="1578"/>
      <c r="CI72" s="1578"/>
      <c r="CJ72" s="1578"/>
      <c r="CK72" s="61"/>
      <c r="CL72" s="1825"/>
      <c r="CM72" s="43"/>
    </row>
    <row r="73" spans="2:91" ht="6.75" customHeight="1">
      <c r="B73" s="1809"/>
      <c r="C73" s="50"/>
      <c r="D73" s="3579"/>
      <c r="E73" s="3579"/>
      <c r="F73" s="3579"/>
      <c r="G73" s="3579"/>
      <c r="H73" s="52"/>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114"/>
      <c r="AR73" s="1833"/>
      <c r="AS73" s="110"/>
      <c r="AT73" s="1833"/>
      <c r="AU73" s="115"/>
      <c r="AV73" s="59"/>
      <c r="AW73" s="3579"/>
      <c r="AX73" s="3579"/>
      <c r="AY73" s="3579"/>
      <c r="AZ73" s="3579"/>
      <c r="BA73" s="59"/>
      <c r="BB73" s="59"/>
      <c r="BC73" s="59"/>
      <c r="BD73" s="59"/>
      <c r="BE73" s="59"/>
      <c r="BF73" s="59"/>
      <c r="BG73" s="59"/>
      <c r="BH73" s="59"/>
      <c r="BI73" s="59"/>
      <c r="BJ73" s="59"/>
      <c r="BK73" s="59"/>
      <c r="BL73" s="59"/>
      <c r="BM73" s="59"/>
      <c r="BN73" s="59"/>
      <c r="BO73" s="59"/>
      <c r="BP73" s="59"/>
      <c r="BQ73" s="59"/>
      <c r="BR73" s="59"/>
      <c r="BS73" s="59"/>
      <c r="BT73" s="59"/>
      <c r="BU73" s="59"/>
      <c r="BV73" s="59"/>
      <c r="BW73" s="59"/>
      <c r="BX73" s="59"/>
      <c r="BY73" s="59"/>
      <c r="BZ73" s="59"/>
      <c r="CA73" s="59"/>
      <c r="CB73" s="59"/>
      <c r="CC73" s="59"/>
      <c r="CD73" s="59"/>
      <c r="CE73" s="59"/>
      <c r="CF73" s="59"/>
      <c r="CG73" s="59"/>
      <c r="CH73" s="59"/>
      <c r="CI73" s="59"/>
      <c r="CJ73" s="59"/>
      <c r="CK73" s="61"/>
      <c r="CL73" s="1825"/>
      <c r="CM73" s="43"/>
    </row>
    <row r="74" spans="2:91" ht="36.75" customHeight="1">
      <c r="B74" s="1809"/>
      <c r="C74" s="50"/>
      <c r="D74" s="59"/>
      <c r="E74" s="59"/>
      <c r="F74" s="59"/>
      <c r="G74" s="59"/>
      <c r="H74" s="3580" t="s">
        <v>768</v>
      </c>
      <c r="I74" s="3580"/>
      <c r="J74" s="3580"/>
      <c r="K74" s="3580"/>
      <c r="L74" s="3580"/>
      <c r="M74" s="3580"/>
      <c r="N74" s="3580"/>
      <c r="O74" s="3580"/>
      <c r="P74" s="3580"/>
      <c r="Q74" s="3580"/>
      <c r="R74" s="3580"/>
      <c r="S74" s="392"/>
      <c r="T74" s="3580" t="s">
        <v>769</v>
      </c>
      <c r="U74" s="3580"/>
      <c r="V74" s="3580"/>
      <c r="W74" s="3580"/>
      <c r="X74" s="3580"/>
      <c r="Y74" s="3580"/>
      <c r="Z74" s="3580"/>
      <c r="AA74" s="3580"/>
      <c r="AB74" s="3580"/>
      <c r="AC74" s="3580"/>
      <c r="AD74" s="392"/>
      <c r="AE74" s="392"/>
      <c r="AF74" s="3580" t="s">
        <v>770</v>
      </c>
      <c r="AG74" s="3580"/>
      <c r="AH74" s="3580"/>
      <c r="AI74" s="3580"/>
      <c r="AJ74" s="3580"/>
      <c r="AK74" s="3580"/>
      <c r="AL74" s="3580"/>
      <c r="AM74" s="3580"/>
      <c r="AN74" s="3580"/>
      <c r="AO74" s="3580"/>
      <c r="AP74" s="3580"/>
      <c r="AQ74" s="114"/>
      <c r="AR74" s="1833"/>
      <c r="AS74" s="110"/>
      <c r="AT74" s="1833"/>
      <c r="AU74" s="115"/>
      <c r="AV74" s="59"/>
      <c r="AW74" s="59"/>
      <c r="AX74" s="59"/>
      <c r="AY74" s="59"/>
      <c r="AZ74" s="59"/>
      <c r="BA74" s="3577" t="s">
        <v>771</v>
      </c>
      <c r="BB74" s="3577"/>
      <c r="BC74" s="3577"/>
      <c r="BD74" s="3577"/>
      <c r="BE74" s="3577"/>
      <c r="BF74" s="3577"/>
      <c r="BG74" s="3577"/>
      <c r="BH74" s="3577"/>
      <c r="BI74" s="3577"/>
      <c r="BJ74" s="3577"/>
      <c r="BK74" s="3577"/>
      <c r="BL74" s="3577"/>
      <c r="BM74" s="3577"/>
      <c r="BN74" s="3577" t="s">
        <v>772</v>
      </c>
      <c r="BO74" s="3577"/>
      <c r="BP74" s="3577"/>
      <c r="BQ74" s="3577"/>
      <c r="BR74" s="3577"/>
      <c r="BS74" s="3577"/>
      <c r="BT74" s="3577"/>
      <c r="BU74" s="3577"/>
      <c r="BV74" s="3577"/>
      <c r="BW74" s="3577"/>
      <c r="BX74" s="3577"/>
      <c r="BY74" s="2496"/>
      <c r="BZ74" s="3577" t="s">
        <v>773</v>
      </c>
      <c r="CA74" s="3577"/>
      <c r="CB74" s="3577"/>
      <c r="CC74" s="3577"/>
      <c r="CD74" s="3577"/>
      <c r="CE74" s="3577"/>
      <c r="CF74" s="3577"/>
      <c r="CG74" s="3577"/>
      <c r="CH74" s="3577"/>
      <c r="CI74" s="3577"/>
      <c r="CJ74" s="3577"/>
      <c r="CK74" s="61"/>
      <c r="CL74" s="1825"/>
      <c r="CM74" s="43"/>
    </row>
    <row r="75" spans="2:91" ht="7.5" customHeight="1">
      <c r="B75" s="1809"/>
      <c r="C75" s="91"/>
      <c r="D75" s="105"/>
      <c r="E75" s="105"/>
      <c r="F75" s="105"/>
      <c r="G75" s="105"/>
      <c r="H75" s="105"/>
      <c r="I75" s="92"/>
      <c r="J75" s="92"/>
      <c r="K75" s="92"/>
      <c r="L75" s="92"/>
      <c r="M75" s="92"/>
      <c r="N75" s="92"/>
      <c r="O75" s="92"/>
      <c r="P75" s="92"/>
      <c r="Q75" s="92"/>
      <c r="R75" s="92"/>
      <c r="S75" s="92"/>
      <c r="T75" s="92"/>
      <c r="U75" s="92"/>
      <c r="V75" s="92"/>
      <c r="W75" s="92"/>
      <c r="X75" s="92"/>
      <c r="Y75" s="116"/>
      <c r="Z75" s="116"/>
      <c r="AA75" s="116"/>
      <c r="AB75" s="116"/>
      <c r="AC75" s="116"/>
      <c r="AD75" s="116"/>
      <c r="AE75" s="116"/>
      <c r="AF75" s="116"/>
      <c r="AG75" s="116"/>
      <c r="AH75" s="116"/>
      <c r="AI75" s="116"/>
      <c r="AJ75" s="116"/>
      <c r="AK75" s="116"/>
      <c r="AL75" s="116"/>
      <c r="AM75" s="116"/>
      <c r="AN75" s="116"/>
      <c r="AO75" s="116"/>
      <c r="AP75" s="116"/>
      <c r="AQ75" s="117"/>
      <c r="AR75" s="1833"/>
      <c r="AS75" s="110"/>
      <c r="AT75" s="1833"/>
      <c r="AU75" s="118"/>
      <c r="AV75" s="116"/>
      <c r="AW75" s="116"/>
      <c r="AX75" s="116"/>
      <c r="AY75" s="116"/>
      <c r="AZ75" s="116"/>
      <c r="BA75" s="116"/>
      <c r="BB75" s="116"/>
      <c r="BC75" s="116"/>
      <c r="BD75" s="116"/>
      <c r="BE75" s="116"/>
      <c r="BF75" s="116"/>
      <c r="BG75" s="116"/>
      <c r="BH75" s="92"/>
      <c r="BI75" s="92"/>
      <c r="BJ75" s="92"/>
      <c r="BK75" s="92"/>
      <c r="BL75" s="92"/>
      <c r="BM75" s="92"/>
      <c r="BN75" s="92"/>
      <c r="BO75" s="92"/>
      <c r="BP75" s="92"/>
      <c r="BQ75" s="92"/>
      <c r="BR75" s="92"/>
      <c r="BS75" s="92"/>
      <c r="BT75" s="92"/>
      <c r="BU75" s="92"/>
      <c r="BV75" s="92"/>
      <c r="BW75" s="92"/>
      <c r="BX75" s="92"/>
      <c r="BY75" s="92"/>
      <c r="BZ75" s="92"/>
      <c r="CA75" s="92"/>
      <c r="CB75" s="92"/>
      <c r="CC75" s="92"/>
      <c r="CD75" s="92"/>
      <c r="CE75" s="92"/>
      <c r="CF75" s="92"/>
      <c r="CG75" s="92"/>
      <c r="CH75" s="92"/>
      <c r="CI75" s="92"/>
      <c r="CJ75" s="92"/>
      <c r="CK75" s="93"/>
      <c r="CL75" s="1825"/>
      <c r="CM75" s="43"/>
    </row>
    <row r="76" spans="2:91" ht="12.75" customHeight="1">
      <c r="B76" s="1812"/>
      <c r="C76" s="1820"/>
      <c r="D76" s="1820"/>
      <c r="E76" s="1820"/>
      <c r="F76" s="1820"/>
      <c r="G76" s="1820"/>
      <c r="H76" s="1820"/>
      <c r="I76" s="1820"/>
      <c r="J76" s="1820"/>
      <c r="K76" s="1820"/>
      <c r="L76" s="1820"/>
      <c r="M76" s="1820"/>
      <c r="N76" s="1820"/>
      <c r="O76" s="1820"/>
      <c r="P76" s="1820"/>
      <c r="Q76" s="1820"/>
      <c r="R76" s="1820"/>
      <c r="S76" s="1820"/>
      <c r="T76" s="1820"/>
      <c r="U76" s="1820"/>
      <c r="V76" s="1820"/>
      <c r="W76" s="1820"/>
      <c r="X76" s="1820"/>
      <c r="Y76" s="1820"/>
      <c r="Z76" s="1820"/>
      <c r="AA76" s="1820"/>
      <c r="AB76" s="1820"/>
      <c r="AC76" s="1820"/>
      <c r="AD76" s="1820"/>
      <c r="AE76" s="1820"/>
      <c r="AF76" s="1820"/>
      <c r="AG76" s="1820"/>
      <c r="AH76" s="1820"/>
      <c r="AI76" s="1820"/>
      <c r="AJ76" s="1820"/>
      <c r="AK76" s="1834"/>
      <c r="AL76" s="1834"/>
      <c r="AM76" s="1834"/>
      <c r="AN76" s="1834"/>
      <c r="AO76" s="1834"/>
      <c r="AP76" s="1834"/>
      <c r="AQ76" s="1834"/>
      <c r="AR76" s="1834"/>
      <c r="AS76" s="110"/>
      <c r="AT76" s="1834"/>
      <c r="AU76" s="1834"/>
      <c r="AV76" s="1834"/>
      <c r="AW76" s="1834"/>
      <c r="AX76" s="1834"/>
      <c r="AY76" s="1834"/>
      <c r="AZ76" s="1834"/>
      <c r="BA76" s="1834"/>
      <c r="BB76" s="1834"/>
      <c r="BC76" s="1834"/>
      <c r="BD76" s="1834"/>
      <c r="BE76" s="1834"/>
      <c r="BF76" s="1834"/>
      <c r="BG76" s="1834"/>
      <c r="BH76" s="1820"/>
      <c r="BI76" s="1820"/>
      <c r="BJ76" s="1820"/>
      <c r="BK76" s="1820"/>
      <c r="BL76" s="1820"/>
      <c r="BM76" s="1820"/>
      <c r="BN76" s="1820"/>
      <c r="BO76" s="1820"/>
      <c r="BP76" s="1820"/>
      <c r="BQ76" s="1820"/>
      <c r="BR76" s="1820"/>
      <c r="BS76" s="1820"/>
      <c r="BT76" s="1820"/>
      <c r="BU76" s="1820"/>
      <c r="BV76" s="1820"/>
      <c r="BW76" s="1820"/>
      <c r="BX76" s="1820"/>
      <c r="BY76" s="1820"/>
      <c r="BZ76" s="1820"/>
      <c r="CA76" s="1820"/>
      <c r="CB76" s="1820"/>
      <c r="CC76" s="1820"/>
      <c r="CD76" s="1820"/>
      <c r="CE76" s="1820"/>
      <c r="CF76" s="1820"/>
      <c r="CG76" s="1820"/>
      <c r="CH76" s="1820"/>
      <c r="CI76" s="1820"/>
      <c r="CJ76" s="1820"/>
      <c r="CK76" s="1820"/>
      <c r="CL76" s="1821"/>
      <c r="CM76" s="43"/>
    </row>
    <row r="77" spans="2:91" ht="15.75" customHeight="1">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c r="CA77" s="59"/>
      <c r="CB77" s="59"/>
      <c r="CC77" s="59"/>
      <c r="CD77" s="59"/>
      <c r="CE77" s="59"/>
      <c r="CF77" s="59"/>
      <c r="CG77" s="59"/>
      <c r="CH77" s="59"/>
      <c r="CI77" s="59"/>
      <c r="CJ77" s="59"/>
      <c r="CK77" s="59"/>
      <c r="CL77" s="59"/>
      <c r="CM77" s="59"/>
    </row>
    <row r="78" spans="2:91" ht="22.5" customHeight="1">
      <c r="B78" s="1702"/>
      <c r="C78" s="1703" t="s">
        <v>774</v>
      </c>
      <c r="D78" s="1704"/>
      <c r="E78" s="1704"/>
      <c r="F78" s="1704"/>
      <c r="G78" s="1704"/>
      <c r="H78" s="1704"/>
      <c r="I78" s="1704"/>
      <c r="J78" s="1704"/>
      <c r="K78" s="1704"/>
      <c r="L78" s="1704"/>
      <c r="M78" s="1704"/>
      <c r="N78" s="1704"/>
      <c r="O78" s="1704"/>
      <c r="P78" s="1704"/>
      <c r="Q78" s="1704"/>
      <c r="R78" s="1704"/>
      <c r="S78" s="1704"/>
      <c r="T78" s="1704"/>
      <c r="U78" s="1704"/>
      <c r="V78" s="1704"/>
      <c r="W78" s="1704"/>
      <c r="X78" s="1704"/>
      <c r="Y78" s="1704"/>
      <c r="Z78" s="1704"/>
      <c r="AA78" s="1704"/>
      <c r="AB78" s="1704"/>
      <c r="AC78" s="1704"/>
      <c r="AD78" s="1704"/>
      <c r="AE78" s="1704"/>
      <c r="AF78" s="1704"/>
      <c r="AG78" s="1704"/>
      <c r="AH78" s="1704"/>
      <c r="AI78" s="1704"/>
      <c r="AJ78" s="1704"/>
      <c r="AK78" s="1704"/>
      <c r="AL78" s="1704"/>
      <c r="AM78" s="1704"/>
      <c r="AN78" s="1704"/>
      <c r="AO78" s="1704"/>
      <c r="AP78" s="1704"/>
      <c r="AQ78" s="1704"/>
      <c r="AR78" s="1704"/>
      <c r="AS78" s="1704"/>
      <c r="AT78" s="1704"/>
      <c r="AU78" s="1705"/>
      <c r="AV78" s="1705"/>
      <c r="AW78" s="1705"/>
      <c r="AX78" s="1704"/>
      <c r="AY78" s="1704"/>
      <c r="AZ78" s="1704"/>
      <c r="BA78" s="1704"/>
      <c r="BB78" s="1704"/>
      <c r="BC78" s="1704"/>
      <c r="BD78" s="1704"/>
      <c r="BE78" s="1704"/>
      <c r="BF78" s="1704"/>
      <c r="BG78" s="1704"/>
      <c r="BH78" s="1704"/>
      <c r="BI78" s="1704"/>
      <c r="BJ78" s="1704"/>
      <c r="BK78" s="1704"/>
      <c r="BL78" s="1704"/>
      <c r="BM78" s="1704"/>
      <c r="BN78" s="1704"/>
      <c r="BO78" s="1704"/>
      <c r="BP78" s="1704"/>
      <c r="BQ78" s="1704"/>
      <c r="BR78" s="1704"/>
      <c r="BS78" s="1704"/>
      <c r="BT78" s="1704"/>
      <c r="BU78" s="1704"/>
      <c r="BV78" s="1704"/>
      <c r="BW78" s="1704"/>
      <c r="BX78" s="1704"/>
      <c r="BY78" s="1704"/>
      <c r="BZ78" s="1704"/>
      <c r="CA78" s="1704"/>
      <c r="CB78" s="1704"/>
      <c r="CC78" s="1704"/>
      <c r="CD78" s="1704"/>
      <c r="CE78" s="1704"/>
      <c r="CF78" s="1704"/>
      <c r="CG78" s="1702"/>
      <c r="CH78" s="1706"/>
      <c r="CI78" s="1702"/>
      <c r="CJ78" s="3713"/>
      <c r="CK78" s="3713"/>
      <c r="CL78" s="1704"/>
    </row>
    <row r="79" spans="2:91" ht="6.75" customHeight="1"/>
    <row r="80" spans="2:91" ht="15" customHeight="1">
      <c r="B80" s="1811"/>
      <c r="C80" s="1813"/>
      <c r="D80" s="1813"/>
      <c r="E80" s="1813"/>
      <c r="F80" s="1813"/>
      <c r="G80" s="1813"/>
      <c r="H80" s="1813"/>
      <c r="I80" s="1813"/>
      <c r="J80" s="1813"/>
      <c r="K80" s="1813"/>
      <c r="L80" s="1813"/>
      <c r="M80" s="1813"/>
      <c r="N80" s="1813"/>
      <c r="O80" s="1813"/>
      <c r="P80" s="1813"/>
      <c r="Q80" s="1813"/>
      <c r="R80" s="1813"/>
      <c r="S80" s="1813"/>
      <c r="T80" s="1813"/>
      <c r="U80" s="1813"/>
      <c r="V80" s="1813"/>
      <c r="W80" s="1813"/>
      <c r="X80" s="1813"/>
      <c r="Y80" s="1813"/>
      <c r="Z80" s="1813"/>
      <c r="AA80" s="1813"/>
      <c r="AB80" s="1813"/>
      <c r="AC80" s="1813"/>
      <c r="AD80" s="1813"/>
      <c r="AE80" s="1813"/>
      <c r="AF80" s="1813"/>
      <c r="AG80" s="1813"/>
      <c r="AH80" s="1813"/>
      <c r="AI80" s="1813"/>
      <c r="AJ80" s="1813"/>
      <c r="AK80" s="1813"/>
      <c r="AL80" s="1813"/>
      <c r="AM80" s="1813"/>
      <c r="AN80" s="1813"/>
      <c r="AO80" s="1813"/>
      <c r="AP80" s="1813"/>
      <c r="AQ80" s="1813"/>
      <c r="AR80" s="1813"/>
      <c r="AS80" s="1813"/>
      <c r="AT80" s="1813"/>
      <c r="AU80" s="1813"/>
      <c r="AV80" s="1813"/>
      <c r="AW80" s="1813"/>
      <c r="AX80" s="1813"/>
      <c r="AY80" s="1813"/>
      <c r="AZ80" s="1813"/>
      <c r="BA80" s="1813"/>
      <c r="BB80" s="1813"/>
      <c r="BC80" s="1813"/>
      <c r="BD80" s="1813"/>
      <c r="BE80" s="1813"/>
      <c r="BF80" s="1813"/>
      <c r="BG80" s="1813"/>
      <c r="BH80" s="1813"/>
      <c r="BI80" s="1813"/>
      <c r="BJ80" s="1813"/>
      <c r="BK80" s="1813"/>
      <c r="BL80" s="1813"/>
      <c r="BM80" s="1813"/>
      <c r="BN80" s="1813"/>
      <c r="BO80" s="1813"/>
      <c r="BP80" s="1813"/>
      <c r="BQ80" s="1813"/>
      <c r="BR80" s="1813"/>
      <c r="BS80" s="1813"/>
      <c r="BT80" s="1813"/>
      <c r="BU80" s="1813"/>
      <c r="BV80" s="1813"/>
      <c r="BW80" s="1813"/>
      <c r="BX80" s="1813"/>
      <c r="BY80" s="1813"/>
      <c r="BZ80" s="1813"/>
      <c r="CA80" s="1813"/>
      <c r="CB80" s="1813"/>
      <c r="CC80" s="1813"/>
      <c r="CD80" s="1813"/>
      <c r="CE80" s="1813"/>
      <c r="CF80" s="1813"/>
      <c r="CG80" s="1813"/>
      <c r="CH80" s="1813"/>
      <c r="CI80" s="1813"/>
      <c r="CJ80" s="1813"/>
      <c r="CK80" s="1813"/>
      <c r="CL80" s="1814"/>
      <c r="CM80" s="43"/>
    </row>
    <row r="81" spans="2:91" ht="9" customHeight="1">
      <c r="B81" s="1809"/>
      <c r="C81" s="45"/>
      <c r="D81" s="46"/>
      <c r="E81" s="46"/>
      <c r="F81" s="46"/>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7"/>
      <c r="AH81" s="1828"/>
      <c r="AI81" s="45"/>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c r="BI81" s="46"/>
      <c r="BJ81" s="46"/>
      <c r="BK81" s="46"/>
      <c r="BL81" s="46"/>
      <c r="BM81" s="46"/>
      <c r="BN81" s="46"/>
      <c r="BO81" s="47"/>
      <c r="BP81" s="1833"/>
      <c r="BQ81" s="45"/>
      <c r="BR81" s="46"/>
      <c r="BS81" s="46"/>
      <c r="BT81" s="46"/>
      <c r="BU81" s="46"/>
      <c r="BV81" s="46"/>
      <c r="BW81" s="46"/>
      <c r="BX81" s="46"/>
      <c r="BY81" s="46"/>
      <c r="BZ81" s="46"/>
      <c r="CA81" s="46"/>
      <c r="CB81" s="46"/>
      <c r="CC81" s="46"/>
      <c r="CD81" s="46"/>
      <c r="CE81" s="46"/>
      <c r="CF81" s="46"/>
      <c r="CG81" s="46"/>
      <c r="CH81" s="46"/>
      <c r="CI81" s="46"/>
      <c r="CJ81" s="46"/>
      <c r="CK81" s="47"/>
      <c r="CL81" s="1825"/>
      <c r="CM81" s="43"/>
    </row>
    <row r="82" spans="2:91" ht="19.5" customHeight="1">
      <c r="B82" s="1809"/>
      <c r="C82" s="50"/>
      <c r="D82" s="1124" t="s">
        <v>775</v>
      </c>
      <c r="E82" s="1124"/>
      <c r="F82" s="1124"/>
      <c r="G82" s="1124"/>
      <c r="H82" s="1124"/>
      <c r="I82" s="59"/>
      <c r="J82" s="59"/>
      <c r="K82" s="59"/>
      <c r="L82" s="59"/>
      <c r="M82" s="59"/>
      <c r="N82" s="59"/>
      <c r="O82" s="59"/>
      <c r="P82" s="59"/>
      <c r="Q82" s="59"/>
      <c r="R82" s="59"/>
      <c r="S82" s="59"/>
      <c r="T82" s="59"/>
      <c r="U82" s="59"/>
      <c r="V82" s="59"/>
      <c r="W82" s="59"/>
      <c r="X82" s="76"/>
      <c r="Y82" s="76"/>
      <c r="Z82" s="55"/>
      <c r="AA82" s="76"/>
      <c r="AB82" s="76"/>
      <c r="AC82" s="76"/>
      <c r="AD82" s="3575">
        <f>'CALCULS Eaux usées'!H161</f>
        <v>0</v>
      </c>
      <c r="AE82" s="3575"/>
      <c r="AF82" s="3575"/>
      <c r="AG82" s="120"/>
      <c r="AH82" s="1839"/>
      <c r="AI82" s="122"/>
      <c r="AJ82" s="1125" t="s">
        <v>776</v>
      </c>
      <c r="AK82" s="1129"/>
      <c r="AL82" s="1129"/>
      <c r="AM82" s="123"/>
      <c r="AN82" s="1129"/>
      <c r="AO82" s="1129"/>
      <c r="AP82" s="1129"/>
      <c r="AQ82" s="124"/>
      <c r="AR82" s="124"/>
      <c r="AS82" s="124"/>
      <c r="AT82" s="124"/>
      <c r="AU82" s="124"/>
      <c r="AV82" s="124"/>
      <c r="AW82" s="124"/>
      <c r="AX82" s="125"/>
      <c r="AY82" s="125"/>
      <c r="AZ82" s="125"/>
      <c r="BA82" s="124"/>
      <c r="BB82" s="124"/>
      <c r="BC82" s="124"/>
      <c r="BD82" s="124"/>
      <c r="BE82" s="124"/>
      <c r="BF82" s="59"/>
      <c r="BG82" s="59"/>
      <c r="BH82" s="59"/>
      <c r="BI82" s="59"/>
      <c r="BJ82" s="59"/>
      <c r="BK82" s="57"/>
      <c r="BL82" s="59"/>
      <c r="BM82" s="59"/>
      <c r="BN82" s="59"/>
      <c r="BO82" s="61"/>
      <c r="BP82" s="1833"/>
      <c r="BQ82" s="1126" t="s">
        <v>777</v>
      </c>
      <c r="BR82" s="1125"/>
      <c r="BT82" s="76"/>
      <c r="BU82" s="76"/>
      <c r="BV82" s="76"/>
      <c r="BW82" s="76"/>
      <c r="BX82" s="76"/>
      <c r="BY82" s="103"/>
      <c r="BZ82" s="76"/>
      <c r="CA82" s="76"/>
      <c r="CB82" s="76"/>
      <c r="CC82" s="126"/>
      <c r="CD82" s="76"/>
      <c r="CE82" s="76"/>
      <c r="CF82" s="76"/>
      <c r="CG82" s="59"/>
      <c r="CH82" s="76"/>
      <c r="CI82" s="59"/>
      <c r="CJ82" s="59"/>
      <c r="CK82" s="61"/>
      <c r="CL82" s="1825"/>
      <c r="CM82" s="43"/>
    </row>
    <row r="83" spans="2:91" ht="21" customHeight="1">
      <c r="B83" s="1809"/>
      <c r="C83" s="50"/>
      <c r="D83" s="124"/>
      <c r="E83" s="124"/>
      <c r="F83" s="124"/>
      <c r="G83" s="124"/>
      <c r="H83" s="124"/>
      <c r="I83" s="59"/>
      <c r="J83" s="59"/>
      <c r="K83" s="59"/>
      <c r="L83" s="59"/>
      <c r="M83" s="59"/>
      <c r="N83" s="59"/>
      <c r="O83" s="59"/>
      <c r="P83" s="59"/>
      <c r="Q83" s="59"/>
      <c r="R83" s="59"/>
      <c r="S83" s="59"/>
      <c r="T83" s="59"/>
      <c r="U83" s="59"/>
      <c r="V83" s="59"/>
      <c r="W83" s="59"/>
      <c r="X83" s="59"/>
      <c r="Y83" s="59"/>
      <c r="Z83" s="59"/>
      <c r="AA83" s="59"/>
      <c r="AB83" s="59"/>
      <c r="AC83" s="59"/>
      <c r="AD83" s="59"/>
      <c r="AE83" s="59"/>
      <c r="AF83" s="55"/>
      <c r="AG83" s="120"/>
      <c r="AH83" s="1839"/>
      <c r="AI83" s="122"/>
      <c r="AJ83" s="127"/>
      <c r="AK83" s="127"/>
      <c r="AL83" s="127"/>
      <c r="AM83" s="127"/>
      <c r="AN83" s="127"/>
      <c r="AO83" s="127"/>
      <c r="AP83" s="127"/>
      <c r="AQ83" s="59"/>
      <c r="AR83" s="59"/>
      <c r="AS83" s="59"/>
      <c r="AT83" s="59"/>
      <c r="AU83" s="416" t="s">
        <v>778</v>
      </c>
      <c r="AX83" s="416"/>
      <c r="AY83" s="416"/>
      <c r="AZ83" s="416"/>
      <c r="BA83" s="3576" t="s">
        <v>100</v>
      </c>
      <c r="BB83" s="3576"/>
      <c r="BC83" s="3576"/>
      <c r="BD83" s="3576"/>
      <c r="BE83" s="3576"/>
      <c r="BF83" s="3576"/>
      <c r="BG83" s="3576"/>
      <c r="BH83" s="427"/>
      <c r="BI83" s="427"/>
      <c r="BJ83" s="427"/>
      <c r="BK83" s="3576" t="s">
        <v>461</v>
      </c>
      <c r="BL83" s="3576"/>
      <c r="BM83" s="3576"/>
      <c r="BN83" s="128"/>
      <c r="BO83" s="61"/>
      <c r="BP83" s="1833"/>
      <c r="BQ83" s="174" t="s">
        <v>779</v>
      </c>
      <c r="BR83" s="125"/>
      <c r="BT83" s="59"/>
      <c r="BU83" s="59"/>
      <c r="BV83" s="59"/>
      <c r="BW83" s="59"/>
      <c r="BX83" s="59"/>
      <c r="BY83" s="59"/>
      <c r="BZ83" s="128"/>
      <c r="CA83" s="128"/>
      <c r="CB83" s="128"/>
      <c r="CC83" s="128"/>
      <c r="CD83" s="128"/>
      <c r="CE83" s="128"/>
      <c r="CF83" s="128"/>
      <c r="CG83" s="59"/>
      <c r="CH83" s="59"/>
      <c r="CI83" s="59"/>
      <c r="CJ83" s="129"/>
      <c r="CK83" s="61"/>
      <c r="CL83" s="1825"/>
      <c r="CM83" s="43"/>
    </row>
    <row r="84" spans="2:91" ht="7.5" customHeight="1">
      <c r="B84" s="1809"/>
      <c r="C84" s="50"/>
      <c r="D84" s="124"/>
      <c r="E84" s="124"/>
      <c r="F84" s="124"/>
      <c r="G84" s="124"/>
      <c r="H84" s="124"/>
      <c r="I84" s="59"/>
      <c r="J84" s="59"/>
      <c r="K84" s="59"/>
      <c r="L84" s="59"/>
      <c r="M84" s="59"/>
      <c r="N84" s="59"/>
      <c r="O84" s="59"/>
      <c r="P84" s="59"/>
      <c r="Q84" s="59"/>
      <c r="R84" s="59"/>
      <c r="S84" s="59"/>
      <c r="T84" s="59"/>
      <c r="U84" s="59"/>
      <c r="V84" s="59"/>
      <c r="W84" s="59"/>
      <c r="X84" s="59"/>
      <c r="Y84" s="59"/>
      <c r="Z84" s="59"/>
      <c r="AA84" s="59"/>
      <c r="AB84" s="59"/>
      <c r="AC84" s="59"/>
      <c r="AD84" s="59"/>
      <c r="AE84" s="59"/>
      <c r="AF84" s="55"/>
      <c r="AG84" s="120"/>
      <c r="AH84" s="1839"/>
      <c r="AI84" s="122"/>
      <c r="AJ84" s="127"/>
      <c r="AK84" s="127"/>
      <c r="AL84" s="127"/>
      <c r="AM84" s="127"/>
      <c r="AN84" s="127"/>
      <c r="AO84" s="127"/>
      <c r="AP84" s="127"/>
      <c r="AQ84" s="59"/>
      <c r="AR84" s="59"/>
      <c r="AS84" s="59"/>
      <c r="AT84" s="59"/>
      <c r="AU84" s="59"/>
      <c r="AV84" s="59"/>
      <c r="AW84" s="59"/>
      <c r="AX84" s="130"/>
      <c r="AY84" s="130"/>
      <c r="AZ84" s="130"/>
      <c r="BA84" s="130"/>
      <c r="BB84" s="130"/>
      <c r="BC84" s="128"/>
      <c r="BD84" s="128"/>
      <c r="BE84" s="128"/>
      <c r="BF84" s="128"/>
      <c r="BG84" s="130"/>
      <c r="BH84" s="130"/>
      <c r="BI84" s="130"/>
      <c r="BJ84" s="130"/>
      <c r="BK84" s="130"/>
      <c r="BL84" s="130"/>
      <c r="BM84" s="130"/>
      <c r="BN84" s="128"/>
      <c r="BO84" s="61"/>
      <c r="BP84" s="1833"/>
      <c r="BQ84" s="458"/>
      <c r="BS84" s="1051"/>
      <c r="BT84" s="1051"/>
      <c r="BU84" s="3575"/>
      <c r="BV84" s="3575"/>
      <c r="BW84" s="3575"/>
      <c r="BX84" s="3575"/>
      <c r="BY84" s="3575"/>
      <c r="BZ84" s="3575"/>
      <c r="CA84" s="127"/>
      <c r="CB84" s="127"/>
      <c r="CC84" s="127"/>
      <c r="CD84" s="127"/>
      <c r="CE84" s="127"/>
      <c r="CF84" s="127"/>
      <c r="CG84" s="59"/>
      <c r="CH84" s="59"/>
      <c r="CI84" s="59"/>
      <c r="CJ84" s="129"/>
      <c r="CK84" s="61"/>
      <c r="CL84" s="1825"/>
      <c r="CM84" s="43"/>
    </row>
    <row r="85" spans="2:91" s="72" customFormat="1" ht="19.5" customHeight="1" thickBot="1">
      <c r="B85" s="1810"/>
      <c r="C85" s="64"/>
      <c r="D85" s="83"/>
      <c r="E85" s="83"/>
      <c r="F85" s="83"/>
      <c r="G85" s="83"/>
      <c r="H85" s="83"/>
      <c r="I85" s="75"/>
      <c r="J85" s="75"/>
      <c r="K85" s="75"/>
      <c r="L85" s="75"/>
      <c r="M85" s="75"/>
      <c r="N85" s="75"/>
      <c r="O85" s="75"/>
      <c r="P85" s="75"/>
      <c r="Q85" s="75"/>
      <c r="R85" s="75"/>
      <c r="S85" s="75"/>
      <c r="T85" s="75"/>
      <c r="U85" s="75"/>
      <c r="V85" s="75"/>
      <c r="W85" s="75"/>
      <c r="X85" s="75"/>
      <c r="Y85" s="75"/>
      <c r="Z85" s="82"/>
      <c r="AA85" s="75"/>
      <c r="AB85" s="82"/>
      <c r="AC85" s="75"/>
      <c r="AD85" s="75"/>
      <c r="AE85" s="75"/>
      <c r="AF85" s="82"/>
      <c r="AG85" s="84"/>
      <c r="AH85" s="1840"/>
      <c r="AI85" s="132"/>
      <c r="AJ85" s="75"/>
      <c r="AK85" s="133"/>
      <c r="AL85" s="419" t="s">
        <v>780</v>
      </c>
      <c r="AM85" s="134"/>
      <c r="AN85" s="134"/>
      <c r="AO85" s="134"/>
      <c r="AP85" s="134"/>
      <c r="AQ85" s="135"/>
      <c r="AR85" s="135"/>
      <c r="AS85" s="134"/>
      <c r="AT85" s="134"/>
      <c r="AU85" s="3581">
        <f>'CALCULS Eaux usées'!E176</f>
        <v>0</v>
      </c>
      <c r="AV85" s="3581"/>
      <c r="AW85" s="3581"/>
      <c r="AX85" s="3581"/>
      <c r="AY85" s="2731">
        <f>'CALCULS Eaux usées'!L176</f>
        <v>0</v>
      </c>
      <c r="AZ85" s="1108"/>
      <c r="BA85" s="3578">
        <f>'CALCULS Eaux usées'!F176</f>
        <v>0</v>
      </c>
      <c r="BB85" s="3578"/>
      <c r="BC85" s="3578"/>
      <c r="BD85" s="3578"/>
      <c r="BE85" s="3578"/>
      <c r="BF85" s="1089"/>
      <c r="BG85" s="2731">
        <f>'CALCULS Eaux usées'!F159</f>
        <v>0</v>
      </c>
      <c r="BH85" s="228"/>
      <c r="BI85" s="3571">
        <f>'CALCULS Eaux usées'!G176</f>
        <v>0</v>
      </c>
      <c r="BJ85" s="3571"/>
      <c r="BK85" s="3571"/>
      <c r="BL85" s="3571"/>
      <c r="BM85" s="3571"/>
      <c r="BN85" s="2719"/>
      <c r="BO85" s="69"/>
      <c r="BP85" s="1836"/>
      <c r="BQ85" s="1128"/>
      <c r="BR85" s="1051"/>
      <c r="BS85" s="1051">
        <f>'CALCULS Eaux usées'!D248</f>
        <v>0</v>
      </c>
      <c r="BT85" s="1051"/>
      <c r="BU85" s="3575"/>
      <c r="BV85" s="3575"/>
      <c r="BW85" s="3575"/>
      <c r="BX85" s="3575"/>
      <c r="BY85" s="3575"/>
      <c r="BZ85" s="3575"/>
      <c r="CA85" s="75"/>
      <c r="CB85" s="75"/>
      <c r="CC85" s="75"/>
      <c r="CD85" s="75"/>
      <c r="CE85" s="75"/>
      <c r="CF85" s="73"/>
      <c r="CG85" s="75"/>
      <c r="CH85" s="75"/>
      <c r="CI85" s="75"/>
      <c r="CJ85" s="75"/>
      <c r="CK85" s="69"/>
      <c r="CL85" s="1835"/>
      <c r="CM85" s="71"/>
    </row>
    <row r="86" spans="2:91" ht="6.75" customHeight="1">
      <c r="B86" s="1809"/>
      <c r="C86" s="50"/>
      <c r="D86" s="59"/>
      <c r="E86" s="59"/>
      <c r="F86" s="59"/>
      <c r="G86" s="59"/>
      <c r="H86" s="59"/>
      <c r="I86" s="59"/>
      <c r="J86" s="59"/>
      <c r="K86" s="59"/>
      <c r="L86" s="59"/>
      <c r="M86" s="59"/>
      <c r="N86" s="59"/>
      <c r="O86" s="59"/>
      <c r="P86" s="59"/>
      <c r="Q86" s="59"/>
      <c r="R86" s="59"/>
      <c r="S86" s="59"/>
      <c r="T86" s="59"/>
      <c r="U86" s="59"/>
      <c r="V86" s="59"/>
      <c r="W86" s="59"/>
      <c r="X86" s="59"/>
      <c r="Y86" s="59"/>
      <c r="Z86" s="55"/>
      <c r="AA86" s="59"/>
      <c r="AB86" s="55"/>
      <c r="AC86" s="59"/>
      <c r="AD86" s="59"/>
      <c r="AE86" s="59"/>
      <c r="AF86" s="55"/>
      <c r="AG86" s="120"/>
      <c r="AH86" s="1839"/>
      <c r="AI86" s="122"/>
      <c r="AJ86" s="59"/>
      <c r="AK86" s="59"/>
      <c r="AL86" s="420"/>
      <c r="AM86" s="59"/>
      <c r="AN86" s="59"/>
      <c r="AO86" s="59"/>
      <c r="AP86" s="59"/>
      <c r="AQ86" s="138"/>
      <c r="AR86" s="138"/>
      <c r="AS86" s="59"/>
      <c r="AT86" s="59"/>
      <c r="AU86" s="1098"/>
      <c r="AV86" s="2725"/>
      <c r="AW86" s="2725"/>
      <c r="AX86" s="2726"/>
      <c r="AY86" s="1107"/>
      <c r="AZ86" s="1107"/>
      <c r="BA86" s="1097"/>
      <c r="BB86" s="1097"/>
      <c r="BC86" s="1096"/>
      <c r="BD86" s="1097"/>
      <c r="BE86" s="1096"/>
      <c r="BF86" s="428"/>
      <c r="BG86" s="1115"/>
      <c r="BH86" s="88"/>
      <c r="BI86" s="1103"/>
      <c r="BJ86" s="1104"/>
      <c r="BK86" s="1104"/>
      <c r="BL86" s="1104"/>
      <c r="BM86" s="1104"/>
      <c r="BN86" s="1104"/>
      <c r="BO86" s="61"/>
      <c r="BP86" s="1833"/>
      <c r="BQ86" s="50"/>
      <c r="BR86" s="59"/>
      <c r="BS86" s="59"/>
      <c r="BT86" s="55"/>
      <c r="BU86" s="59"/>
      <c r="BV86" s="55"/>
      <c r="BW86" s="59"/>
      <c r="BX86" s="59"/>
      <c r="BY86" s="59"/>
      <c r="BZ86" s="59"/>
      <c r="CA86" s="59"/>
      <c r="CB86" s="59"/>
      <c r="CC86" s="59"/>
      <c r="CD86" s="59"/>
      <c r="CE86" s="59"/>
      <c r="CF86" s="89"/>
      <c r="CG86" s="59"/>
      <c r="CH86" s="59"/>
      <c r="CI86" s="59"/>
      <c r="CJ86" s="59"/>
      <c r="CK86" s="61"/>
      <c r="CL86" s="1825"/>
      <c r="CM86" s="43"/>
    </row>
    <row r="87" spans="2:91" s="72" customFormat="1" ht="19.5" customHeight="1" thickBot="1">
      <c r="B87" s="1810"/>
      <c r="C87" s="64"/>
      <c r="D87" s="75"/>
      <c r="E87" s="75"/>
      <c r="F87" s="75"/>
      <c r="G87" s="75"/>
      <c r="H87" s="75"/>
      <c r="I87" s="75"/>
      <c r="J87" s="75"/>
      <c r="K87" s="75"/>
      <c r="L87" s="75"/>
      <c r="M87" s="75"/>
      <c r="N87" s="75"/>
      <c r="O87" s="75"/>
      <c r="P87" s="75"/>
      <c r="Q87" s="75"/>
      <c r="R87" s="75"/>
      <c r="S87" s="75"/>
      <c r="T87" s="75"/>
      <c r="U87" s="75"/>
      <c r="V87" s="75"/>
      <c r="W87" s="75"/>
      <c r="X87" s="75"/>
      <c r="Y87" s="75"/>
      <c r="Z87" s="82"/>
      <c r="AA87" s="75"/>
      <c r="AB87" s="82"/>
      <c r="AC87" s="75"/>
      <c r="AD87" s="75"/>
      <c r="AE87" s="75"/>
      <c r="AF87" s="82"/>
      <c r="AG87" s="84"/>
      <c r="AH87" s="1840"/>
      <c r="AI87" s="132"/>
      <c r="AJ87" s="75"/>
      <c r="AK87" s="139"/>
      <c r="AL87" s="421" t="s">
        <v>781</v>
      </c>
      <c r="AM87" s="140"/>
      <c r="AN87" s="140"/>
      <c r="AO87" s="140"/>
      <c r="AP87" s="140"/>
      <c r="AQ87" s="141"/>
      <c r="AR87" s="141"/>
      <c r="AS87" s="140"/>
      <c r="AT87" s="140"/>
      <c r="AU87" s="3698">
        <f>'CALCULS Eaux usées'!E177</f>
        <v>0</v>
      </c>
      <c r="AV87" s="3698"/>
      <c r="AW87" s="3698"/>
      <c r="AX87" s="3698"/>
      <c r="AY87" s="2732">
        <f>'CALCULS Eaux usées'!L176</f>
        <v>0</v>
      </c>
      <c r="AZ87" s="1109"/>
      <c r="BA87" s="3591">
        <f>'CALCULS Eaux usées'!F177</f>
        <v>0</v>
      </c>
      <c r="BB87" s="3591"/>
      <c r="BC87" s="3591"/>
      <c r="BD87" s="3591"/>
      <c r="BE87" s="3591"/>
      <c r="BF87" s="1090"/>
      <c r="BG87" s="2732">
        <f>'CALCULS Eaux usées'!F159</f>
        <v>0</v>
      </c>
      <c r="BH87" s="229"/>
      <c r="BI87" s="3592">
        <f>'CALCULS Eaux usées'!G177</f>
        <v>0</v>
      </c>
      <c r="BJ87" s="3592"/>
      <c r="BK87" s="3592"/>
      <c r="BL87" s="3592"/>
      <c r="BM87" s="3592"/>
      <c r="BN87" s="2720"/>
      <c r="BO87" s="69"/>
      <c r="BP87" s="1836"/>
      <c r="BQ87" s="64"/>
      <c r="BR87" s="75"/>
      <c r="BS87" s="75"/>
      <c r="BT87" s="82"/>
      <c r="BU87" s="75"/>
      <c r="BV87" s="82"/>
      <c r="BW87" s="75"/>
      <c r="BX87" s="75"/>
      <c r="BY87" s="75"/>
      <c r="BZ87" s="75"/>
      <c r="CA87" s="75"/>
      <c r="CB87" s="75"/>
      <c r="CC87" s="75"/>
      <c r="CD87" s="75"/>
      <c r="CE87" s="75"/>
      <c r="CF87" s="73"/>
      <c r="CG87" s="75"/>
      <c r="CH87" s="75"/>
      <c r="CI87" s="75"/>
      <c r="CJ87" s="75"/>
      <c r="CK87" s="69"/>
      <c r="CL87" s="1835"/>
      <c r="CM87" s="71"/>
    </row>
    <row r="88" spans="2:91" ht="6.75" customHeight="1">
      <c r="B88" s="1809"/>
      <c r="C88" s="50"/>
      <c r="D88" s="59"/>
      <c r="E88" s="59"/>
      <c r="F88" s="59"/>
      <c r="G88" s="59"/>
      <c r="H88" s="59"/>
      <c r="I88" s="59"/>
      <c r="J88" s="59"/>
      <c r="K88" s="59"/>
      <c r="L88" s="59"/>
      <c r="M88" s="59"/>
      <c r="N88" s="59"/>
      <c r="O88" s="59"/>
      <c r="P88" s="59"/>
      <c r="Q88" s="59"/>
      <c r="R88" s="59"/>
      <c r="S88" s="59"/>
      <c r="T88" s="59"/>
      <c r="U88" s="59"/>
      <c r="V88" s="59"/>
      <c r="W88" s="59"/>
      <c r="X88" s="59"/>
      <c r="Y88" s="59"/>
      <c r="Z88" s="55"/>
      <c r="AA88" s="59"/>
      <c r="AB88" s="55"/>
      <c r="AC88" s="59"/>
      <c r="AD88" s="59"/>
      <c r="AE88" s="59"/>
      <c r="AF88" s="55"/>
      <c r="AG88" s="120"/>
      <c r="AH88" s="1839"/>
      <c r="AI88" s="122"/>
      <c r="AJ88" s="59"/>
      <c r="AK88" s="59"/>
      <c r="AL88" s="420"/>
      <c r="AM88" s="59"/>
      <c r="AN88" s="59"/>
      <c r="AO88" s="59"/>
      <c r="AP88" s="59"/>
      <c r="AQ88" s="138"/>
      <c r="AR88" s="138"/>
      <c r="AS88" s="59"/>
      <c r="AT88" s="59"/>
      <c r="AU88" s="1098"/>
      <c r="AV88" s="2725"/>
      <c r="AW88" s="2725"/>
      <c r="AX88" s="2727"/>
      <c r="AY88" s="1110"/>
      <c r="AZ88" s="1110"/>
      <c r="BA88" s="1097"/>
      <c r="BB88" s="1097"/>
      <c r="BC88" s="1095"/>
      <c r="BD88" s="1097"/>
      <c r="BE88" s="1095"/>
      <c r="BF88" s="428"/>
      <c r="BG88" s="1114"/>
      <c r="BH88" s="88"/>
      <c r="BI88" s="1103"/>
      <c r="BJ88" s="1104"/>
      <c r="BK88" s="1104"/>
      <c r="BL88" s="1104"/>
      <c r="BM88" s="1104"/>
      <c r="BN88" s="1104"/>
      <c r="BO88" s="61"/>
      <c r="BP88" s="1833"/>
      <c r="BQ88" s="50"/>
      <c r="BR88" s="59"/>
      <c r="BS88" s="59"/>
      <c r="BT88" s="55"/>
      <c r="BU88" s="59"/>
      <c r="BV88" s="55"/>
      <c r="BW88" s="59"/>
      <c r="BX88" s="59"/>
      <c r="BY88" s="59"/>
      <c r="BZ88" s="59"/>
      <c r="CA88" s="59"/>
      <c r="CB88" s="59"/>
      <c r="CC88" s="59"/>
      <c r="CD88" s="59"/>
      <c r="CE88" s="59"/>
      <c r="CF88" s="89"/>
      <c r="CG88" s="59"/>
      <c r="CH88" s="59"/>
      <c r="CI88" s="59"/>
      <c r="CJ88" s="59"/>
      <c r="CK88" s="61"/>
      <c r="CL88" s="1825"/>
      <c r="CM88" s="43"/>
    </row>
    <row r="89" spans="2:91" s="72" customFormat="1" ht="19.5" customHeight="1" thickBot="1">
      <c r="B89" s="1810"/>
      <c r="C89" s="64"/>
      <c r="D89" s="75"/>
      <c r="E89" s="75"/>
      <c r="F89" s="75"/>
      <c r="G89" s="75"/>
      <c r="H89" s="75"/>
      <c r="I89" s="75"/>
      <c r="J89" s="75"/>
      <c r="K89" s="75"/>
      <c r="L89" s="75"/>
      <c r="M89" s="75"/>
      <c r="N89" s="75"/>
      <c r="O89" s="75"/>
      <c r="P89" s="75"/>
      <c r="Q89" s="75"/>
      <c r="R89" s="75"/>
      <c r="S89" s="75"/>
      <c r="T89" s="75"/>
      <c r="U89" s="75"/>
      <c r="V89" s="75"/>
      <c r="W89" s="75"/>
      <c r="X89" s="75"/>
      <c r="Y89" s="75"/>
      <c r="Z89" s="82"/>
      <c r="AA89" s="75"/>
      <c r="AB89" s="82"/>
      <c r="AC89" s="75"/>
      <c r="AD89" s="75"/>
      <c r="AE89" s="75"/>
      <c r="AF89" s="82"/>
      <c r="AG89" s="84"/>
      <c r="AH89" s="1840"/>
      <c r="AI89" s="132"/>
      <c r="AJ89" s="75"/>
      <c r="AK89" s="142"/>
      <c r="AL89" s="422" t="s">
        <v>482</v>
      </c>
      <c r="AM89" s="143"/>
      <c r="AN89" s="143"/>
      <c r="AO89" s="143"/>
      <c r="AP89" s="143"/>
      <c r="AQ89" s="144"/>
      <c r="AR89" s="144"/>
      <c r="AS89" s="143"/>
      <c r="AT89" s="143"/>
      <c r="AU89" s="3566">
        <f>'CALCULS Eaux usées'!E178</f>
        <v>0</v>
      </c>
      <c r="AV89" s="3566"/>
      <c r="AW89" s="3566"/>
      <c r="AX89" s="3566"/>
      <c r="AY89" s="2733">
        <f>'CALCULS Eaux usées'!L177</f>
        <v>0</v>
      </c>
      <c r="AZ89" s="1111"/>
      <c r="BA89" s="3610">
        <f>'CALCULS Eaux usées'!F178</f>
        <v>0</v>
      </c>
      <c r="BB89" s="3610"/>
      <c r="BC89" s="3610"/>
      <c r="BD89" s="3610"/>
      <c r="BE89" s="3610"/>
      <c r="BF89" s="1091"/>
      <c r="BG89" s="2733">
        <f>'CALCULS Eaux usées'!F160</f>
        <v>0</v>
      </c>
      <c r="BH89" s="230"/>
      <c r="BI89" s="3611">
        <f>'CALCULS Eaux usées'!G178</f>
        <v>0</v>
      </c>
      <c r="BJ89" s="3611"/>
      <c r="BK89" s="3611"/>
      <c r="BL89" s="3611"/>
      <c r="BM89" s="3611"/>
      <c r="BN89" s="2721"/>
      <c r="BO89" s="69"/>
      <c r="BP89" s="1836"/>
      <c r="BQ89" s="64"/>
      <c r="BR89" s="75"/>
      <c r="BS89" s="75"/>
      <c r="BT89" s="82"/>
      <c r="BU89" s="75"/>
      <c r="BV89" s="82"/>
      <c r="BW89" s="75"/>
      <c r="BX89" s="75"/>
      <c r="BY89" s="75"/>
      <c r="BZ89" s="75"/>
      <c r="CA89" s="75"/>
      <c r="CB89" s="75"/>
      <c r="CC89" s="75"/>
      <c r="CD89" s="75"/>
      <c r="CE89" s="75"/>
      <c r="CF89" s="73"/>
      <c r="CG89" s="75"/>
      <c r="CH89" s="75"/>
      <c r="CI89" s="75"/>
      <c r="CJ89" s="75"/>
      <c r="CK89" s="69"/>
      <c r="CL89" s="1835"/>
      <c r="CM89" s="71"/>
    </row>
    <row r="90" spans="2:91" ht="6.75" customHeight="1">
      <c r="B90" s="1809"/>
      <c r="C90" s="50"/>
      <c r="D90" s="59"/>
      <c r="E90" s="59"/>
      <c r="F90" s="59"/>
      <c r="G90" s="59"/>
      <c r="H90" s="59"/>
      <c r="I90" s="59"/>
      <c r="J90" s="59"/>
      <c r="K90" s="59"/>
      <c r="L90" s="59"/>
      <c r="M90" s="59"/>
      <c r="N90" s="59"/>
      <c r="O90" s="59"/>
      <c r="P90" s="59"/>
      <c r="Q90" s="59"/>
      <c r="R90" s="59"/>
      <c r="S90" s="59"/>
      <c r="T90" s="59"/>
      <c r="U90" s="59"/>
      <c r="V90" s="59"/>
      <c r="W90" s="59"/>
      <c r="X90" s="59"/>
      <c r="Y90" s="59"/>
      <c r="Z90" s="55"/>
      <c r="AA90" s="59"/>
      <c r="AB90" s="55"/>
      <c r="AC90" s="59"/>
      <c r="AD90" s="59"/>
      <c r="AE90" s="59"/>
      <c r="AF90" s="55"/>
      <c r="AG90" s="120"/>
      <c r="AH90" s="1839"/>
      <c r="AI90" s="122"/>
      <c r="AJ90" s="59"/>
      <c r="AK90" s="59"/>
      <c r="AL90" s="418"/>
      <c r="AM90" s="59"/>
      <c r="AN90" s="59"/>
      <c r="AO90" s="59"/>
      <c r="AP90" s="59"/>
      <c r="AQ90" s="138"/>
      <c r="AR90" s="138"/>
      <c r="AS90" s="59"/>
      <c r="AT90" s="59"/>
      <c r="AU90" s="88"/>
      <c r="AV90" s="2728"/>
      <c r="AW90" s="2728"/>
      <c r="AX90" s="2727"/>
      <c r="AY90" s="1110"/>
      <c r="AZ90" s="1110"/>
      <c r="BA90" s="89"/>
      <c r="BB90" s="89"/>
      <c r="BC90" s="1095"/>
      <c r="BD90" s="89"/>
      <c r="BE90" s="1095"/>
      <c r="BF90" s="428"/>
      <c r="BG90" s="1114"/>
      <c r="BH90" s="88"/>
      <c r="BI90" s="1105"/>
      <c r="BJ90" s="1104"/>
      <c r="BK90" s="1104"/>
      <c r="BL90" s="1104"/>
      <c r="BM90" s="1104"/>
      <c r="BN90" s="1104"/>
      <c r="BO90" s="61"/>
      <c r="BP90" s="1833"/>
      <c r="BQ90" s="50"/>
      <c r="BR90" s="59"/>
      <c r="BS90" s="59"/>
      <c r="BT90" s="55"/>
      <c r="BU90" s="59"/>
      <c r="BV90" s="55"/>
      <c r="BW90" s="59"/>
      <c r="BX90" s="59"/>
      <c r="BY90" s="59"/>
      <c r="BZ90" s="59"/>
      <c r="CA90" s="59"/>
      <c r="CB90" s="59"/>
      <c r="CC90" s="59"/>
      <c r="CD90" s="59"/>
      <c r="CE90" s="59"/>
      <c r="CF90" s="89"/>
      <c r="CG90" s="59"/>
      <c r="CH90" s="59"/>
      <c r="CI90" s="59"/>
      <c r="CJ90" s="59"/>
      <c r="CK90" s="61"/>
      <c r="CL90" s="1825"/>
      <c r="CM90" s="43"/>
    </row>
    <row r="91" spans="2:91" s="72" customFormat="1" ht="19.5" customHeight="1" thickBot="1">
      <c r="B91" s="1810"/>
      <c r="C91" s="64"/>
      <c r="D91" s="75"/>
      <c r="E91" s="75"/>
      <c r="F91" s="75"/>
      <c r="G91" s="75"/>
      <c r="H91" s="75"/>
      <c r="I91" s="75"/>
      <c r="J91" s="75"/>
      <c r="K91" s="75"/>
      <c r="L91" s="75"/>
      <c r="M91" s="75"/>
      <c r="N91" s="75"/>
      <c r="O91" s="75"/>
      <c r="P91" s="75"/>
      <c r="Q91" s="75"/>
      <c r="R91" s="75"/>
      <c r="S91" s="75"/>
      <c r="T91" s="75"/>
      <c r="U91" s="75"/>
      <c r="V91" s="75"/>
      <c r="W91" s="75"/>
      <c r="X91" s="75"/>
      <c r="Y91" s="75"/>
      <c r="Z91" s="82"/>
      <c r="AA91" s="75"/>
      <c r="AB91" s="82"/>
      <c r="AC91" s="75"/>
      <c r="AD91" s="75"/>
      <c r="AE91" s="75"/>
      <c r="AF91" s="82"/>
      <c r="AG91" s="84"/>
      <c r="AH91" s="1840"/>
      <c r="AI91" s="132"/>
      <c r="AJ91" s="75"/>
      <c r="AK91" s="145"/>
      <c r="AL91" s="423" t="s">
        <v>782</v>
      </c>
      <c r="AM91" s="146"/>
      <c r="AN91" s="146"/>
      <c r="AO91" s="146"/>
      <c r="AP91" s="146"/>
      <c r="AQ91" s="147"/>
      <c r="AR91" s="147"/>
      <c r="AS91" s="146"/>
      <c r="AT91" s="146"/>
      <c r="AU91" s="3567">
        <f>'CALCULS Eaux usées'!E179</f>
        <v>0</v>
      </c>
      <c r="AV91" s="3567"/>
      <c r="AW91" s="3567"/>
      <c r="AX91" s="3567"/>
      <c r="AY91" s="2734">
        <f>'CALCULS Eaux usées'!L178</f>
        <v>0</v>
      </c>
      <c r="AZ91" s="1112"/>
      <c r="BA91" s="3699">
        <f>'CALCULS Eaux usées'!F179</f>
        <v>0</v>
      </c>
      <c r="BB91" s="3699"/>
      <c r="BC91" s="3699"/>
      <c r="BD91" s="3699"/>
      <c r="BE91" s="3699"/>
      <c r="BF91" s="1092"/>
      <c r="BG91" s="2734">
        <f>'CALCULS Eaux usées'!F160</f>
        <v>0</v>
      </c>
      <c r="BH91" s="231"/>
      <c r="BI91" s="3565">
        <f>'CALCULS Eaux usées'!G179</f>
        <v>0</v>
      </c>
      <c r="BJ91" s="3565"/>
      <c r="BK91" s="3565"/>
      <c r="BL91" s="3565"/>
      <c r="BM91" s="3565"/>
      <c r="BN91" s="2722"/>
      <c r="BO91" s="69"/>
      <c r="BP91" s="1836"/>
      <c r="BQ91" s="64"/>
      <c r="BR91" s="75"/>
      <c r="BS91" s="75"/>
      <c r="BT91" s="82"/>
      <c r="BU91" s="75"/>
      <c r="BV91" s="82"/>
      <c r="BW91" s="75"/>
      <c r="BX91" s="75"/>
      <c r="BY91" s="75"/>
      <c r="BZ91" s="75"/>
      <c r="CA91" s="75"/>
      <c r="CB91" s="75"/>
      <c r="CC91" s="75"/>
      <c r="CD91" s="75"/>
      <c r="CE91" s="75"/>
      <c r="CF91" s="73"/>
      <c r="CG91" s="75"/>
      <c r="CH91" s="75"/>
      <c r="CI91" s="75"/>
      <c r="CJ91" s="75"/>
      <c r="CK91" s="69"/>
      <c r="CL91" s="1835"/>
      <c r="CM91" s="71"/>
    </row>
    <row r="92" spans="2:91" ht="6.75" customHeight="1">
      <c r="B92" s="1809"/>
      <c r="C92" s="50"/>
      <c r="D92" s="59"/>
      <c r="E92" s="59"/>
      <c r="F92" s="59"/>
      <c r="G92" s="59"/>
      <c r="H92" s="59"/>
      <c r="I92" s="59"/>
      <c r="J92" s="59"/>
      <c r="K92" s="59"/>
      <c r="L92" s="59"/>
      <c r="M92" s="59"/>
      <c r="N92" s="59"/>
      <c r="O92" s="59"/>
      <c r="P92" s="59"/>
      <c r="Q92" s="59"/>
      <c r="R92" s="59"/>
      <c r="S92" s="59"/>
      <c r="T92" s="59"/>
      <c r="U92" s="59"/>
      <c r="V92" s="59"/>
      <c r="W92" s="59"/>
      <c r="X92" s="59"/>
      <c r="Y92" s="59"/>
      <c r="Z92" s="55"/>
      <c r="AA92" s="59"/>
      <c r="AB92" s="55"/>
      <c r="AC92" s="59"/>
      <c r="AD92" s="59"/>
      <c r="AE92" s="59"/>
      <c r="AF92" s="55"/>
      <c r="AG92" s="120"/>
      <c r="AH92" s="1839"/>
      <c r="AI92" s="122"/>
      <c r="AJ92" s="59"/>
      <c r="AK92" s="59"/>
      <c r="AL92" s="418"/>
      <c r="AM92" s="59"/>
      <c r="AN92" s="59"/>
      <c r="AO92" s="59"/>
      <c r="AP92" s="59"/>
      <c r="AQ92" s="138"/>
      <c r="AR92" s="138"/>
      <c r="AS92" s="59"/>
      <c r="AT92" s="59"/>
      <c r="AU92" s="88"/>
      <c r="AV92" s="2728"/>
      <c r="AW92" s="2728"/>
      <c r="AX92" s="2727"/>
      <c r="AY92" s="1110"/>
      <c r="AZ92" s="1110"/>
      <c r="BA92" s="89"/>
      <c r="BB92" s="89"/>
      <c r="BC92" s="1095"/>
      <c r="BD92" s="89"/>
      <c r="BE92" s="1095"/>
      <c r="BF92" s="428"/>
      <c r="BG92" s="1114"/>
      <c r="BH92" s="88"/>
      <c r="BI92" s="1105"/>
      <c r="BJ92" s="1104"/>
      <c r="BK92" s="1104"/>
      <c r="BL92" s="1104"/>
      <c r="BM92" s="1104"/>
      <c r="BN92" s="1104"/>
      <c r="BO92" s="61"/>
      <c r="BP92" s="1833"/>
      <c r="BQ92" s="50"/>
      <c r="BR92" s="59"/>
      <c r="BS92" s="59"/>
      <c r="BT92" s="55"/>
      <c r="BU92" s="59"/>
      <c r="BV92" s="55"/>
      <c r="BW92" s="59"/>
      <c r="BX92" s="59"/>
      <c r="BY92" s="59"/>
      <c r="BZ92" s="59"/>
      <c r="CA92" s="59"/>
      <c r="CB92" s="59"/>
      <c r="CC92" s="59"/>
      <c r="CD92" s="59"/>
      <c r="CE92" s="59"/>
      <c r="CF92" s="89"/>
      <c r="CG92" s="59"/>
      <c r="CH92" s="59"/>
      <c r="CI92" s="59"/>
      <c r="CJ92" s="59"/>
      <c r="CK92" s="61"/>
      <c r="CL92" s="1825"/>
      <c r="CM92" s="43"/>
    </row>
    <row r="93" spans="2:91" s="72" customFormat="1" ht="19.5" customHeight="1" thickBot="1">
      <c r="B93" s="1810"/>
      <c r="C93" s="64"/>
      <c r="D93" s="75"/>
      <c r="E93" s="75"/>
      <c r="F93" s="75"/>
      <c r="G93" s="75"/>
      <c r="H93" s="75"/>
      <c r="I93" s="75"/>
      <c r="J93" s="75"/>
      <c r="K93" s="75"/>
      <c r="L93" s="75"/>
      <c r="M93" s="75"/>
      <c r="N93" s="75"/>
      <c r="O93" s="75"/>
      <c r="P93" s="75"/>
      <c r="Q93" s="75"/>
      <c r="R93" s="75"/>
      <c r="S93" s="75"/>
      <c r="T93" s="75"/>
      <c r="U93" s="75"/>
      <c r="V93" s="75"/>
      <c r="W93" s="75"/>
      <c r="X93" s="75"/>
      <c r="Y93" s="75"/>
      <c r="Z93" s="82"/>
      <c r="AA93" s="75"/>
      <c r="AB93" s="82"/>
      <c r="AC93" s="75"/>
      <c r="AD93" s="75"/>
      <c r="AE93" s="75"/>
      <c r="AF93" s="82"/>
      <c r="AG93" s="84"/>
      <c r="AH93" s="1840"/>
      <c r="AI93" s="132"/>
      <c r="AJ93" s="75"/>
      <c r="AK93" s="149"/>
      <c r="AL93" s="424" t="s">
        <v>783</v>
      </c>
      <c r="AM93" s="150"/>
      <c r="AN93" s="150"/>
      <c r="AO93" s="150"/>
      <c r="AP93" s="150"/>
      <c r="AQ93" s="151"/>
      <c r="AR93" s="151"/>
      <c r="AS93" s="150"/>
      <c r="AT93" s="150"/>
      <c r="AU93" s="3568">
        <f>'CALCULS Eaux usées'!E180</f>
        <v>0</v>
      </c>
      <c r="AV93" s="3568"/>
      <c r="AW93" s="3568"/>
      <c r="AX93" s="3568"/>
      <c r="AY93" s="2735">
        <f>'CALCULS Eaux usées'!L178</f>
        <v>0</v>
      </c>
      <c r="AZ93" s="1113"/>
      <c r="BA93" s="3606">
        <f>'CALCULS Eaux usées'!F180</f>
        <v>0</v>
      </c>
      <c r="BB93" s="3606"/>
      <c r="BC93" s="3606"/>
      <c r="BD93" s="3606"/>
      <c r="BE93" s="3606"/>
      <c r="BF93" s="1093"/>
      <c r="BG93" s="2735">
        <f>'CALCULS Eaux usées'!F160</f>
        <v>0</v>
      </c>
      <c r="BH93" s="232"/>
      <c r="BI93" s="3572">
        <f>'CALCULS Eaux usées'!G180</f>
        <v>0</v>
      </c>
      <c r="BJ93" s="3572"/>
      <c r="BK93" s="3572"/>
      <c r="BL93" s="3572"/>
      <c r="BM93" s="3572"/>
      <c r="BN93" s="2723"/>
      <c r="BO93" s="69"/>
      <c r="BP93" s="1836"/>
      <c r="BQ93" s="64"/>
      <c r="BR93" s="75"/>
      <c r="BS93" s="75"/>
      <c r="BT93" s="82"/>
      <c r="BU93" s="75"/>
      <c r="BV93" s="82"/>
      <c r="BW93" s="75"/>
      <c r="BX93" s="75"/>
      <c r="BY93" s="75"/>
      <c r="BZ93" s="75"/>
      <c r="CA93" s="75"/>
      <c r="CB93" s="75"/>
      <c r="CC93" s="75"/>
      <c r="CD93" s="75"/>
      <c r="CE93" s="75"/>
      <c r="CF93" s="73"/>
      <c r="CG93" s="75"/>
      <c r="CH93" s="75"/>
      <c r="CI93" s="75"/>
      <c r="CJ93" s="75"/>
      <c r="CK93" s="69"/>
      <c r="CL93" s="1835"/>
      <c r="CM93" s="71"/>
    </row>
    <row r="94" spans="2:91" ht="9" customHeight="1">
      <c r="B94" s="1809"/>
      <c r="C94" s="50"/>
      <c r="D94" s="59"/>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5"/>
      <c r="AG94" s="120"/>
      <c r="AH94" s="1839"/>
      <c r="AI94" s="122"/>
      <c r="AJ94" s="59"/>
      <c r="AK94" s="59"/>
      <c r="AL94" s="425"/>
      <c r="AM94" s="59"/>
      <c r="AN94" s="59"/>
      <c r="AO94" s="59"/>
      <c r="AP94" s="59"/>
      <c r="AQ94" s="59"/>
      <c r="AR94" s="59"/>
      <c r="AS94" s="59"/>
      <c r="AT94" s="59"/>
      <c r="AU94" s="138"/>
      <c r="AV94" s="2729"/>
      <c r="AW94" s="2729"/>
      <c r="AX94" s="2730"/>
      <c r="AY94" s="1114"/>
      <c r="AZ94" s="1114"/>
      <c r="BA94" s="436"/>
      <c r="BB94" s="436"/>
      <c r="BC94" s="1102"/>
      <c r="BD94" s="436"/>
      <c r="BE94" s="1102"/>
      <c r="BF94" s="417"/>
      <c r="BG94" s="2737"/>
      <c r="BH94" s="103"/>
      <c r="BI94" s="1106"/>
      <c r="BJ94" s="1106"/>
      <c r="BK94" s="1105"/>
      <c r="BL94" s="1105"/>
      <c r="BM94" s="1105"/>
      <c r="BN94" s="1105"/>
      <c r="BO94" s="61"/>
      <c r="BP94" s="1833"/>
      <c r="BQ94" s="50"/>
      <c r="BR94" s="59"/>
      <c r="BS94" s="59"/>
      <c r="BT94" s="59"/>
      <c r="BU94" s="59"/>
      <c r="BV94" s="59"/>
      <c r="BW94" s="59"/>
      <c r="BX94" s="59"/>
      <c r="BY94" s="59"/>
      <c r="BZ94" s="59"/>
      <c r="CA94" s="59"/>
      <c r="CB94" s="59"/>
      <c r="CC94" s="59"/>
      <c r="CD94" s="59"/>
      <c r="CE94" s="59"/>
      <c r="CF94" s="59"/>
      <c r="CG94" s="59"/>
      <c r="CH94" s="59"/>
      <c r="CI94" s="59"/>
      <c r="CJ94" s="59"/>
      <c r="CK94" s="61"/>
      <c r="CL94" s="1825"/>
      <c r="CM94" s="43"/>
    </row>
    <row r="95" spans="2:91" ht="9" customHeight="1">
      <c r="B95" s="1809"/>
      <c r="C95" s="50"/>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5"/>
      <c r="AG95" s="120"/>
      <c r="AH95" s="1839"/>
      <c r="AI95" s="122"/>
      <c r="AJ95" s="59"/>
      <c r="AK95" s="59"/>
      <c r="AL95" s="425"/>
      <c r="AM95" s="59"/>
      <c r="AN95" s="59"/>
      <c r="AO95" s="59"/>
      <c r="AP95" s="59"/>
      <c r="AQ95" s="59"/>
      <c r="AR95" s="59"/>
      <c r="AS95" s="59"/>
      <c r="AT95" s="59"/>
      <c r="AU95" s="138"/>
      <c r="AV95" s="2729"/>
      <c r="AW95" s="2729"/>
      <c r="AX95" s="2730"/>
      <c r="AY95" s="1114"/>
      <c r="AZ95" s="1114"/>
      <c r="BA95" s="436"/>
      <c r="BB95" s="436"/>
      <c r="BC95" s="1102"/>
      <c r="BD95" s="436"/>
      <c r="BE95" s="1102"/>
      <c r="BF95" s="417"/>
      <c r="BG95" s="2737"/>
      <c r="BH95" s="103"/>
      <c r="BI95" s="1106"/>
      <c r="BJ95" s="1106"/>
      <c r="BK95" s="1105"/>
      <c r="BL95" s="1105"/>
      <c r="BM95" s="1105"/>
      <c r="BN95" s="1105"/>
      <c r="BO95" s="61"/>
      <c r="BP95" s="1833"/>
      <c r="BQ95" s="50"/>
      <c r="BR95" s="59"/>
      <c r="BS95" s="59"/>
      <c r="BT95" s="59"/>
      <c r="BU95" s="59"/>
      <c r="BV95" s="59"/>
      <c r="BW95" s="59"/>
      <c r="BX95" s="59"/>
      <c r="BY95" s="59"/>
      <c r="BZ95" s="59"/>
      <c r="CA95" s="59"/>
      <c r="CB95" s="59"/>
      <c r="CC95" s="59"/>
      <c r="CD95" s="59"/>
      <c r="CE95" s="59"/>
      <c r="CF95" s="59"/>
      <c r="CG95" s="59"/>
      <c r="CH95" s="59"/>
      <c r="CI95" s="59"/>
      <c r="CJ95" s="59"/>
      <c r="CK95" s="61"/>
      <c r="CL95" s="1825"/>
      <c r="CM95" s="43"/>
    </row>
    <row r="96" spans="2:91" s="72" customFormat="1" ht="19.5" customHeight="1" thickBot="1">
      <c r="B96" s="1810"/>
      <c r="C96" s="64"/>
      <c r="D96" s="75"/>
      <c r="E96" s="75"/>
      <c r="F96" s="75"/>
      <c r="G96" s="75"/>
      <c r="H96" s="75"/>
      <c r="I96" s="75"/>
      <c r="J96" s="75"/>
      <c r="K96" s="75"/>
      <c r="L96" s="75"/>
      <c r="M96" s="75"/>
      <c r="N96" s="75"/>
      <c r="O96" s="75"/>
      <c r="P96" s="75"/>
      <c r="Q96" s="75"/>
      <c r="R96" s="75"/>
      <c r="S96" s="75"/>
      <c r="T96" s="75"/>
      <c r="U96" s="75"/>
      <c r="V96" s="75"/>
      <c r="W96" s="75"/>
      <c r="X96" s="75"/>
      <c r="Y96" s="75"/>
      <c r="Z96" s="82"/>
      <c r="AA96" s="75"/>
      <c r="AB96" s="82"/>
      <c r="AC96" s="75"/>
      <c r="AD96" s="75"/>
      <c r="AE96" s="75"/>
      <c r="AF96" s="75"/>
      <c r="AG96" s="69"/>
      <c r="AH96" s="1841"/>
      <c r="AI96" s="64"/>
      <c r="AJ96" s="75"/>
      <c r="AK96" s="153"/>
      <c r="AL96" s="426" t="s">
        <v>467</v>
      </c>
      <c r="AM96" s="154"/>
      <c r="AN96" s="154"/>
      <c r="AO96" s="154"/>
      <c r="AP96" s="155"/>
      <c r="AQ96" s="154"/>
      <c r="AR96" s="154"/>
      <c r="AS96" s="154"/>
      <c r="AT96" s="154"/>
      <c r="AU96" s="3569">
        <f>'CALCULS Eaux usées'!E181</f>
        <v>0</v>
      </c>
      <c r="AV96" s="3569"/>
      <c r="AW96" s="3569"/>
      <c r="AX96" s="3569"/>
      <c r="AY96" s="2736">
        <f>'CALCULS Eaux usées'!H161</f>
        <v>0</v>
      </c>
      <c r="AZ96" s="154"/>
      <c r="BA96" s="3573">
        <f>'CALCULS Eaux usées'!F181</f>
        <v>0</v>
      </c>
      <c r="BB96" s="3573"/>
      <c r="BC96" s="3573"/>
      <c r="BD96" s="3573"/>
      <c r="BE96" s="3573"/>
      <c r="BF96" s="1094"/>
      <c r="BG96" s="2736">
        <f>'CALCULS Eaux usées'!H159</f>
        <v>0</v>
      </c>
      <c r="BH96" s="233"/>
      <c r="BI96" s="3608">
        <f>'CALCULS Eaux usées'!G181</f>
        <v>0</v>
      </c>
      <c r="BJ96" s="3608"/>
      <c r="BK96" s="3608"/>
      <c r="BL96" s="3608"/>
      <c r="BM96" s="3608"/>
      <c r="BN96" s="2724"/>
      <c r="BO96" s="69"/>
      <c r="BP96" s="1836"/>
      <c r="BQ96" s="64"/>
      <c r="BR96" s="3600" t="s">
        <v>2287</v>
      </c>
      <c r="BS96" s="3600"/>
      <c r="BT96" s="3600"/>
      <c r="BU96" s="3600"/>
      <c r="BV96" s="3600"/>
      <c r="BW96" s="3600"/>
      <c r="BX96" s="3600"/>
      <c r="BY96" s="3600"/>
      <c r="BZ96" s="3600"/>
      <c r="CA96" s="3600"/>
      <c r="CB96" s="3600"/>
      <c r="CC96" s="3600" t="s">
        <v>784</v>
      </c>
      <c r="CD96" s="3600"/>
      <c r="CE96" s="3600"/>
      <c r="CF96" s="3600"/>
      <c r="CG96" s="3600"/>
      <c r="CH96" s="3600"/>
      <c r="CI96" s="3600"/>
      <c r="CJ96" s="3600"/>
      <c r="CK96" s="3601"/>
      <c r="CL96" s="1835"/>
      <c r="CM96" s="71"/>
    </row>
    <row r="97" spans="2:91" ht="16.5" customHeight="1">
      <c r="B97" s="1809"/>
      <c r="C97" s="91"/>
      <c r="D97" s="92"/>
      <c r="E97" s="92"/>
      <c r="F97" s="92"/>
      <c r="G97" s="92"/>
      <c r="H97" s="92"/>
      <c r="I97" s="92"/>
      <c r="J97" s="92"/>
      <c r="K97" s="92"/>
      <c r="L97" s="92"/>
      <c r="M97" s="92"/>
      <c r="N97" s="92"/>
      <c r="O97" s="92"/>
      <c r="P97" s="92"/>
      <c r="Q97" s="92"/>
      <c r="R97" s="92"/>
      <c r="S97" s="92"/>
      <c r="T97" s="92"/>
      <c r="U97" s="92"/>
      <c r="V97" s="92"/>
      <c r="W97" s="92"/>
      <c r="X97" s="92"/>
      <c r="Y97" s="92"/>
      <c r="Z97" s="156"/>
      <c r="AA97" s="92"/>
      <c r="AB97" s="156"/>
      <c r="AC97" s="92"/>
      <c r="AD97" s="92"/>
      <c r="AE97" s="92"/>
      <c r="AF97" s="92"/>
      <c r="AG97" s="93"/>
      <c r="AH97" s="1828"/>
      <c r="AI97" s="91"/>
      <c r="AJ97" s="92"/>
      <c r="AK97" s="92"/>
      <c r="AL97" s="157"/>
      <c r="AM97" s="92"/>
      <c r="AN97" s="92"/>
      <c r="AO97" s="92"/>
      <c r="AP97" s="92"/>
      <c r="AQ97" s="92"/>
      <c r="AR97" s="92"/>
      <c r="AS97" s="92"/>
      <c r="AT97" s="92"/>
      <c r="AU97" s="158"/>
      <c r="AV97" s="158"/>
      <c r="AW97" s="158"/>
      <c r="AX97" s="159"/>
      <c r="AY97" s="159"/>
      <c r="AZ97" s="159"/>
      <c r="BA97" s="159"/>
      <c r="BB97" s="159"/>
      <c r="BC97" s="159"/>
      <c r="BD97" s="159"/>
      <c r="BE97" s="159"/>
      <c r="BF97" s="92"/>
      <c r="BG97" s="92"/>
      <c r="BH97" s="92"/>
      <c r="BI97" s="92"/>
      <c r="BJ97" s="92"/>
      <c r="BK97" s="92"/>
      <c r="BL97" s="92"/>
      <c r="BM97" s="92"/>
      <c r="BN97" s="92"/>
      <c r="BO97" s="93"/>
      <c r="BP97" s="1833"/>
      <c r="BQ97" s="50"/>
      <c r="BR97" s="3600"/>
      <c r="BS97" s="3600"/>
      <c r="BT97" s="3600"/>
      <c r="BU97" s="3600"/>
      <c r="BV97" s="3600"/>
      <c r="BW97" s="3600"/>
      <c r="BX97" s="3600"/>
      <c r="BY97" s="3600"/>
      <c r="BZ97" s="3600"/>
      <c r="CA97" s="3600"/>
      <c r="CB97" s="3600"/>
      <c r="CC97" s="3600"/>
      <c r="CD97" s="3600"/>
      <c r="CE97" s="3600"/>
      <c r="CF97" s="3600"/>
      <c r="CG97" s="3600"/>
      <c r="CH97" s="3600"/>
      <c r="CI97" s="3600"/>
      <c r="CJ97" s="3600"/>
      <c r="CK97" s="3601"/>
      <c r="CL97" s="1825"/>
      <c r="CM97" s="43"/>
    </row>
    <row r="98" spans="2:91" ht="10.5" customHeight="1">
      <c r="B98" s="1809"/>
      <c r="C98" s="1833"/>
      <c r="D98" s="1833"/>
      <c r="E98" s="1833"/>
      <c r="F98" s="1833"/>
      <c r="G98" s="1833"/>
      <c r="H98" s="1833"/>
      <c r="I98" s="1833"/>
      <c r="J98" s="1833"/>
      <c r="K98" s="1833"/>
      <c r="L98" s="1833"/>
      <c r="M98" s="1833"/>
      <c r="N98" s="1833"/>
      <c r="O98" s="1833"/>
      <c r="P98" s="1833"/>
      <c r="Q98" s="1833"/>
      <c r="R98" s="1833"/>
      <c r="S98" s="1833"/>
      <c r="T98" s="1833"/>
      <c r="U98" s="1833"/>
      <c r="V98" s="1833"/>
      <c r="W98" s="1833"/>
      <c r="X98" s="1833"/>
      <c r="Y98" s="1833"/>
      <c r="Z98" s="1751"/>
      <c r="AA98" s="1833"/>
      <c r="AB98" s="1751"/>
      <c r="AC98" s="1833"/>
      <c r="AD98" s="1833"/>
      <c r="AE98" s="1833"/>
      <c r="AF98" s="1833"/>
      <c r="AG98" s="1833"/>
      <c r="AH98" s="1833"/>
      <c r="AI98" s="1833"/>
      <c r="AJ98" s="1833"/>
      <c r="AK98" s="1833"/>
      <c r="AL98" s="1751"/>
      <c r="AM98" s="1833"/>
      <c r="AN98" s="1833"/>
      <c r="AO98" s="1833"/>
      <c r="AP98" s="1833"/>
      <c r="AQ98" s="1833"/>
      <c r="AR98" s="1833"/>
      <c r="AS98" s="1833"/>
      <c r="AT98" s="1833"/>
      <c r="AU98" s="1837"/>
      <c r="AV98" s="1837"/>
      <c r="AW98" s="1837"/>
      <c r="AX98" s="1838"/>
      <c r="AY98" s="1838"/>
      <c r="AZ98" s="1838"/>
      <c r="BA98" s="1838"/>
      <c r="BB98" s="1838"/>
      <c r="BC98" s="1838"/>
      <c r="BD98" s="1838"/>
      <c r="BE98" s="1838"/>
      <c r="BF98" s="1833"/>
      <c r="BG98" s="1833"/>
      <c r="BH98" s="1833"/>
      <c r="BI98" s="1833"/>
      <c r="BJ98" s="1833"/>
      <c r="BK98" s="1833"/>
      <c r="BL98" s="1833"/>
      <c r="BM98" s="1833"/>
      <c r="BN98" s="1833"/>
      <c r="BO98" s="1833"/>
      <c r="BP98" s="1825"/>
      <c r="BQ98" s="59"/>
      <c r="BR98" s="59"/>
      <c r="BS98" s="3609" t="s">
        <v>748</v>
      </c>
      <c r="BT98" s="3607" t="s">
        <v>31</v>
      </c>
      <c r="BU98" s="3607"/>
      <c r="BV98" s="3607"/>
      <c r="BW98" s="3607"/>
      <c r="BX98" s="3607"/>
      <c r="BY98" s="2475"/>
      <c r="BZ98" s="2475"/>
      <c r="CA98" s="2475"/>
      <c r="CC98" s="3602" t="s">
        <v>748</v>
      </c>
      <c r="CD98" s="3602"/>
      <c r="CE98" s="3603" t="s">
        <v>76</v>
      </c>
      <c r="CF98" s="3603"/>
      <c r="CG98" s="3603"/>
      <c r="CH98" s="3603"/>
      <c r="CI98" s="3603"/>
      <c r="CJ98" s="3603"/>
      <c r="CK98" s="3604"/>
      <c r="CL98" s="1825"/>
      <c r="CM98" s="43"/>
    </row>
    <row r="99" spans="2:91" ht="9" customHeight="1" thickBot="1">
      <c r="B99" s="1809"/>
      <c r="C99" s="113"/>
      <c r="D99" s="111"/>
      <c r="E99" s="111"/>
      <c r="F99" s="111"/>
      <c r="G99" s="111"/>
      <c r="H99" s="111"/>
      <c r="I99" s="111"/>
      <c r="J99" s="111"/>
      <c r="K99" s="111"/>
      <c r="L99" s="111"/>
      <c r="M99" s="111"/>
      <c r="N99" s="111"/>
      <c r="O99" s="111"/>
      <c r="P99" s="111"/>
      <c r="Q99" s="111"/>
      <c r="R99" s="111"/>
      <c r="S99" s="111"/>
      <c r="T99" s="111"/>
      <c r="U99" s="111"/>
      <c r="V99" s="111"/>
      <c r="W99" s="111"/>
      <c r="X99" s="111"/>
      <c r="Y99" s="111"/>
      <c r="Z99" s="163"/>
      <c r="AA99" s="111"/>
      <c r="AB99" s="163"/>
      <c r="AC99" s="111"/>
      <c r="AD99" s="111"/>
      <c r="AE99" s="111"/>
      <c r="AF99" s="111"/>
      <c r="AG99" s="111"/>
      <c r="AH99" s="111"/>
      <c r="AI99" s="111"/>
      <c r="AJ99" s="111"/>
      <c r="AK99" s="111"/>
      <c r="AL99" s="163"/>
      <c r="AM99" s="111"/>
      <c r="AN99" s="111"/>
      <c r="AO99" s="111"/>
      <c r="AP99" s="111"/>
      <c r="AQ99" s="111"/>
      <c r="AR99" s="111"/>
      <c r="AS99" s="111"/>
      <c r="AT99" s="111"/>
      <c r="AU99" s="164"/>
      <c r="AV99" s="164"/>
      <c r="AW99" s="164"/>
      <c r="AX99" s="165"/>
      <c r="AY99" s="165"/>
      <c r="AZ99" s="165"/>
      <c r="BA99" s="165"/>
      <c r="BB99" s="165"/>
      <c r="BC99" s="165"/>
      <c r="BD99" s="165"/>
      <c r="BE99" s="165"/>
      <c r="BF99" s="111"/>
      <c r="BG99" s="111"/>
      <c r="BH99" s="111"/>
      <c r="BI99" s="111"/>
      <c r="BJ99" s="111"/>
      <c r="BK99" s="111"/>
      <c r="BL99" s="111"/>
      <c r="BM99" s="111"/>
      <c r="BN99" s="111"/>
      <c r="BO99" s="112"/>
      <c r="BP99" s="1833"/>
      <c r="BQ99" s="50"/>
      <c r="BS99" s="3609"/>
      <c r="BT99" s="3607"/>
      <c r="BU99" s="3607"/>
      <c r="BV99" s="3607"/>
      <c r="BW99" s="3607"/>
      <c r="BX99" s="3607"/>
      <c r="BY99" s="2475"/>
      <c r="BZ99" s="2475"/>
      <c r="CA99" s="2475"/>
      <c r="CB99" s="2476"/>
      <c r="CC99" s="3602"/>
      <c r="CD99" s="3602"/>
      <c r="CE99" s="3603"/>
      <c r="CF99" s="3603"/>
      <c r="CG99" s="3603"/>
      <c r="CH99" s="3603"/>
      <c r="CI99" s="3603"/>
      <c r="CJ99" s="3603"/>
      <c r="CK99" s="3604"/>
      <c r="CL99" s="1825"/>
      <c r="CM99" s="43"/>
    </row>
    <row r="100" spans="2:91" s="72" customFormat="1" ht="16.5" customHeight="1" thickTop="1" thickBot="1">
      <c r="B100" s="1810"/>
      <c r="C100" s="166"/>
      <c r="D100" s="51" t="s">
        <v>785</v>
      </c>
      <c r="E100" s="51"/>
      <c r="F100" s="51"/>
      <c r="G100" s="51"/>
      <c r="H100" s="51"/>
      <c r="AF100" s="75"/>
      <c r="AG100" s="75"/>
      <c r="AH100" s="75"/>
      <c r="AI100" s="75"/>
      <c r="AJ100" s="75"/>
      <c r="AK100" s="62"/>
      <c r="AL100" s="167"/>
      <c r="AM100" s="167"/>
      <c r="AN100" s="168"/>
      <c r="AO100" s="168"/>
      <c r="AP100" s="168"/>
      <c r="AQ100" s="168"/>
      <c r="AR100" s="168"/>
      <c r="AS100" s="168"/>
      <c r="AT100" s="168"/>
      <c r="AU100" s="168"/>
      <c r="AV100" s="168"/>
      <c r="AW100" s="168"/>
      <c r="AX100" s="168"/>
      <c r="AY100" s="168"/>
      <c r="AZ100" s="168"/>
      <c r="BA100" s="168"/>
      <c r="BB100" s="168"/>
      <c r="BC100" s="168"/>
      <c r="BD100" s="168"/>
      <c r="BE100" s="168"/>
      <c r="BF100" s="168"/>
      <c r="BG100" s="168"/>
      <c r="BH100" s="168"/>
      <c r="BI100" s="168"/>
      <c r="BJ100" s="168"/>
      <c r="BK100" s="168"/>
      <c r="BL100" s="168"/>
      <c r="BM100" s="168"/>
      <c r="BN100" s="75"/>
      <c r="BO100" s="169"/>
      <c r="BP100" s="1836"/>
      <c r="BQ100" s="64"/>
      <c r="BR100" s="429"/>
      <c r="BS100" s="2477" t="s">
        <v>748</v>
      </c>
      <c r="BT100" s="2478" t="s">
        <v>75</v>
      </c>
      <c r="BU100" s="2466"/>
      <c r="BV100" s="2466"/>
      <c r="BW100" s="2466"/>
      <c r="BX100" s="2466"/>
      <c r="BY100" s="2466"/>
      <c r="BZ100" s="2466"/>
      <c r="CA100" s="2466"/>
      <c r="CB100" s="2466"/>
      <c r="CD100" s="2478"/>
      <c r="CE100" s="3603"/>
      <c r="CF100" s="3603"/>
      <c r="CG100" s="3603"/>
      <c r="CH100" s="3603"/>
      <c r="CI100" s="3603"/>
      <c r="CJ100" s="3603"/>
      <c r="CK100" s="3604"/>
      <c r="CL100" s="1835"/>
      <c r="CM100" s="71"/>
    </row>
    <row r="101" spans="2:91" ht="6.75" customHeight="1" thickTop="1">
      <c r="B101" s="1809"/>
      <c r="C101" s="115"/>
      <c r="D101" s="59"/>
      <c r="E101" s="59"/>
      <c r="F101" s="59"/>
      <c r="G101" s="59"/>
      <c r="H101" s="59"/>
      <c r="I101" s="59"/>
      <c r="J101" s="59"/>
      <c r="K101" s="59"/>
      <c r="L101" s="59"/>
      <c r="M101" s="59"/>
      <c r="N101" s="59"/>
      <c r="O101" s="59"/>
      <c r="P101" s="59"/>
      <c r="Q101" s="59"/>
      <c r="R101" s="59"/>
      <c r="S101" s="59"/>
      <c r="T101" s="59"/>
      <c r="U101" s="59"/>
      <c r="V101" s="59"/>
      <c r="W101" s="59"/>
      <c r="X101" s="59"/>
      <c r="Y101" s="59"/>
      <c r="Z101" s="55"/>
      <c r="AA101" s="59"/>
      <c r="AB101" s="55"/>
      <c r="AC101" s="59"/>
      <c r="AD101" s="59"/>
      <c r="AE101" s="59"/>
      <c r="AF101" s="59"/>
      <c r="AG101" s="59"/>
      <c r="AH101" s="59"/>
      <c r="AI101" s="59"/>
      <c r="AJ101" s="59"/>
      <c r="AK101" s="59"/>
      <c r="AL101" s="55"/>
      <c r="AM101" s="59"/>
      <c r="AN101" s="59"/>
      <c r="AO101" s="59"/>
      <c r="AP101" s="59"/>
      <c r="AQ101" s="59"/>
      <c r="AR101" s="59"/>
      <c r="AS101" s="59"/>
      <c r="AT101" s="59"/>
      <c r="AU101" s="89"/>
      <c r="AV101" s="89"/>
      <c r="AW101" s="89"/>
      <c r="AX101" s="138"/>
      <c r="AY101" s="138"/>
      <c r="AZ101" s="138"/>
      <c r="BA101" s="138"/>
      <c r="BB101" s="138"/>
      <c r="BC101" s="138"/>
      <c r="BD101" s="138"/>
      <c r="BE101" s="138"/>
      <c r="BF101" s="59"/>
      <c r="BG101" s="59"/>
      <c r="BH101" s="59"/>
      <c r="BI101" s="59"/>
      <c r="BJ101" s="59"/>
      <c r="BK101" s="59"/>
      <c r="BL101" s="59"/>
      <c r="BM101" s="59"/>
      <c r="BN101" s="59"/>
      <c r="BO101" s="114"/>
      <c r="BP101" s="1833"/>
      <c r="BQ101" s="50"/>
      <c r="BR101" s="59"/>
      <c r="BS101" s="59"/>
      <c r="BT101" s="2466"/>
      <c r="BU101" s="2466"/>
      <c r="BV101" s="2466"/>
      <c r="BW101" s="2466"/>
      <c r="BX101" s="2466"/>
      <c r="BY101" s="2466"/>
      <c r="BZ101" s="2466"/>
      <c r="CA101" s="2466"/>
      <c r="CB101" s="2466"/>
      <c r="CC101" s="2466"/>
      <c r="CD101" s="2466"/>
      <c r="CE101" s="2466"/>
      <c r="CF101" s="2466"/>
      <c r="CG101" s="2466"/>
      <c r="CH101" s="2466"/>
      <c r="CI101" s="2466"/>
      <c r="CK101" s="61"/>
      <c r="CL101" s="1825"/>
      <c r="CM101" s="43"/>
    </row>
    <row r="102" spans="2:91" ht="16.5" customHeight="1">
      <c r="B102" s="1809"/>
      <c r="C102" s="115"/>
      <c r="D102" s="1726" t="s">
        <v>842</v>
      </c>
      <c r="E102" s="1724"/>
      <c r="F102" s="1724"/>
      <c r="G102" s="1724"/>
      <c r="H102" s="1724"/>
      <c r="I102" s="1727"/>
      <c r="J102" s="1727"/>
      <c r="K102" s="1728"/>
      <c r="L102" s="1729"/>
      <c r="M102" s="1728"/>
      <c r="N102" s="1730"/>
      <c r="O102" s="1728"/>
      <c r="P102" s="1731"/>
      <c r="Q102" s="1728"/>
      <c r="R102" s="1731"/>
      <c r="S102" s="1728"/>
      <c r="T102" s="1731"/>
      <c r="U102" s="1728"/>
      <c r="V102" s="1731"/>
      <c r="W102" s="1731"/>
      <c r="X102" s="1732"/>
      <c r="Y102" s="1733"/>
      <c r="Z102" s="1733"/>
      <c r="AA102" s="1733"/>
      <c r="AB102" s="1733"/>
      <c r="AC102" s="1733"/>
      <c r="AD102" s="1733"/>
      <c r="AE102" s="1733"/>
      <c r="AF102" s="2244" t="str">
        <f>IF(('CALCULS Eaux usées'!D33='MENU DÉROULANT'!$C$44),"(Aucun actif)","")</f>
        <v/>
      </c>
      <c r="AG102" s="1734"/>
      <c r="AH102" s="59"/>
      <c r="AI102" s="1726" t="s">
        <v>843</v>
      </c>
      <c r="AJ102" s="1727"/>
      <c r="AK102" s="1727"/>
      <c r="AL102" s="1728"/>
      <c r="AM102" s="1729"/>
      <c r="AN102" s="1728"/>
      <c r="AO102" s="1730"/>
      <c r="AP102" s="1728"/>
      <c r="AQ102" s="1731"/>
      <c r="AR102" s="1728"/>
      <c r="AS102" s="1731"/>
      <c r="AT102" s="1728"/>
      <c r="AU102" s="1731"/>
      <c r="AV102" s="1731"/>
      <c r="AW102" s="1731"/>
      <c r="AX102" s="1728"/>
      <c r="AY102" s="1728"/>
      <c r="AZ102" s="1728"/>
      <c r="BA102" s="1731"/>
      <c r="BB102" s="1731"/>
      <c r="BC102" s="1731"/>
      <c r="BD102" s="1732"/>
      <c r="BE102" s="1733"/>
      <c r="BF102" s="1733"/>
      <c r="BG102" s="1733"/>
      <c r="BH102" s="1733"/>
      <c r="BI102" s="1733"/>
      <c r="BJ102" s="1733"/>
      <c r="BK102" s="1733"/>
      <c r="BL102" s="1733"/>
      <c r="BM102" s="2244" t="str">
        <f>IF(('CALCULS Eaux usées'!D41='MENU DÉROULANT'!$F$44),"(Aucun actif)","")</f>
        <v/>
      </c>
      <c r="BN102" s="1734"/>
      <c r="BO102" s="114"/>
      <c r="BP102" s="1833"/>
      <c r="BQ102" s="50"/>
      <c r="BR102" s="2478" t="s">
        <v>49</v>
      </c>
      <c r="BT102" s="2466"/>
      <c r="BU102" s="2466"/>
      <c r="BV102" s="2466"/>
      <c r="BW102" s="2466"/>
      <c r="BX102" s="2466"/>
      <c r="BY102" s="2466"/>
      <c r="BZ102" s="2466"/>
      <c r="CA102" s="2466"/>
      <c r="CB102" s="2466"/>
      <c r="CC102" s="2466"/>
      <c r="CD102" s="2466"/>
      <c r="CE102" s="2466"/>
      <c r="CF102" s="2466"/>
      <c r="CG102" s="2466"/>
      <c r="CH102" s="2466"/>
      <c r="CI102" s="2466"/>
      <c r="CJ102" s="3598"/>
      <c r="CK102" s="3599"/>
      <c r="CL102" s="1825"/>
      <c r="CM102" s="43"/>
    </row>
    <row r="103" spans="2:91" ht="10.5" customHeight="1">
      <c r="B103" s="1809"/>
      <c r="C103" s="115"/>
      <c r="D103" s="1059"/>
      <c r="E103" s="1055"/>
      <c r="F103" s="1055"/>
      <c r="G103" s="1055"/>
      <c r="H103" s="1055"/>
      <c r="I103" s="1055"/>
      <c r="J103" s="1055"/>
      <c r="K103" s="1055"/>
      <c r="L103" s="1055"/>
      <c r="M103" s="1055"/>
      <c r="N103" s="1055"/>
      <c r="O103" s="1055"/>
      <c r="P103" s="1055"/>
      <c r="Q103" s="1055"/>
      <c r="R103" s="1055"/>
      <c r="S103" s="1055"/>
      <c r="T103" s="1055"/>
      <c r="U103" s="1055"/>
      <c r="V103" s="1055"/>
      <c r="W103" s="1055"/>
      <c r="X103" s="1055"/>
      <c r="Y103" s="1055"/>
      <c r="Z103" s="1055"/>
      <c r="AA103" s="46"/>
      <c r="AB103" s="460"/>
      <c r="AC103" s="46"/>
      <c r="AD103" s="46"/>
      <c r="AE103" s="46"/>
      <c r="AF103" s="46"/>
      <c r="AG103" s="47"/>
      <c r="AH103" s="59"/>
      <c r="AI103" s="45"/>
      <c r="AJ103" s="46"/>
      <c r="AK103" s="46"/>
      <c r="AL103" s="1055"/>
      <c r="AM103" s="1055"/>
      <c r="AN103" s="1055"/>
      <c r="AO103" s="1055"/>
      <c r="AP103" s="1055"/>
      <c r="AQ103" s="1055"/>
      <c r="AR103" s="1055"/>
      <c r="AS103" s="1055"/>
      <c r="AT103" s="1055"/>
      <c r="AU103" s="1055"/>
      <c r="AV103" s="1055"/>
      <c r="AW103" s="1055"/>
      <c r="AX103" s="1055"/>
      <c r="AY103" s="1055"/>
      <c r="AZ103" s="1055"/>
      <c r="BA103" s="1055"/>
      <c r="BB103" s="1055"/>
      <c r="BC103" s="1055"/>
      <c r="BD103" s="1055"/>
      <c r="BE103" s="1055"/>
      <c r="BF103" s="1055"/>
      <c r="BG103" s="1055"/>
      <c r="BH103" s="1055"/>
      <c r="BI103" s="1055"/>
      <c r="BJ103" s="46"/>
      <c r="BK103" s="46"/>
      <c r="BL103" s="46"/>
      <c r="BM103" s="46"/>
      <c r="BN103" s="47"/>
      <c r="BO103" s="114"/>
      <c r="BP103" s="1833"/>
      <c r="BQ103" s="50"/>
      <c r="BR103" s="55"/>
      <c r="BS103" s="2479" t="s">
        <v>748</v>
      </c>
      <c r="BT103" s="2480" t="s">
        <v>77</v>
      </c>
      <c r="BU103" s="2466"/>
      <c r="BV103" s="2466"/>
      <c r="BW103" s="2466"/>
      <c r="BX103" s="2466"/>
      <c r="BY103" s="2466"/>
      <c r="BZ103" s="2466"/>
      <c r="CA103" s="2466"/>
      <c r="CB103" s="2466"/>
      <c r="CC103" s="2466"/>
      <c r="CD103" s="2466"/>
      <c r="CE103" s="2466"/>
      <c r="CF103" s="2466"/>
      <c r="CG103" s="2466"/>
      <c r="CH103" s="2466"/>
      <c r="CI103" s="2466"/>
      <c r="CK103" s="61"/>
      <c r="CL103" s="1825"/>
      <c r="CM103" s="43"/>
    </row>
    <row r="104" spans="2:91" ht="18" customHeight="1">
      <c r="B104" s="1809"/>
      <c r="C104" s="115"/>
      <c r="D104" s="3648">
        <f>'CALCULS Eaux usées'!O198</f>
        <v>0</v>
      </c>
      <c r="E104" s="3649"/>
      <c r="F104" s="3649"/>
      <c r="G104" s="3649"/>
      <c r="H104" s="3649"/>
      <c r="I104" s="1693" t="s">
        <v>786</v>
      </c>
      <c r="J104" s="3570">
        <f>'CALCULS Eaux usées'!P198</f>
        <v>0</v>
      </c>
      <c r="K104" s="3570"/>
      <c r="L104" s="3570"/>
      <c r="M104" s="3570"/>
      <c r="N104" s="432" t="s">
        <v>4044</v>
      </c>
      <c r="O104" s="433"/>
      <c r="P104" s="1057"/>
      <c r="Q104" s="1057"/>
      <c r="R104" s="1056"/>
      <c r="S104" s="1056"/>
      <c r="T104" s="1056"/>
      <c r="U104" s="433"/>
      <c r="V104" s="433"/>
      <c r="W104" s="433"/>
      <c r="X104" s="433"/>
      <c r="Y104" s="433"/>
      <c r="Z104" s="433"/>
      <c r="AA104" s="1057"/>
      <c r="AB104" s="1057"/>
      <c r="AC104" s="1057"/>
      <c r="AD104" s="3593">
        <f>'CALCULS Eaux usées'!D202</f>
        <v>0</v>
      </c>
      <c r="AE104" s="3593"/>
      <c r="AF104" s="3593"/>
      <c r="AG104" s="3594"/>
      <c r="AH104" s="59"/>
      <c r="AI104" s="50"/>
      <c r="AJ104" s="3696">
        <f>'CALCULS Eaux usées'!O215</f>
        <v>0</v>
      </c>
      <c r="AK104" s="3696"/>
      <c r="AL104" s="3696"/>
      <c r="AM104" s="3696"/>
      <c r="AN104" s="3696"/>
      <c r="AO104" s="3696"/>
      <c r="AP104" s="3696"/>
      <c r="AQ104" s="3696"/>
      <c r="AR104" s="3697" t="s">
        <v>786</v>
      </c>
      <c r="AS104" s="3697"/>
      <c r="AT104" s="3697"/>
      <c r="AU104" s="3570">
        <f>'CALCULS Eaux usées'!P215</f>
        <v>0</v>
      </c>
      <c r="AV104" s="3570"/>
      <c r="AW104" s="3570"/>
      <c r="AX104" s="432" t="s">
        <v>4044</v>
      </c>
      <c r="AY104" s="432"/>
      <c r="AZ104" s="432"/>
      <c r="BA104" s="1056"/>
      <c r="BB104" s="1056"/>
      <c r="BC104" s="1056"/>
      <c r="BD104" s="433"/>
      <c r="BE104" s="433"/>
      <c r="BF104" s="433"/>
      <c r="BG104" s="1057"/>
      <c r="BH104" s="1057"/>
      <c r="BI104" s="1057"/>
      <c r="BJ104" s="1057"/>
      <c r="BK104" s="3593">
        <f>'CALCULS Eaux usées'!D219</f>
        <v>0</v>
      </c>
      <c r="BL104" s="3593"/>
      <c r="BM104" s="3593"/>
      <c r="BN104" s="3594"/>
      <c r="BO104" s="114"/>
      <c r="BP104" s="1833"/>
      <c r="BQ104" s="50"/>
      <c r="BR104" s="55"/>
      <c r="BS104" s="2481" t="s">
        <v>748</v>
      </c>
      <c r="BT104" s="3595" t="s">
        <v>788</v>
      </c>
      <c r="BU104" s="3595"/>
      <c r="BV104" s="3595"/>
      <c r="BW104" s="3595"/>
      <c r="BX104" s="3595"/>
      <c r="BY104" s="3595"/>
      <c r="BZ104" s="3595"/>
      <c r="CA104" s="3595"/>
      <c r="CB104" s="3595"/>
      <c r="CC104" s="3595"/>
      <c r="CD104" s="3595"/>
      <c r="CE104" s="3595"/>
      <c r="CF104" s="3595"/>
      <c r="CG104" s="3595"/>
      <c r="CH104" s="3595"/>
      <c r="CI104" s="3595"/>
      <c r="CJ104" s="3595"/>
      <c r="CK104" s="3605"/>
      <c r="CL104" s="1825"/>
      <c r="CM104" s="43"/>
    </row>
    <row r="105" spans="2:91" ht="10.5" customHeight="1" thickBot="1">
      <c r="B105" s="1809"/>
      <c r="C105" s="115"/>
      <c r="D105" s="1060"/>
      <c r="E105" s="430"/>
      <c r="F105" s="430"/>
      <c r="G105" s="430"/>
      <c r="H105" s="430"/>
      <c r="I105" s="431"/>
      <c r="J105" s="1056"/>
      <c r="K105" s="433"/>
      <c r="L105" s="433"/>
      <c r="M105" s="433"/>
      <c r="N105" s="433"/>
      <c r="O105" s="433"/>
      <c r="P105" s="433"/>
      <c r="Q105" s="433"/>
      <c r="R105" s="1056"/>
      <c r="S105" s="1056"/>
      <c r="T105" s="1056"/>
      <c r="U105" s="433"/>
      <c r="V105" s="433"/>
      <c r="W105" s="433"/>
      <c r="X105" s="433"/>
      <c r="Y105" s="434"/>
      <c r="Z105" s="434"/>
      <c r="AA105" s="1057"/>
      <c r="AB105" s="1057"/>
      <c r="AC105" s="1057"/>
      <c r="AD105" s="1057"/>
      <c r="AE105" s="59"/>
      <c r="AF105" s="59"/>
      <c r="AG105" s="61"/>
      <c r="AH105" s="59"/>
      <c r="AI105" s="50"/>
      <c r="AJ105" s="416"/>
      <c r="AK105" s="416"/>
      <c r="AL105" s="430"/>
      <c r="AM105" s="431"/>
      <c r="AN105" s="1056"/>
      <c r="AO105" s="433"/>
      <c r="AP105" s="433"/>
      <c r="AQ105" s="433"/>
      <c r="AR105" s="433"/>
      <c r="AS105" s="433"/>
      <c r="AT105" s="433"/>
      <c r="AU105" s="433"/>
      <c r="AV105" s="433"/>
      <c r="AW105" s="433"/>
      <c r="AX105" s="1056"/>
      <c r="AY105" s="1056"/>
      <c r="AZ105" s="1056"/>
      <c r="BA105" s="1056"/>
      <c r="BB105" s="1056"/>
      <c r="BC105" s="1056"/>
      <c r="BD105" s="433"/>
      <c r="BE105" s="433"/>
      <c r="BF105" s="433"/>
      <c r="BG105" s="434"/>
      <c r="BH105" s="434"/>
      <c r="BI105" s="434"/>
      <c r="BJ105" s="1057"/>
      <c r="BK105" s="416"/>
      <c r="BL105" s="59"/>
      <c r="BM105" s="59"/>
      <c r="BN105" s="61"/>
      <c r="BO105" s="114"/>
      <c r="BP105" s="1833"/>
      <c r="BQ105" s="50"/>
      <c r="BR105" s="55"/>
      <c r="BS105" s="55"/>
      <c r="BT105" s="3595"/>
      <c r="BU105" s="3595"/>
      <c r="BV105" s="3595"/>
      <c r="BW105" s="3595"/>
      <c r="BX105" s="3595"/>
      <c r="BY105" s="3595"/>
      <c r="BZ105" s="3595"/>
      <c r="CA105" s="3595"/>
      <c r="CB105" s="3595"/>
      <c r="CC105" s="3595"/>
      <c r="CD105" s="3595"/>
      <c r="CE105" s="3595"/>
      <c r="CF105" s="3595"/>
      <c r="CG105" s="3595"/>
      <c r="CH105" s="3595"/>
      <c r="CI105" s="3595"/>
      <c r="CJ105" s="3595"/>
      <c r="CK105" s="3605"/>
      <c r="CL105" s="1825"/>
      <c r="CM105" s="43"/>
    </row>
    <row r="106" spans="2:91" ht="16.5" customHeight="1" thickTop="1">
      <c r="B106" s="1809"/>
      <c r="C106" s="115"/>
      <c r="D106" s="2503" t="s">
        <v>789</v>
      </c>
      <c r="E106" s="2424"/>
      <c r="F106" s="2424"/>
      <c r="G106" s="2424"/>
      <c r="H106" s="2424"/>
      <c r="I106" s="1057"/>
      <c r="J106" s="1057"/>
      <c r="K106" s="1057"/>
      <c r="L106" s="1057"/>
      <c r="M106" s="1057"/>
      <c r="N106" s="1057"/>
      <c r="O106" s="1057"/>
      <c r="P106" s="1057"/>
      <c r="Q106" s="1057"/>
      <c r="R106" s="1057"/>
      <c r="S106" s="1057"/>
      <c r="T106" s="1057"/>
      <c r="U106" s="1057"/>
      <c r="V106" s="1057"/>
      <c r="W106" s="1057"/>
      <c r="X106" s="1057"/>
      <c r="Y106" s="1057"/>
      <c r="Z106" s="1057"/>
      <c r="AA106" s="1057"/>
      <c r="AB106" s="1057"/>
      <c r="AC106" s="1057"/>
      <c r="AD106" s="1057"/>
      <c r="AE106" s="59"/>
      <c r="AF106" s="59"/>
      <c r="AG106" s="61"/>
      <c r="AH106" s="59"/>
      <c r="AI106" s="50"/>
      <c r="AJ106" s="2504" t="s">
        <v>789</v>
      </c>
      <c r="AK106" s="416"/>
      <c r="AL106" s="1058"/>
      <c r="AM106" s="1057"/>
      <c r="AN106" s="1057"/>
      <c r="AO106" s="1057"/>
      <c r="AP106" s="1057"/>
      <c r="AQ106" s="1057"/>
      <c r="AR106" s="1057"/>
      <c r="AS106" s="1057"/>
      <c r="AT106" s="1057"/>
      <c r="AU106" s="1057"/>
      <c r="AV106" s="1057"/>
      <c r="AW106" s="1057"/>
      <c r="AX106" s="1057"/>
      <c r="AY106" s="1057"/>
      <c r="AZ106" s="1057"/>
      <c r="BA106" s="1057"/>
      <c r="BB106" s="1057"/>
      <c r="BC106" s="1057"/>
      <c r="BD106" s="1057"/>
      <c r="BE106" s="1057"/>
      <c r="BF106" s="1057"/>
      <c r="BG106" s="1057"/>
      <c r="BH106" s="1057"/>
      <c r="BI106" s="1057"/>
      <c r="BJ106" s="1057"/>
      <c r="BK106" s="416"/>
      <c r="BL106" s="59"/>
      <c r="BM106" s="59"/>
      <c r="BN106" s="61"/>
      <c r="BO106" s="114"/>
      <c r="BP106" s="1833"/>
      <c r="BQ106" s="50"/>
      <c r="BR106" s="2482"/>
      <c r="BS106" s="59"/>
      <c r="BT106" s="2466"/>
      <c r="BU106" s="2466"/>
      <c r="BV106" s="2466"/>
      <c r="BW106" s="2466"/>
      <c r="BY106" s="2466"/>
      <c r="BZ106" s="2466"/>
      <c r="CA106" s="2466"/>
      <c r="CF106" s="2483" t="s">
        <v>31</v>
      </c>
      <c r="CG106" s="2466"/>
      <c r="CJ106" s="2484" t="s">
        <v>32</v>
      </c>
      <c r="CK106" s="2485"/>
      <c r="CL106" s="1825"/>
      <c r="CM106" s="43"/>
    </row>
    <row r="107" spans="2:91" ht="5.25" customHeight="1">
      <c r="B107" s="1809"/>
      <c r="C107" s="115"/>
      <c r="D107" s="50"/>
      <c r="E107" s="59"/>
      <c r="F107" s="59"/>
      <c r="G107" s="59"/>
      <c r="H107" s="59"/>
      <c r="I107" s="59"/>
      <c r="J107" s="59"/>
      <c r="K107" s="59"/>
      <c r="L107" s="59"/>
      <c r="M107" s="59"/>
      <c r="N107" s="59"/>
      <c r="O107" s="59"/>
      <c r="P107" s="59"/>
      <c r="Q107" s="59"/>
      <c r="R107" s="59"/>
      <c r="S107" s="59"/>
      <c r="T107" s="59"/>
      <c r="U107" s="59"/>
      <c r="V107" s="59"/>
      <c r="W107" s="59"/>
      <c r="X107" s="59"/>
      <c r="Y107" s="59"/>
      <c r="Z107" s="55"/>
      <c r="AA107" s="59"/>
      <c r="AB107" s="55"/>
      <c r="AC107" s="59"/>
      <c r="AD107" s="59"/>
      <c r="AE107" s="59"/>
      <c r="AF107" s="59"/>
      <c r="AG107" s="61"/>
      <c r="AH107" s="59"/>
      <c r="AI107" s="50"/>
      <c r="AJ107" s="59"/>
      <c r="AK107" s="59"/>
      <c r="AL107" s="55"/>
      <c r="AM107" s="59"/>
      <c r="AN107" s="59"/>
      <c r="AO107" s="59"/>
      <c r="AP107" s="59"/>
      <c r="AQ107" s="59"/>
      <c r="AR107" s="59"/>
      <c r="AS107" s="59"/>
      <c r="AT107" s="59"/>
      <c r="AU107" s="89"/>
      <c r="AV107" s="89"/>
      <c r="AW107" s="89"/>
      <c r="AX107" s="138"/>
      <c r="AY107" s="138"/>
      <c r="AZ107" s="138"/>
      <c r="BA107" s="138"/>
      <c r="BB107" s="138"/>
      <c r="BC107" s="138"/>
      <c r="BD107" s="138"/>
      <c r="BE107" s="138"/>
      <c r="BF107" s="59"/>
      <c r="BG107" s="59"/>
      <c r="BH107" s="59"/>
      <c r="BI107" s="59"/>
      <c r="BJ107" s="59"/>
      <c r="BK107" s="59"/>
      <c r="BL107" s="59"/>
      <c r="BM107" s="59"/>
      <c r="BN107" s="61"/>
      <c r="BO107" s="114"/>
      <c r="BP107" s="1833"/>
      <c r="BQ107" s="50"/>
      <c r="BR107" s="2486"/>
      <c r="BS107" s="3595" t="s">
        <v>4043</v>
      </c>
      <c r="BT107" s="3595"/>
      <c r="BU107" s="3595"/>
      <c r="BV107" s="3595"/>
      <c r="BW107" s="3595"/>
      <c r="BX107" s="3595"/>
      <c r="BY107" s="2466"/>
      <c r="BZ107" s="2466"/>
      <c r="CA107" s="2466"/>
      <c r="CB107" s="2466"/>
      <c r="CC107" s="2466"/>
      <c r="CD107" s="2466"/>
      <c r="CE107" s="2466"/>
      <c r="CF107" s="2466"/>
      <c r="CG107" s="2466"/>
      <c r="CH107" s="2466"/>
      <c r="CI107" s="2466"/>
      <c r="CJ107" s="59"/>
      <c r="CK107" s="61"/>
      <c r="CL107" s="1825"/>
      <c r="CM107" s="43"/>
    </row>
    <row r="108" spans="2:91" ht="22.5" customHeight="1" thickBot="1">
      <c r="B108" s="1809"/>
      <c r="C108" s="115"/>
      <c r="D108" s="50"/>
      <c r="E108" s="59"/>
      <c r="F108" s="59"/>
      <c r="G108" s="59"/>
      <c r="H108" s="59"/>
      <c r="I108" s="59"/>
      <c r="J108" s="59"/>
      <c r="K108" s="59"/>
      <c r="L108" s="59"/>
      <c r="M108" s="59"/>
      <c r="N108" s="59"/>
      <c r="O108" s="59"/>
      <c r="P108" s="59"/>
      <c r="Q108" s="59"/>
      <c r="R108" s="59"/>
      <c r="S108" s="59"/>
      <c r="T108" s="59"/>
      <c r="U108" s="59"/>
      <c r="V108" s="59"/>
      <c r="W108" s="59"/>
      <c r="X108" s="59"/>
      <c r="Y108" s="59"/>
      <c r="Z108" s="55"/>
      <c r="AA108" s="59"/>
      <c r="AB108" s="55"/>
      <c r="AC108" s="59"/>
      <c r="AD108" s="59"/>
      <c r="AE108" s="59"/>
      <c r="AF108" s="59"/>
      <c r="AG108" s="61"/>
      <c r="AH108" s="59"/>
      <c r="AI108" s="50"/>
      <c r="AJ108" s="59"/>
      <c r="AK108" s="59"/>
      <c r="AL108" s="55"/>
      <c r="AM108" s="59"/>
      <c r="AN108" s="59"/>
      <c r="AO108" s="59"/>
      <c r="AP108" s="59"/>
      <c r="AQ108" s="59"/>
      <c r="AR108" s="59"/>
      <c r="AS108" s="59"/>
      <c r="AT108" s="59"/>
      <c r="AU108" s="89"/>
      <c r="AV108" s="89"/>
      <c r="AW108" s="89"/>
      <c r="AX108" s="138"/>
      <c r="AY108" s="138"/>
      <c r="AZ108" s="138"/>
      <c r="BA108" s="138"/>
      <c r="BB108" s="138"/>
      <c r="BC108" s="138"/>
      <c r="BD108" s="138"/>
      <c r="BE108" s="138"/>
      <c r="BF108" s="59"/>
      <c r="BG108" s="59"/>
      <c r="BH108" s="59"/>
      <c r="BI108" s="59"/>
      <c r="BJ108" s="59"/>
      <c r="BK108" s="59"/>
      <c r="BL108" s="59"/>
      <c r="BM108" s="59"/>
      <c r="BN108" s="61"/>
      <c r="BO108" s="114"/>
      <c r="BP108" s="1833"/>
      <c r="BQ108" s="50"/>
      <c r="BR108" s="2487"/>
      <c r="BS108" s="3596"/>
      <c r="BT108" s="3596"/>
      <c r="BU108" s="3596"/>
      <c r="BV108" s="3596"/>
      <c r="BW108" s="3596"/>
      <c r="BX108" s="3596"/>
      <c r="BY108" s="2488"/>
      <c r="BZ108" s="2523">
        <f>'CALCULS Eaux usées'!M253</f>
        <v>0</v>
      </c>
      <c r="CA108" s="2489"/>
      <c r="CB108" s="3590">
        <f>'CALCULS Eaux usées'!N253</f>
        <v>0</v>
      </c>
      <c r="CC108" s="3590"/>
      <c r="CD108" s="3590"/>
      <c r="CE108" s="3590"/>
      <c r="CF108" s="3590"/>
      <c r="CG108" s="3588">
        <f>'CALCULS Eaux usées'!O253</f>
        <v>0</v>
      </c>
      <c r="CH108" s="3588"/>
      <c r="CI108" s="3588"/>
      <c r="CJ108" s="3588"/>
      <c r="CK108" s="61"/>
      <c r="CL108" s="1825"/>
      <c r="CM108" s="43"/>
    </row>
    <row r="109" spans="2:91" ht="5.25" customHeight="1">
      <c r="B109" s="1809"/>
      <c r="C109" s="115"/>
      <c r="D109" s="50"/>
      <c r="E109" s="59"/>
      <c r="F109" s="59"/>
      <c r="G109" s="59"/>
      <c r="H109" s="59"/>
      <c r="I109" s="59"/>
      <c r="J109" s="59"/>
      <c r="K109" s="59"/>
      <c r="L109" s="59"/>
      <c r="M109" s="59"/>
      <c r="N109" s="59"/>
      <c r="O109" s="59"/>
      <c r="P109" s="59"/>
      <c r="Q109" s="59"/>
      <c r="R109" s="59"/>
      <c r="S109" s="59"/>
      <c r="T109" s="59"/>
      <c r="U109" s="59"/>
      <c r="V109" s="59"/>
      <c r="W109" s="59"/>
      <c r="X109" s="59"/>
      <c r="Y109" s="59"/>
      <c r="Z109" s="55"/>
      <c r="AA109" s="59"/>
      <c r="AB109" s="55"/>
      <c r="AC109" s="59"/>
      <c r="AD109" s="59"/>
      <c r="AE109" s="59"/>
      <c r="AF109" s="59"/>
      <c r="AG109" s="61"/>
      <c r="AH109" s="59"/>
      <c r="AI109" s="50"/>
      <c r="AJ109" s="59"/>
      <c r="AK109" s="59"/>
      <c r="AL109" s="55"/>
      <c r="AM109" s="59"/>
      <c r="AN109" s="59"/>
      <c r="AO109" s="59"/>
      <c r="AP109" s="59"/>
      <c r="AQ109" s="59"/>
      <c r="AR109" s="59"/>
      <c r="AS109" s="59"/>
      <c r="AT109" s="59"/>
      <c r="AU109" s="89"/>
      <c r="AV109" s="89"/>
      <c r="AW109" s="89"/>
      <c r="AX109" s="138"/>
      <c r="AY109" s="138"/>
      <c r="AZ109" s="138"/>
      <c r="BA109" s="138"/>
      <c r="BB109" s="138"/>
      <c r="BC109" s="138"/>
      <c r="BD109" s="138"/>
      <c r="BE109" s="138"/>
      <c r="BF109" s="59"/>
      <c r="BG109" s="59"/>
      <c r="BH109" s="59"/>
      <c r="BI109" s="59"/>
      <c r="BJ109" s="59"/>
      <c r="BK109" s="59"/>
      <c r="BL109" s="59"/>
      <c r="BM109" s="59"/>
      <c r="BN109" s="61"/>
      <c r="BO109" s="114"/>
      <c r="BP109" s="1833"/>
      <c r="BQ109" s="50"/>
      <c r="BR109" s="55"/>
      <c r="BS109" s="55"/>
      <c r="CB109" s="2014"/>
      <c r="CC109" s="2014"/>
      <c r="CD109" s="2014"/>
      <c r="CE109" s="2014"/>
      <c r="CF109" s="2014"/>
      <c r="CG109" s="2525"/>
      <c r="CH109" s="2525"/>
      <c r="CI109" s="2525"/>
      <c r="CJ109" s="2525"/>
      <c r="CK109" s="61"/>
      <c r="CL109" s="1825"/>
      <c r="CM109" s="43"/>
    </row>
    <row r="110" spans="2:91" ht="5.25" customHeight="1">
      <c r="B110" s="1809"/>
      <c r="C110" s="115"/>
      <c r="D110" s="50"/>
      <c r="E110" s="59"/>
      <c r="F110" s="59"/>
      <c r="G110" s="59"/>
      <c r="H110" s="59"/>
      <c r="I110" s="59"/>
      <c r="J110" s="59"/>
      <c r="K110" s="59"/>
      <c r="L110" s="59"/>
      <c r="M110" s="59"/>
      <c r="N110" s="59"/>
      <c r="O110" s="59"/>
      <c r="P110" s="59"/>
      <c r="Q110" s="59"/>
      <c r="R110" s="59"/>
      <c r="S110" s="59"/>
      <c r="T110" s="59"/>
      <c r="U110" s="59"/>
      <c r="V110" s="59"/>
      <c r="W110" s="59"/>
      <c r="X110" s="59"/>
      <c r="Y110" s="59"/>
      <c r="Z110" s="55"/>
      <c r="AA110" s="59"/>
      <c r="AB110" s="55"/>
      <c r="AC110" s="59"/>
      <c r="AD110" s="59"/>
      <c r="AE110" s="59"/>
      <c r="AF110" s="59"/>
      <c r="AG110" s="61"/>
      <c r="AH110" s="59"/>
      <c r="AI110" s="50"/>
      <c r="AJ110" s="59"/>
      <c r="AK110" s="59"/>
      <c r="AL110" s="55"/>
      <c r="AM110" s="59"/>
      <c r="AN110" s="59"/>
      <c r="AO110" s="59"/>
      <c r="AP110" s="59"/>
      <c r="AQ110" s="59"/>
      <c r="AR110" s="59"/>
      <c r="AS110" s="59"/>
      <c r="AT110" s="59"/>
      <c r="AU110" s="89"/>
      <c r="AV110" s="89"/>
      <c r="AW110" s="89"/>
      <c r="AX110" s="138"/>
      <c r="AY110" s="138"/>
      <c r="AZ110" s="138"/>
      <c r="BA110" s="138"/>
      <c r="BB110" s="138"/>
      <c r="BC110" s="138"/>
      <c r="BD110" s="138"/>
      <c r="BE110" s="138"/>
      <c r="BF110" s="59"/>
      <c r="BG110" s="59"/>
      <c r="BH110" s="59"/>
      <c r="BI110" s="59"/>
      <c r="BJ110" s="59"/>
      <c r="BK110" s="59"/>
      <c r="BL110" s="59"/>
      <c r="BM110" s="59"/>
      <c r="BN110" s="61"/>
      <c r="BO110" s="114"/>
      <c r="BP110" s="1833"/>
      <c r="BQ110" s="50"/>
      <c r="BR110" s="2490"/>
      <c r="BS110" s="3595" t="s">
        <v>790</v>
      </c>
      <c r="BT110" s="3595"/>
      <c r="BU110" s="3595"/>
      <c r="BV110" s="3595"/>
      <c r="BW110" s="3595"/>
      <c r="BX110" s="3595"/>
      <c r="BY110" s="2466"/>
      <c r="BZ110" s="2466"/>
      <c r="CA110" s="2466"/>
      <c r="CB110" s="2527"/>
      <c r="CC110" s="2527"/>
      <c r="CD110" s="2527"/>
      <c r="CE110" s="2527"/>
      <c r="CF110" s="2527"/>
      <c r="CG110" s="2526"/>
      <c r="CH110" s="2526"/>
      <c r="CI110" s="2526"/>
      <c r="CJ110" s="2526"/>
      <c r="CK110" s="61"/>
      <c r="CL110" s="1825"/>
      <c r="CM110" s="43"/>
    </row>
    <row r="111" spans="2:91" ht="23.25" customHeight="1" thickBot="1">
      <c r="B111" s="1809"/>
      <c r="C111" s="115"/>
      <c r="D111" s="2818" t="s">
        <v>748</v>
      </c>
      <c r="E111" s="2811" t="s">
        <v>101</v>
      </c>
      <c r="F111" s="2811"/>
      <c r="G111" s="2817" t="s">
        <v>748</v>
      </c>
      <c r="H111" s="2812" t="s">
        <v>102</v>
      </c>
      <c r="I111" s="2812"/>
      <c r="J111" s="2812"/>
      <c r="K111" s="59"/>
      <c r="L111" s="2814" t="s">
        <v>748</v>
      </c>
      <c r="M111" s="59"/>
      <c r="N111" s="2812" t="s">
        <v>103</v>
      </c>
      <c r="O111" s="2812"/>
      <c r="P111" s="2812"/>
      <c r="Q111" s="2812"/>
      <c r="R111" s="2812"/>
      <c r="S111" s="2812"/>
      <c r="T111" s="2812"/>
      <c r="U111" s="59"/>
      <c r="V111" s="2815" t="s">
        <v>748</v>
      </c>
      <c r="W111" s="2812" t="s">
        <v>104</v>
      </c>
      <c r="X111" s="2812"/>
      <c r="Y111" s="2812"/>
      <c r="Z111" s="2816" t="s">
        <v>748</v>
      </c>
      <c r="AA111" s="59"/>
      <c r="AB111" s="2812" t="s">
        <v>105</v>
      </c>
      <c r="AC111" s="2812"/>
      <c r="AD111" s="2812"/>
      <c r="AE111" s="2812"/>
      <c r="AF111" s="2812"/>
      <c r="AG111" s="61"/>
      <c r="AH111" s="59"/>
      <c r="AI111" s="50"/>
      <c r="AJ111" s="2820" t="s">
        <v>748</v>
      </c>
      <c r="AK111" s="2811" t="s">
        <v>101</v>
      </c>
      <c r="AL111" s="2811"/>
      <c r="AM111" s="2811"/>
      <c r="AN111" s="2811"/>
      <c r="AO111" s="2811"/>
      <c r="AP111" s="2819" t="s">
        <v>748</v>
      </c>
      <c r="AQ111" s="2811" t="s">
        <v>102</v>
      </c>
      <c r="AR111" s="2811"/>
      <c r="AS111" s="2811"/>
      <c r="AT111" s="2811"/>
      <c r="AU111" s="3645" t="s">
        <v>748</v>
      </c>
      <c r="AV111" s="3645"/>
      <c r="AW111" s="2812" t="s">
        <v>103</v>
      </c>
      <c r="AX111" s="2812"/>
      <c r="AY111" s="2812"/>
      <c r="AZ111" s="3646" t="s">
        <v>748</v>
      </c>
      <c r="BA111" s="3646"/>
      <c r="BB111" s="2812" t="s">
        <v>104</v>
      </c>
      <c r="BC111" s="2812"/>
      <c r="BD111" s="2812"/>
      <c r="BE111" s="2812"/>
      <c r="BF111" s="59"/>
      <c r="BG111" s="3647" t="s">
        <v>748</v>
      </c>
      <c r="BH111" s="3647"/>
      <c r="BI111" s="2812" t="s">
        <v>105</v>
      </c>
      <c r="BJ111" s="2812"/>
      <c r="BK111" s="2812"/>
      <c r="BL111" s="2812"/>
      <c r="BM111" s="2812"/>
      <c r="BN111" s="61"/>
      <c r="BO111" s="114"/>
      <c r="BP111" s="1833"/>
      <c r="BQ111" s="50"/>
      <c r="BR111" s="2491"/>
      <c r="BS111" s="3597"/>
      <c r="BT111" s="3597"/>
      <c r="BU111" s="3597"/>
      <c r="BV111" s="3597"/>
      <c r="BW111" s="3597"/>
      <c r="BX111" s="3597"/>
      <c r="BY111" s="2492"/>
      <c r="BZ111" s="2524">
        <f>'CALCULS Eaux usées'!M255</f>
        <v>0</v>
      </c>
      <c r="CA111" s="2492"/>
      <c r="CB111" s="3589">
        <f>'CALCULS Eaux usées'!N255</f>
        <v>0</v>
      </c>
      <c r="CC111" s="3589"/>
      <c r="CD111" s="3589"/>
      <c r="CE111" s="3589"/>
      <c r="CF111" s="3589"/>
      <c r="CG111" s="3587">
        <f>'CALCULS Eaux usées'!O255</f>
        <v>0</v>
      </c>
      <c r="CH111" s="3587"/>
      <c r="CI111" s="3587"/>
      <c r="CJ111" s="3587"/>
      <c r="CK111" s="2485"/>
      <c r="CL111" s="1825"/>
      <c r="CM111" s="43"/>
    </row>
    <row r="112" spans="2:91" ht="4.5" customHeight="1">
      <c r="B112" s="1809"/>
      <c r="C112" s="115"/>
      <c r="D112" s="458"/>
      <c r="E112" s="3634">
        <f>'CALCULS Eaux usées'!O193</f>
        <v>0</v>
      </c>
      <c r="F112" s="3634"/>
      <c r="G112" s="3634"/>
      <c r="H112" s="3634">
        <f>'CALCULS Eaux usées'!O194</f>
        <v>0</v>
      </c>
      <c r="I112" s="3634"/>
      <c r="J112" s="3634"/>
      <c r="K112" s="3634"/>
      <c r="L112" s="3634"/>
      <c r="M112" s="2835"/>
      <c r="N112" s="3634">
        <f>'CALCULS Eaux usées'!O195</f>
        <v>0</v>
      </c>
      <c r="O112" s="3634"/>
      <c r="P112" s="3634"/>
      <c r="Q112" s="3634"/>
      <c r="R112" s="3634"/>
      <c r="S112" s="3634"/>
      <c r="T112" s="3634"/>
      <c r="U112" s="3634"/>
      <c r="V112" s="3634"/>
      <c r="W112" s="3634">
        <f>'CALCULS Eaux usées'!O196</f>
        <v>0</v>
      </c>
      <c r="X112" s="3634"/>
      <c r="Y112" s="3634"/>
      <c r="Z112" s="3634"/>
      <c r="AA112" s="2835"/>
      <c r="AB112" s="3634">
        <f>'CALCULS Eaux usées'!O197</f>
        <v>0</v>
      </c>
      <c r="AC112" s="3634"/>
      <c r="AD112" s="3634"/>
      <c r="AE112" s="3634"/>
      <c r="AF112" s="3634"/>
      <c r="AG112" s="3635"/>
      <c r="AH112" s="59"/>
      <c r="AI112" s="50"/>
      <c r="AK112" s="3634">
        <f>'CALCULS Eaux usées'!O210</f>
        <v>0</v>
      </c>
      <c r="AL112" s="3634"/>
      <c r="AM112" s="3634"/>
      <c r="AN112" s="3634"/>
      <c r="AO112" s="3634"/>
      <c r="AP112" s="3634"/>
      <c r="AQ112" s="3634">
        <f>'CALCULS Eaux usées'!O211</f>
        <v>0</v>
      </c>
      <c r="AR112" s="3634"/>
      <c r="AS112" s="3634"/>
      <c r="AT112" s="3634"/>
      <c r="AU112" s="3634"/>
      <c r="AV112" s="3634"/>
      <c r="AW112" s="3634">
        <f>'CALCULS Eaux usées'!O212</f>
        <v>0</v>
      </c>
      <c r="AX112" s="3634"/>
      <c r="AY112" s="3634"/>
      <c r="AZ112" s="3634"/>
      <c r="BA112" s="3634"/>
      <c r="BB112" s="3634">
        <f>'CALCULS Eaux usées'!O213</f>
        <v>0</v>
      </c>
      <c r="BC112" s="3634"/>
      <c r="BD112" s="3634"/>
      <c r="BE112" s="3634"/>
      <c r="BF112" s="3634"/>
      <c r="BG112" s="3634"/>
      <c r="BH112" s="3634"/>
      <c r="BI112" s="3634">
        <f>'CALCULS Eaux usées'!O214</f>
        <v>0</v>
      </c>
      <c r="BJ112" s="3634"/>
      <c r="BK112" s="3634"/>
      <c r="BL112" s="3634"/>
      <c r="BM112" s="3634"/>
      <c r="BN112" s="3635"/>
      <c r="BO112" s="114"/>
      <c r="BP112" s="1833"/>
      <c r="BQ112" s="50"/>
      <c r="BR112" s="55"/>
      <c r="BS112" s="55"/>
      <c r="BT112" s="2466"/>
      <c r="BU112" s="2466"/>
      <c r="BV112" s="2466"/>
      <c r="BW112" s="2466"/>
      <c r="BX112" s="2466"/>
      <c r="BY112" s="2466"/>
      <c r="BZ112" s="2466"/>
      <c r="CA112" s="2466"/>
      <c r="CB112" s="2527"/>
      <c r="CC112" s="2527"/>
      <c r="CD112" s="2527"/>
      <c r="CE112" s="2527"/>
      <c r="CF112" s="2527"/>
      <c r="CG112" s="2526"/>
      <c r="CH112" s="2526"/>
      <c r="CI112" s="2526"/>
      <c r="CJ112" s="2526"/>
      <c r="CK112" s="61"/>
      <c r="CL112" s="1825"/>
      <c r="CM112" s="43"/>
    </row>
    <row r="113" spans="2:91" ht="9.75" customHeight="1">
      <c r="B113" s="1809"/>
      <c r="C113" s="115"/>
      <c r="D113" s="2810"/>
      <c r="E113" s="3634"/>
      <c r="F113" s="3634"/>
      <c r="G113" s="3634"/>
      <c r="H113" s="3634"/>
      <c r="I113" s="3634"/>
      <c r="J113" s="3634"/>
      <c r="K113" s="3634"/>
      <c r="L113" s="3634"/>
      <c r="M113" s="2808"/>
      <c r="N113" s="3634"/>
      <c r="O113" s="3634"/>
      <c r="P113" s="3634"/>
      <c r="Q113" s="3634"/>
      <c r="R113" s="3634"/>
      <c r="S113" s="3634"/>
      <c r="T113" s="3634"/>
      <c r="U113" s="3634"/>
      <c r="V113" s="3634"/>
      <c r="W113" s="3634"/>
      <c r="X113" s="3634"/>
      <c r="Y113" s="3634"/>
      <c r="Z113" s="3634"/>
      <c r="AA113" s="2808"/>
      <c r="AB113" s="3634"/>
      <c r="AC113" s="3634"/>
      <c r="AD113" s="3634"/>
      <c r="AE113" s="3634"/>
      <c r="AF113" s="3634"/>
      <c r="AG113" s="3635"/>
      <c r="AH113" s="59"/>
      <c r="AI113" s="50"/>
      <c r="AJ113" s="2813"/>
      <c r="AK113" s="3634"/>
      <c r="AL113" s="3634"/>
      <c r="AM113" s="3634"/>
      <c r="AN113" s="3634"/>
      <c r="AO113" s="3634"/>
      <c r="AP113" s="3634"/>
      <c r="AQ113" s="3634"/>
      <c r="AR113" s="3634"/>
      <c r="AS113" s="3634"/>
      <c r="AT113" s="3634"/>
      <c r="AU113" s="3634"/>
      <c r="AV113" s="3634"/>
      <c r="AW113" s="3634"/>
      <c r="AX113" s="3634"/>
      <c r="AY113" s="3634"/>
      <c r="AZ113" s="3634"/>
      <c r="BA113" s="3634"/>
      <c r="BB113" s="3634"/>
      <c r="BC113" s="3634"/>
      <c r="BD113" s="3634"/>
      <c r="BE113" s="3634"/>
      <c r="BF113" s="3634"/>
      <c r="BG113" s="3634"/>
      <c r="BH113" s="3634"/>
      <c r="BI113" s="3634"/>
      <c r="BJ113" s="3634"/>
      <c r="BK113" s="3634"/>
      <c r="BL113" s="3634"/>
      <c r="BM113" s="3634"/>
      <c r="BN113" s="3635"/>
      <c r="BO113" s="114"/>
      <c r="BP113" s="1833"/>
      <c r="BQ113" s="50"/>
      <c r="BR113" s="2493"/>
      <c r="BS113" s="3595" t="s">
        <v>791</v>
      </c>
      <c r="BT113" s="3595"/>
      <c r="BU113" s="3595"/>
      <c r="BV113" s="3595"/>
      <c r="BW113" s="3595"/>
      <c r="BX113" s="3595"/>
      <c r="BY113" s="2466"/>
      <c r="BZ113" s="3583">
        <f>'CALCULS Eaux usées'!M257</f>
        <v>0</v>
      </c>
      <c r="CA113" s="2466"/>
      <c r="CB113" s="3642">
        <f>'CALCULS Eaux usées'!N257</f>
        <v>0</v>
      </c>
      <c r="CC113" s="3642"/>
      <c r="CD113" s="3642"/>
      <c r="CE113" s="3642"/>
      <c r="CF113" s="3642"/>
      <c r="CG113" s="3636">
        <f>'CALCULS Eaux usées'!O257</f>
        <v>0</v>
      </c>
      <c r="CH113" s="3636"/>
      <c r="CI113" s="3636"/>
      <c r="CJ113" s="3636"/>
      <c r="CK113" s="61"/>
      <c r="CL113" s="1825"/>
      <c r="CM113" s="43"/>
    </row>
    <row r="114" spans="2:91" ht="15.75" customHeight="1">
      <c r="B114" s="1809"/>
      <c r="C114" s="115"/>
      <c r="D114" s="50"/>
      <c r="E114" s="3585" t="str">
        <f>'CALCULS Eaux usées'!P193</f>
        <v/>
      </c>
      <c r="F114" s="3585"/>
      <c r="G114" s="3585"/>
      <c r="H114" s="3585" t="str">
        <f>'CALCULS Eaux usées'!P194</f>
        <v/>
      </c>
      <c r="I114" s="3585"/>
      <c r="J114" s="3585"/>
      <c r="K114" s="3585"/>
      <c r="L114" s="3585"/>
      <c r="M114" s="2821"/>
      <c r="N114" s="3585" t="str">
        <f>'CALCULS Eaux usées'!P195</f>
        <v/>
      </c>
      <c r="O114" s="3585"/>
      <c r="P114" s="3585"/>
      <c r="Q114" s="3585"/>
      <c r="R114" s="3585"/>
      <c r="S114" s="3585"/>
      <c r="T114" s="3585"/>
      <c r="U114" s="3585"/>
      <c r="V114" s="3585"/>
      <c r="W114" s="3585" t="str">
        <f>'CALCULS Eaux usées'!P196</f>
        <v/>
      </c>
      <c r="X114" s="3585"/>
      <c r="Y114" s="3585"/>
      <c r="Z114" s="3585"/>
      <c r="AA114" s="2821"/>
      <c r="AB114" s="3585" t="str">
        <f>'CALCULS Eaux usées'!P197</f>
        <v/>
      </c>
      <c r="AC114" s="3585"/>
      <c r="AD114" s="3585"/>
      <c r="AE114" s="3585"/>
      <c r="AF114" s="3585"/>
      <c r="AG114" s="3586"/>
      <c r="AH114" s="59"/>
      <c r="AI114" s="50"/>
      <c r="AJ114" s="59"/>
      <c r="AK114" s="3585" t="str">
        <f>'CALCULS Eaux usées'!P210</f>
        <v/>
      </c>
      <c r="AL114" s="3585"/>
      <c r="AM114" s="3585"/>
      <c r="AN114" s="3585"/>
      <c r="AO114" s="3585"/>
      <c r="AP114" s="3585"/>
      <c r="AQ114" s="3585" t="str">
        <f>'CALCULS Eaux usées'!P211</f>
        <v/>
      </c>
      <c r="AR114" s="3585"/>
      <c r="AS114" s="3585"/>
      <c r="AT114" s="3585"/>
      <c r="AU114" s="3585"/>
      <c r="AV114" s="3585"/>
      <c r="AW114" s="3585" t="str">
        <f>'CALCULS Eaux usées'!P212</f>
        <v/>
      </c>
      <c r="AX114" s="3585"/>
      <c r="AY114" s="3585"/>
      <c r="AZ114" s="2822"/>
      <c r="BA114" s="2822"/>
      <c r="BB114" s="3585" t="str">
        <f>'CALCULS Eaux usées'!P213</f>
        <v/>
      </c>
      <c r="BC114" s="3585"/>
      <c r="BD114" s="3585"/>
      <c r="BE114" s="3585"/>
      <c r="BF114" s="3585"/>
      <c r="BG114" s="3585"/>
      <c r="BH114" s="2829"/>
      <c r="BI114" s="3585" t="str">
        <f>'CALCULS Eaux usées'!P214</f>
        <v/>
      </c>
      <c r="BJ114" s="3585"/>
      <c r="BK114" s="3585"/>
      <c r="BL114" s="3585"/>
      <c r="BM114" s="3585"/>
      <c r="BN114" s="3586"/>
      <c r="BO114" s="114"/>
      <c r="BP114" s="1833"/>
      <c r="BQ114" s="50"/>
      <c r="BR114" s="2493"/>
      <c r="BS114" s="3595"/>
      <c r="BT114" s="3595"/>
      <c r="BU114" s="3595"/>
      <c r="BV114" s="3595"/>
      <c r="BW114" s="3595"/>
      <c r="BX114" s="3595"/>
      <c r="BY114" s="2466"/>
      <c r="BZ114" s="3583"/>
      <c r="CA114" s="2466"/>
      <c r="CB114" s="3642"/>
      <c r="CC114" s="3642"/>
      <c r="CD114" s="3642"/>
      <c r="CE114" s="3642"/>
      <c r="CF114" s="3642"/>
      <c r="CG114" s="3636"/>
      <c r="CH114" s="3636"/>
      <c r="CI114" s="3636"/>
      <c r="CJ114" s="3636"/>
      <c r="CK114" s="61"/>
      <c r="CL114" s="1825"/>
      <c r="CM114" s="43"/>
    </row>
    <row r="115" spans="2:91" ht="5.25" customHeight="1" thickBot="1">
      <c r="B115" s="1809"/>
      <c r="C115" s="115"/>
      <c r="D115" s="91"/>
      <c r="E115" s="92"/>
      <c r="F115" s="92"/>
      <c r="G115" s="92"/>
      <c r="H115" s="92"/>
      <c r="I115" s="92"/>
      <c r="J115" s="92"/>
      <c r="K115" s="92"/>
      <c r="L115" s="92"/>
      <c r="M115" s="92"/>
      <c r="N115" s="92"/>
      <c r="O115" s="92"/>
      <c r="P115" s="92"/>
      <c r="Q115" s="92"/>
      <c r="R115" s="92"/>
      <c r="S115" s="92"/>
      <c r="T115" s="92"/>
      <c r="U115" s="92"/>
      <c r="V115" s="92"/>
      <c r="W115" s="92"/>
      <c r="X115" s="92"/>
      <c r="Y115" s="92"/>
      <c r="Z115" s="156"/>
      <c r="AA115" s="92"/>
      <c r="AB115" s="156"/>
      <c r="AC115" s="92"/>
      <c r="AD115" s="92"/>
      <c r="AE115" s="92"/>
      <c r="AF115" s="92"/>
      <c r="AG115" s="93"/>
      <c r="AH115" s="59"/>
      <c r="AI115" s="91"/>
      <c r="AJ115" s="92"/>
      <c r="AK115" s="92"/>
      <c r="AL115" s="156"/>
      <c r="AM115" s="92"/>
      <c r="AN115" s="92"/>
      <c r="AO115" s="92"/>
      <c r="AP115" s="92"/>
      <c r="AQ115" s="92"/>
      <c r="AR115" s="92"/>
      <c r="AS115" s="92"/>
      <c r="AT115" s="92"/>
      <c r="AU115" s="158"/>
      <c r="AV115" s="158"/>
      <c r="AW115" s="158"/>
      <c r="AX115" s="159"/>
      <c r="AY115" s="159"/>
      <c r="AZ115" s="159"/>
      <c r="BA115" s="159"/>
      <c r="BB115" s="159"/>
      <c r="BC115" s="159"/>
      <c r="BD115" s="159"/>
      <c r="BE115" s="159"/>
      <c r="BF115" s="92"/>
      <c r="BG115" s="92"/>
      <c r="BH115" s="92"/>
      <c r="BI115" s="92"/>
      <c r="BJ115" s="92"/>
      <c r="BK115" s="92"/>
      <c r="BL115" s="92"/>
      <c r="BM115" s="92"/>
      <c r="BN115" s="93"/>
      <c r="BO115" s="114"/>
      <c r="BP115" s="1833"/>
      <c r="BQ115" s="50"/>
      <c r="BR115" s="2494"/>
      <c r="BS115" s="3644"/>
      <c r="BT115" s="3644"/>
      <c r="BU115" s="3644"/>
      <c r="BV115" s="3644"/>
      <c r="BW115" s="3644"/>
      <c r="BX115" s="3644"/>
      <c r="BY115" s="2495"/>
      <c r="BZ115" s="3584"/>
      <c r="CA115" s="2495"/>
      <c r="CB115" s="3643"/>
      <c r="CC115" s="3643"/>
      <c r="CD115" s="3643"/>
      <c r="CE115" s="3643"/>
      <c r="CF115" s="3643"/>
      <c r="CG115" s="3637"/>
      <c r="CH115" s="3637"/>
      <c r="CI115" s="3637"/>
      <c r="CJ115" s="3637"/>
      <c r="CK115" s="2485"/>
      <c r="CL115" s="1825"/>
      <c r="CM115" s="43"/>
    </row>
    <row r="116" spans="2:91" ht="12" customHeight="1">
      <c r="B116" s="1809"/>
      <c r="C116" s="118"/>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70"/>
      <c r="AA116" s="116"/>
      <c r="AB116" s="170"/>
      <c r="AC116" s="116"/>
      <c r="AD116" s="116"/>
      <c r="AE116" s="116"/>
      <c r="AF116" s="116"/>
      <c r="AG116" s="116"/>
      <c r="AH116" s="116"/>
      <c r="AI116" s="116"/>
      <c r="AJ116" s="116"/>
      <c r="AK116" s="116"/>
      <c r="AL116" s="170"/>
      <c r="AM116" s="116"/>
      <c r="AN116" s="116"/>
      <c r="AO116" s="116"/>
      <c r="AP116" s="116"/>
      <c r="AQ116" s="116"/>
      <c r="AR116" s="116"/>
      <c r="AS116" s="116"/>
      <c r="AT116" s="116"/>
      <c r="AU116" s="171"/>
      <c r="AV116" s="171" t="s">
        <v>552</v>
      </c>
      <c r="AW116" s="171"/>
      <c r="AX116" s="172"/>
      <c r="AY116" s="172"/>
      <c r="AZ116" s="172"/>
      <c r="BA116" s="172"/>
      <c r="BB116" s="172"/>
      <c r="BC116" s="172"/>
      <c r="BD116" s="172"/>
      <c r="BE116" s="172"/>
      <c r="BF116" s="116"/>
      <c r="BG116" s="116"/>
      <c r="BH116" s="116"/>
      <c r="BI116" s="116"/>
      <c r="BJ116" s="116"/>
      <c r="BK116" s="116"/>
      <c r="BL116" s="116"/>
      <c r="BM116" s="116"/>
      <c r="BN116" s="116"/>
      <c r="BO116" s="117"/>
      <c r="BP116" s="1833"/>
      <c r="BQ116" s="91"/>
      <c r="BR116" s="92"/>
      <c r="BS116" s="92"/>
      <c r="BT116" s="156"/>
      <c r="BU116" s="92"/>
      <c r="BV116" s="156"/>
      <c r="BW116" s="92"/>
      <c r="BX116" s="92"/>
      <c r="BY116" s="92"/>
      <c r="BZ116" s="92"/>
      <c r="CA116" s="92"/>
      <c r="CB116" s="92"/>
      <c r="CC116" s="92"/>
      <c r="CD116" s="92"/>
      <c r="CE116" s="92"/>
      <c r="CF116" s="158"/>
      <c r="CG116" s="92"/>
      <c r="CH116" s="92"/>
      <c r="CI116" s="92"/>
      <c r="CJ116" s="92"/>
      <c r="CK116" s="93"/>
      <c r="CL116" s="1825"/>
      <c r="CM116" s="43"/>
    </row>
    <row r="117" spans="2:91" ht="13.5" customHeight="1">
      <c r="B117" s="1812"/>
      <c r="C117" s="1820"/>
      <c r="D117" s="1820"/>
      <c r="E117" s="1820"/>
      <c r="F117" s="1820"/>
      <c r="G117" s="1820"/>
      <c r="H117" s="1820"/>
      <c r="I117" s="1820"/>
      <c r="J117" s="1820"/>
      <c r="K117" s="1820"/>
      <c r="L117" s="1820"/>
      <c r="M117" s="1820"/>
      <c r="N117" s="1820"/>
      <c r="O117" s="1820"/>
      <c r="P117" s="1820"/>
      <c r="Q117" s="1820"/>
      <c r="R117" s="1820"/>
      <c r="S117" s="1820"/>
      <c r="T117" s="1820"/>
      <c r="U117" s="1820"/>
      <c r="V117" s="1820"/>
      <c r="W117" s="1820"/>
      <c r="X117" s="1820"/>
      <c r="Y117" s="1820"/>
      <c r="Z117" s="1820"/>
      <c r="AA117" s="1820"/>
      <c r="AB117" s="1820"/>
      <c r="AC117" s="1820"/>
      <c r="AD117" s="1820"/>
      <c r="AE117" s="1820"/>
      <c r="AF117" s="1820"/>
      <c r="AG117" s="1820"/>
      <c r="AH117" s="1820"/>
      <c r="AI117" s="1820"/>
      <c r="AJ117" s="1820"/>
      <c r="AK117" s="1820"/>
      <c r="AL117" s="1820"/>
      <c r="AM117" s="1820"/>
      <c r="AN117" s="1820"/>
      <c r="AO117" s="1820"/>
      <c r="AP117" s="1820"/>
      <c r="AQ117" s="1820"/>
      <c r="AR117" s="1820"/>
      <c r="AS117" s="1820"/>
      <c r="AT117" s="1820"/>
      <c r="AU117" s="1820"/>
      <c r="AV117" s="1820"/>
      <c r="AW117" s="1820"/>
      <c r="AX117" s="1820"/>
      <c r="AY117" s="1820"/>
      <c r="AZ117" s="1820"/>
      <c r="BA117" s="1820"/>
      <c r="BB117" s="1820"/>
      <c r="BC117" s="1820"/>
      <c r="BD117" s="1820"/>
      <c r="BE117" s="1820"/>
      <c r="BF117" s="1820"/>
      <c r="BG117" s="1820"/>
      <c r="BH117" s="1820"/>
      <c r="BI117" s="1820"/>
      <c r="BJ117" s="1820"/>
      <c r="BK117" s="1820"/>
      <c r="BL117" s="1820"/>
      <c r="BM117" s="1820"/>
      <c r="BN117" s="1820"/>
      <c r="BO117" s="1820"/>
      <c r="BP117" s="1820"/>
      <c r="BQ117" s="1820"/>
      <c r="BR117" s="1820"/>
      <c r="BS117" s="1820"/>
      <c r="BT117" s="1820"/>
      <c r="BU117" s="1820"/>
      <c r="BV117" s="1820"/>
      <c r="BW117" s="1820"/>
      <c r="BX117" s="1820"/>
      <c r="BY117" s="1820"/>
      <c r="BZ117" s="1820"/>
      <c r="CA117" s="1820"/>
      <c r="CB117" s="1820"/>
      <c r="CC117" s="1820"/>
      <c r="CD117" s="1820"/>
      <c r="CE117" s="1820"/>
      <c r="CF117" s="1820"/>
      <c r="CG117" s="1820"/>
      <c r="CH117" s="1820"/>
      <c r="CI117" s="1820"/>
      <c r="CJ117" s="1820"/>
      <c r="CK117" s="1820"/>
      <c r="CL117" s="1821"/>
      <c r="CM117" s="43"/>
    </row>
    <row r="118" spans="2:91" ht="9.75" customHeight="1">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c r="AS118" s="59"/>
      <c r="AT118" s="59"/>
      <c r="AU118" s="59"/>
      <c r="AV118" s="59"/>
      <c r="AW118" s="59"/>
      <c r="AX118" s="59"/>
      <c r="AY118" s="59"/>
      <c r="AZ118" s="59"/>
      <c r="BA118" s="59"/>
      <c r="BB118" s="59"/>
      <c r="BC118" s="59"/>
      <c r="BD118" s="59"/>
      <c r="BE118" s="59"/>
      <c r="BF118" s="59"/>
      <c r="BG118" s="59"/>
      <c r="BH118" s="59"/>
      <c r="BI118" s="59"/>
      <c r="BJ118" s="59"/>
      <c r="BK118" s="59"/>
      <c r="BL118" s="59"/>
      <c r="BM118" s="59"/>
      <c r="BN118" s="59"/>
      <c r="BO118" s="59"/>
      <c r="BP118" s="59"/>
      <c r="BQ118" s="59"/>
      <c r="BR118" s="59"/>
      <c r="BS118" s="59"/>
      <c r="BT118" s="59"/>
      <c r="BU118" s="59"/>
      <c r="BV118" s="59"/>
      <c r="BW118" s="59"/>
      <c r="BX118" s="59"/>
      <c r="BY118" s="59"/>
      <c r="BZ118" s="59"/>
      <c r="CA118" s="59"/>
      <c r="CB118" s="59"/>
      <c r="CC118" s="59"/>
      <c r="CD118" s="59"/>
      <c r="CE118" s="59"/>
      <c r="CF118" s="59"/>
      <c r="CG118" s="59"/>
      <c r="CH118" s="59"/>
      <c r="CI118" s="59"/>
      <c r="CJ118" s="59"/>
      <c r="CK118" s="59"/>
      <c r="CL118" s="59"/>
      <c r="CM118" s="59"/>
    </row>
    <row r="119" spans="2:91" ht="22.5" customHeight="1">
      <c r="B119" s="1702"/>
      <c r="C119" s="1703" t="s">
        <v>513</v>
      </c>
      <c r="D119" s="1704"/>
      <c r="E119" s="1704"/>
      <c r="F119" s="1704"/>
      <c r="G119" s="1704"/>
      <c r="H119" s="1704"/>
      <c r="I119" s="1704"/>
      <c r="J119" s="1704"/>
      <c r="K119" s="1704"/>
      <c r="L119" s="1704"/>
      <c r="M119" s="1704"/>
      <c r="N119" s="1704"/>
      <c r="O119" s="1704"/>
      <c r="P119" s="1704"/>
      <c r="Q119" s="1704"/>
      <c r="R119" s="1704"/>
      <c r="S119" s="1704"/>
      <c r="T119" s="1704"/>
      <c r="U119" s="1704"/>
      <c r="V119" s="1704"/>
      <c r="W119" s="1704"/>
      <c r="X119" s="1704"/>
      <c r="Y119" s="1704"/>
      <c r="Z119" s="1704"/>
      <c r="AA119" s="1704"/>
      <c r="AB119" s="1704"/>
      <c r="AC119" s="1704"/>
      <c r="AD119" s="1704"/>
      <c r="AE119" s="1704"/>
      <c r="AF119" s="1704"/>
      <c r="AG119" s="1704"/>
      <c r="AH119" s="1704"/>
      <c r="AI119" s="1704"/>
      <c r="AJ119" s="1704"/>
      <c r="AK119" s="1704"/>
      <c r="AL119" s="1704"/>
      <c r="AM119" s="1704"/>
      <c r="AN119" s="1704"/>
      <c r="AO119" s="1704"/>
      <c r="AP119" s="1704"/>
      <c r="AQ119" s="1704"/>
      <c r="AR119" s="1704"/>
      <c r="AS119" s="1704"/>
      <c r="AT119" s="1704"/>
      <c r="AU119" s="1705"/>
      <c r="AV119" s="1705"/>
      <c r="AW119" s="1705"/>
      <c r="AX119" s="1704"/>
      <c r="AY119" s="1704"/>
      <c r="AZ119" s="1704"/>
      <c r="BA119" s="1704"/>
      <c r="BB119" s="1704"/>
      <c r="BC119" s="1704"/>
      <c r="BD119" s="1704"/>
      <c r="BE119" s="1704"/>
      <c r="BF119" s="1704"/>
      <c r="BG119" s="1704"/>
      <c r="BH119" s="1704"/>
      <c r="BI119" s="1704"/>
      <c r="BJ119" s="1704"/>
      <c r="BK119" s="1704"/>
      <c r="BL119" s="1704"/>
      <c r="BM119" s="1704"/>
      <c r="BN119" s="1704"/>
      <c r="BO119" s="1704"/>
      <c r="BP119" s="1704"/>
      <c r="BQ119" s="1704"/>
      <c r="BR119" s="1704"/>
      <c r="BS119" s="1704"/>
      <c r="BT119" s="1704"/>
      <c r="BU119" s="1704"/>
      <c r="BV119" s="1704"/>
      <c r="BW119" s="1704"/>
      <c r="BX119" s="1704"/>
      <c r="BY119" s="1704"/>
      <c r="BZ119" s="1704"/>
      <c r="CA119" s="1704"/>
      <c r="CB119" s="1704"/>
      <c r="CC119" s="1704"/>
      <c r="CD119" s="1704"/>
      <c r="CE119" s="1704"/>
      <c r="CF119" s="1702"/>
      <c r="CG119" s="1702"/>
      <c r="CH119" s="1706"/>
      <c r="CI119" s="1702"/>
      <c r="CJ119" s="3713"/>
      <c r="CK119" s="3713"/>
      <c r="CL119" s="1704"/>
    </row>
    <row r="120" spans="2:91" ht="6.75" customHeight="1"/>
    <row r="121" spans="2:91" ht="14.25" customHeight="1">
      <c r="B121" s="1811"/>
      <c r="C121" s="1813"/>
      <c r="D121" s="1813"/>
      <c r="E121" s="1813"/>
      <c r="F121" s="1813"/>
      <c r="G121" s="1813"/>
      <c r="H121" s="1813"/>
      <c r="I121" s="1813"/>
      <c r="J121" s="1813"/>
      <c r="K121" s="1813"/>
      <c r="L121" s="1813"/>
      <c r="M121" s="1813"/>
      <c r="N121" s="1813"/>
      <c r="O121" s="1813"/>
      <c r="P121" s="1813"/>
      <c r="Q121" s="1813"/>
      <c r="R121" s="1813"/>
      <c r="S121" s="1813"/>
      <c r="T121" s="1813"/>
      <c r="U121" s="1813"/>
      <c r="V121" s="1813"/>
      <c r="W121" s="1813"/>
      <c r="X121" s="1813"/>
      <c r="Y121" s="1813"/>
      <c r="Z121" s="1813"/>
      <c r="AA121" s="1813"/>
      <c r="AB121" s="1813"/>
      <c r="AC121" s="1813"/>
      <c r="AD121" s="1813"/>
      <c r="AE121" s="1813"/>
      <c r="AF121" s="1813"/>
      <c r="AG121" s="1813"/>
      <c r="AH121" s="1813"/>
      <c r="AI121" s="1813"/>
      <c r="AJ121" s="1813"/>
      <c r="AK121" s="1813"/>
      <c r="AL121" s="1813"/>
      <c r="AM121" s="1813"/>
      <c r="AN121" s="1813"/>
      <c r="AO121" s="1813"/>
      <c r="AP121" s="1813"/>
      <c r="AQ121" s="1813"/>
      <c r="AR121" s="1813"/>
      <c r="AS121" s="1813"/>
      <c r="AT121" s="1813"/>
      <c r="AU121" s="1813"/>
      <c r="AV121" s="1813"/>
      <c r="AW121" s="1813"/>
      <c r="AX121" s="1813"/>
      <c r="AY121" s="1813"/>
      <c r="AZ121" s="1813"/>
      <c r="BA121" s="1813"/>
      <c r="BB121" s="1813"/>
      <c r="BC121" s="1813"/>
      <c r="BD121" s="1813"/>
      <c r="BE121" s="1813"/>
      <c r="BF121" s="1813"/>
      <c r="BG121" s="1813"/>
      <c r="BH121" s="1813"/>
      <c r="BI121" s="1813"/>
      <c r="BJ121" s="1813"/>
      <c r="BK121" s="1813"/>
      <c r="BL121" s="1813"/>
      <c r="BM121" s="1813"/>
      <c r="BN121" s="1813"/>
      <c r="BO121" s="1813"/>
      <c r="BP121" s="1813"/>
      <c r="BQ121" s="1813"/>
      <c r="BR121" s="1813"/>
      <c r="BS121" s="1813"/>
      <c r="BT121" s="1813"/>
      <c r="BU121" s="1813"/>
      <c r="BV121" s="1813"/>
      <c r="BW121" s="1813"/>
      <c r="BX121" s="1813"/>
      <c r="BY121" s="1813"/>
      <c r="BZ121" s="1813"/>
      <c r="CA121" s="1813"/>
      <c r="CB121" s="1813"/>
      <c r="CC121" s="1813"/>
      <c r="CD121" s="1813"/>
      <c r="CE121" s="1813"/>
      <c r="CF121" s="1813"/>
      <c r="CG121" s="1813"/>
      <c r="CH121" s="1813"/>
      <c r="CI121" s="1813"/>
      <c r="CJ121" s="1813"/>
      <c r="CK121" s="1813"/>
      <c r="CL121" s="1814"/>
      <c r="CM121" s="43"/>
    </row>
    <row r="122" spans="2:91" ht="9.75" customHeight="1">
      <c r="B122" s="1809"/>
      <c r="C122" s="45"/>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7"/>
      <c r="AB122" s="1833"/>
      <c r="AC122" s="45"/>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7"/>
      <c r="BE122" s="1842"/>
      <c r="BF122" s="113"/>
      <c r="BG122" s="111"/>
      <c r="BH122" s="111"/>
      <c r="BI122" s="111"/>
      <c r="BJ122" s="46"/>
      <c r="BK122" s="46"/>
      <c r="BL122" s="46"/>
      <c r="BM122" s="46"/>
      <c r="BN122" s="46"/>
      <c r="BO122" s="46"/>
      <c r="BP122" s="46"/>
      <c r="BQ122" s="46"/>
      <c r="BR122" s="46"/>
      <c r="BS122" s="46"/>
      <c r="BT122" s="46"/>
      <c r="BU122" s="46"/>
      <c r="BV122" s="46"/>
      <c r="BW122" s="46"/>
      <c r="BX122" s="46"/>
      <c r="BY122" s="46"/>
      <c r="BZ122" s="46"/>
      <c r="CA122" s="46"/>
      <c r="CB122" s="46"/>
      <c r="CC122" s="46"/>
      <c r="CD122" s="46"/>
      <c r="CE122" s="46"/>
      <c r="CF122" s="46"/>
      <c r="CG122" s="46"/>
      <c r="CH122" s="46"/>
      <c r="CI122" s="46"/>
      <c r="CJ122" s="46"/>
      <c r="CK122" s="47"/>
      <c r="CL122" s="1825"/>
      <c r="CM122" s="43"/>
    </row>
    <row r="123" spans="2:91" ht="18" customHeight="1">
      <c r="B123" s="1809"/>
      <c r="C123" s="445" t="s">
        <v>792</v>
      </c>
      <c r="D123" s="203"/>
      <c r="E123" s="203"/>
      <c r="F123" s="203"/>
      <c r="G123" s="203"/>
      <c r="H123" s="203"/>
      <c r="I123" s="59"/>
      <c r="J123" s="59"/>
      <c r="K123" s="59"/>
      <c r="L123" s="59"/>
      <c r="M123" s="59"/>
      <c r="N123" s="59"/>
      <c r="O123" s="59"/>
      <c r="P123" s="59"/>
      <c r="Q123" s="59"/>
      <c r="R123" s="59"/>
      <c r="S123" s="59"/>
      <c r="T123" s="59"/>
      <c r="U123" s="59"/>
      <c r="V123" s="59"/>
      <c r="W123" s="59"/>
      <c r="X123" s="59"/>
      <c r="Y123" s="3639">
        <f>'CALCULS Eaux usées'!O276</f>
        <v>0</v>
      </c>
      <c r="Z123" s="3639"/>
      <c r="AA123" s="61"/>
      <c r="AB123" s="1833"/>
      <c r="AC123" s="50"/>
      <c r="AD123" s="532" t="s">
        <v>793</v>
      </c>
      <c r="AE123" s="59"/>
      <c r="AG123" s="59"/>
      <c r="AH123" s="59"/>
      <c r="AI123" s="59"/>
      <c r="AJ123" s="59"/>
      <c r="AK123" s="59"/>
      <c r="AL123" s="59"/>
      <c r="AM123" s="59"/>
      <c r="AN123" s="59"/>
      <c r="AO123" s="59"/>
      <c r="AP123" s="59"/>
      <c r="AQ123" s="59"/>
      <c r="AR123" s="59"/>
      <c r="AS123" s="59"/>
      <c r="AT123" s="59"/>
      <c r="AU123" s="59"/>
      <c r="AV123" s="59"/>
      <c r="AW123" s="59"/>
      <c r="AX123" s="59"/>
      <c r="AY123" s="59"/>
      <c r="AZ123" s="59"/>
      <c r="BA123" s="3640">
        <f>'CALCULS Eaux usées'!O295</f>
        <v>0</v>
      </c>
      <c r="BB123" s="3640"/>
      <c r="BC123" s="3640"/>
      <c r="BD123" s="61"/>
      <c r="BE123" s="1842"/>
      <c r="BF123" s="115"/>
      <c r="BG123" s="532" t="s">
        <v>794</v>
      </c>
      <c r="BH123" s="59"/>
      <c r="BJ123" s="59"/>
      <c r="BL123" s="59"/>
      <c r="BN123" s="59"/>
      <c r="BO123" s="59"/>
      <c r="BP123" s="59"/>
      <c r="BQ123" s="59"/>
      <c r="BR123" s="59"/>
      <c r="BS123" s="59"/>
      <c r="BT123" s="59"/>
      <c r="BU123" s="59"/>
      <c r="BV123" s="59"/>
      <c r="BW123" s="59"/>
      <c r="BX123" s="59"/>
      <c r="BY123" s="59"/>
      <c r="BZ123" s="59"/>
      <c r="CA123" s="59"/>
      <c r="CB123" s="59"/>
      <c r="CC123" s="59"/>
      <c r="CD123" s="59"/>
      <c r="CE123" s="59"/>
      <c r="CF123" s="59"/>
      <c r="CG123" s="59"/>
      <c r="CH123" s="59"/>
      <c r="CI123" s="59"/>
      <c r="CJ123" s="3640">
        <f>'CALCULS Eaux usées'!O314</f>
        <v>0</v>
      </c>
      <c r="CK123" s="3641"/>
      <c r="CL123" s="1825"/>
      <c r="CM123" s="43"/>
    </row>
    <row r="124" spans="2:91" ht="3.75" customHeight="1">
      <c r="B124" s="1809"/>
      <c r="C124" s="174"/>
      <c r="I124" s="59"/>
      <c r="J124" s="59"/>
      <c r="K124" s="59"/>
      <c r="L124" s="59"/>
      <c r="M124" s="59"/>
      <c r="N124" s="59"/>
      <c r="O124" s="59"/>
      <c r="P124" s="59"/>
      <c r="Q124" s="59"/>
      <c r="R124" s="59"/>
      <c r="S124" s="59"/>
      <c r="T124" s="59"/>
      <c r="U124" s="59"/>
      <c r="V124" s="59"/>
      <c r="W124" s="59"/>
      <c r="X124" s="59"/>
      <c r="Y124" s="59"/>
      <c r="Z124" s="59"/>
      <c r="AA124" s="61"/>
      <c r="AB124" s="1833"/>
      <c r="AC124" s="50"/>
      <c r="AD124" s="125"/>
      <c r="AE124" s="59"/>
      <c r="AG124" s="59"/>
      <c r="AH124" s="59"/>
      <c r="AI124" s="59"/>
      <c r="AJ124" s="59"/>
      <c r="AK124" s="59"/>
      <c r="AL124" s="59"/>
      <c r="AM124" s="59"/>
      <c r="AN124" s="59"/>
      <c r="AO124" s="59"/>
      <c r="AP124" s="59"/>
      <c r="AQ124" s="59"/>
      <c r="AR124" s="59"/>
      <c r="AS124" s="59"/>
      <c r="AT124" s="59"/>
      <c r="AU124" s="59"/>
      <c r="AV124" s="59"/>
      <c r="AW124" s="59"/>
      <c r="AX124" s="59"/>
      <c r="AY124" s="59"/>
      <c r="AZ124" s="59"/>
      <c r="BA124" s="59"/>
      <c r="BB124" s="59"/>
      <c r="BC124" s="59"/>
      <c r="BD124" s="61"/>
      <c r="BE124" s="1842"/>
      <c r="BF124" s="115"/>
      <c r="BG124" s="125"/>
      <c r="BH124" s="59"/>
      <c r="BJ124" s="59"/>
      <c r="BL124" s="59"/>
      <c r="BN124" s="59"/>
      <c r="BO124" s="59"/>
      <c r="BP124" s="59"/>
      <c r="BQ124" s="59"/>
      <c r="BR124" s="59"/>
      <c r="BS124" s="59"/>
      <c r="BT124" s="59"/>
      <c r="BU124" s="59"/>
      <c r="BV124" s="59"/>
      <c r="BW124" s="59"/>
      <c r="BX124" s="59"/>
      <c r="BY124" s="59"/>
      <c r="BZ124" s="59"/>
      <c r="CA124" s="59"/>
      <c r="CB124" s="59"/>
      <c r="CC124" s="59"/>
      <c r="CD124" s="59"/>
      <c r="CE124" s="59"/>
      <c r="CF124" s="59"/>
      <c r="CG124" s="59"/>
      <c r="CH124" s="59"/>
      <c r="CI124" s="59"/>
      <c r="CJ124" s="59"/>
      <c r="CK124" s="61"/>
      <c r="CL124" s="1825"/>
      <c r="CM124" s="43"/>
    </row>
    <row r="125" spans="2:91" ht="15.75" customHeight="1">
      <c r="B125" s="1809"/>
      <c r="C125" s="174"/>
      <c r="D125" s="3650" t="s">
        <v>795</v>
      </c>
      <c r="E125" s="3650"/>
      <c r="F125" s="3650"/>
      <c r="G125" s="3650"/>
      <c r="H125" s="3650"/>
      <c r="I125" s="3650"/>
      <c r="J125" s="3650"/>
      <c r="K125" s="3650"/>
      <c r="L125" s="3650"/>
      <c r="M125" s="3650"/>
      <c r="N125" s="3650"/>
      <c r="O125" s="3650"/>
      <c r="P125" s="3650"/>
      <c r="Q125" s="3650"/>
      <c r="R125" s="3650"/>
      <c r="S125" s="3650"/>
      <c r="T125" s="3650"/>
      <c r="U125" s="3650"/>
      <c r="V125" s="3650"/>
      <c r="W125" s="3650"/>
      <c r="X125" s="3650"/>
      <c r="Y125" s="3650"/>
      <c r="Z125" s="59"/>
      <c r="AA125" s="61"/>
      <c r="AB125" s="1833"/>
      <c r="AC125" s="50"/>
      <c r="AD125" s="125"/>
      <c r="AE125" s="3650" t="s">
        <v>795</v>
      </c>
      <c r="AF125" s="3650"/>
      <c r="AG125" s="3650"/>
      <c r="AH125" s="3650"/>
      <c r="AI125" s="3650"/>
      <c r="AJ125" s="3650"/>
      <c r="AK125" s="3650"/>
      <c r="AL125" s="3650"/>
      <c r="AM125" s="3650"/>
      <c r="AN125" s="3650"/>
      <c r="AO125" s="3650"/>
      <c r="AP125" s="3650"/>
      <c r="AQ125" s="3650"/>
      <c r="AR125" s="3650"/>
      <c r="AS125" s="3650"/>
      <c r="AT125" s="3650"/>
      <c r="AU125" s="3650"/>
      <c r="AV125" s="3650"/>
      <c r="AW125" s="3650"/>
      <c r="AX125" s="3650"/>
      <c r="AY125" s="3650"/>
      <c r="AZ125" s="3650"/>
      <c r="BA125" s="3650"/>
      <c r="BB125" s="3650"/>
      <c r="BC125" s="59"/>
      <c r="BD125" s="61"/>
      <c r="BE125" s="1842"/>
      <c r="BF125" s="115"/>
      <c r="BG125" s="125"/>
      <c r="BH125" s="3650" t="s">
        <v>795</v>
      </c>
      <c r="BI125" s="3650"/>
      <c r="BJ125" s="3650"/>
      <c r="BK125" s="3650"/>
      <c r="BL125" s="3650"/>
      <c r="BM125" s="3650"/>
      <c r="BN125" s="3650"/>
      <c r="BO125" s="3650"/>
      <c r="BP125" s="3650"/>
      <c r="BQ125" s="3650"/>
      <c r="BR125" s="3650"/>
      <c r="BS125" s="3650"/>
      <c r="BT125" s="3650"/>
      <c r="BU125" s="3650"/>
      <c r="BV125" s="3650"/>
      <c r="BW125" s="3650"/>
      <c r="BX125" s="3650"/>
      <c r="BY125" s="3650"/>
      <c r="BZ125" s="3650"/>
      <c r="CA125" s="3650"/>
      <c r="CB125" s="3650"/>
      <c r="CC125" s="3650"/>
      <c r="CD125" s="3650"/>
      <c r="CE125" s="3650"/>
      <c r="CF125" s="3650"/>
      <c r="CG125" s="3650"/>
      <c r="CH125" s="3650"/>
      <c r="CI125" s="3650"/>
      <c r="CJ125" s="3650"/>
      <c r="CK125" s="61"/>
      <c r="CL125" s="1825"/>
      <c r="CM125" s="43"/>
    </row>
    <row r="126" spans="2:91" ht="102.75" customHeight="1">
      <c r="B126" s="1809"/>
      <c r="C126" s="50"/>
      <c r="D126" s="59"/>
      <c r="E126" s="59"/>
      <c r="F126" s="59"/>
      <c r="G126" s="59"/>
      <c r="H126" s="59"/>
      <c r="I126" s="59"/>
      <c r="J126" s="59"/>
      <c r="K126" s="59"/>
      <c r="L126" s="59"/>
      <c r="M126" s="59"/>
      <c r="N126" s="59"/>
      <c r="O126" s="59"/>
      <c r="P126" s="59"/>
      <c r="Q126" s="59"/>
      <c r="R126" s="59"/>
      <c r="S126" s="59"/>
      <c r="T126" s="59"/>
      <c r="U126" s="59"/>
      <c r="V126" s="59"/>
      <c r="W126" s="59"/>
      <c r="X126" s="59"/>
      <c r="Y126" s="59"/>
      <c r="Z126" s="59"/>
      <c r="AA126" s="61"/>
      <c r="AB126" s="1833"/>
      <c r="AC126" s="50"/>
      <c r="AD126" s="59"/>
      <c r="AE126" s="59"/>
      <c r="AF126" s="59"/>
      <c r="AG126" s="59"/>
      <c r="AH126" s="59"/>
      <c r="AI126" s="59"/>
      <c r="AJ126" s="59"/>
      <c r="AK126" s="59"/>
      <c r="AL126" s="59"/>
      <c r="AM126" s="59"/>
      <c r="AN126" s="59"/>
      <c r="AO126" s="59"/>
      <c r="AP126" s="59"/>
      <c r="AQ126" s="59"/>
      <c r="AR126" s="59"/>
      <c r="AS126" s="59"/>
      <c r="AT126" s="59"/>
      <c r="AU126" s="59"/>
      <c r="AV126" s="59"/>
      <c r="AW126" s="59"/>
      <c r="AX126" s="59"/>
      <c r="AY126" s="59"/>
      <c r="AZ126" s="59"/>
      <c r="BA126" s="59"/>
      <c r="BB126" s="59"/>
      <c r="BC126" s="59"/>
      <c r="BD126" s="61"/>
      <c r="BE126" s="1842"/>
      <c r="BF126" s="115"/>
      <c r="BG126" s="59"/>
      <c r="BH126" s="59"/>
      <c r="BI126" s="59"/>
      <c r="BJ126" s="59"/>
      <c r="BK126" s="59"/>
      <c r="BL126" s="59"/>
      <c r="BM126" s="59"/>
      <c r="BN126" s="59"/>
      <c r="BO126" s="59"/>
      <c r="BP126" s="59"/>
      <c r="BQ126" s="59"/>
      <c r="BR126" s="59"/>
      <c r="BS126" s="59"/>
      <c r="BT126" s="59"/>
      <c r="BU126" s="59"/>
      <c r="BV126" s="59"/>
      <c r="BW126" s="59"/>
      <c r="BX126" s="59"/>
      <c r="BY126" s="59"/>
      <c r="BZ126" s="59"/>
      <c r="CA126" s="59"/>
      <c r="CB126" s="59"/>
      <c r="CC126" s="59"/>
      <c r="CD126" s="59"/>
      <c r="CE126" s="59"/>
      <c r="CF126" s="59"/>
      <c r="CG126" s="59"/>
      <c r="CH126" s="59"/>
      <c r="CI126" s="59"/>
      <c r="CJ126" s="59"/>
      <c r="CK126" s="61"/>
      <c r="CL126" s="1825"/>
      <c r="CM126" s="43"/>
    </row>
    <row r="127" spans="2:91" ht="28.5" customHeight="1">
      <c r="B127" s="1809"/>
      <c r="C127" s="50"/>
      <c r="D127" s="46"/>
      <c r="E127" s="46"/>
      <c r="F127" s="46"/>
      <c r="G127" s="46"/>
      <c r="H127" s="46"/>
      <c r="I127" s="46"/>
      <c r="J127" s="46"/>
      <c r="K127" s="46"/>
      <c r="L127" s="46"/>
      <c r="M127" s="46"/>
      <c r="N127" s="46"/>
      <c r="O127" s="46"/>
      <c r="P127" s="46"/>
      <c r="Q127" s="46"/>
      <c r="R127" s="46"/>
      <c r="S127" s="46"/>
      <c r="T127" s="46"/>
      <c r="U127" s="46"/>
      <c r="V127" s="46"/>
      <c r="W127" s="46"/>
      <c r="X127" s="46"/>
      <c r="Y127" s="46"/>
      <c r="Z127" s="59"/>
      <c r="AA127" s="61"/>
      <c r="AB127" s="1833"/>
      <c r="AC127" s="50"/>
      <c r="AD127" s="59"/>
      <c r="AE127" s="59"/>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59"/>
      <c r="BD127" s="61"/>
      <c r="BE127" s="1842"/>
      <c r="BF127" s="115"/>
      <c r="BG127" s="59"/>
      <c r="BH127" s="59"/>
      <c r="BI127" s="46"/>
      <c r="BJ127" s="46"/>
      <c r="BK127" s="46"/>
      <c r="BL127" s="46"/>
      <c r="BM127" s="46"/>
      <c r="BN127" s="46"/>
      <c r="BO127" s="46"/>
      <c r="BP127" s="46"/>
      <c r="BQ127" s="46"/>
      <c r="BR127" s="46"/>
      <c r="BS127" s="46"/>
      <c r="BT127" s="46"/>
      <c r="BU127" s="46"/>
      <c r="BV127" s="46"/>
      <c r="BW127" s="46"/>
      <c r="BX127" s="46"/>
      <c r="BY127" s="46"/>
      <c r="BZ127" s="46"/>
      <c r="CA127" s="46"/>
      <c r="CB127" s="46"/>
      <c r="CC127" s="46"/>
      <c r="CD127" s="46"/>
      <c r="CE127" s="46"/>
      <c r="CF127" s="46"/>
      <c r="CG127" s="46"/>
      <c r="CH127" s="46"/>
      <c r="CI127" s="46"/>
      <c r="CJ127" s="46"/>
      <c r="CK127" s="61"/>
      <c r="CL127" s="1825"/>
      <c r="CM127" s="43"/>
    </row>
    <row r="128" spans="2:91" ht="20.25" customHeight="1">
      <c r="B128" s="1809"/>
      <c r="C128" s="50"/>
      <c r="D128" s="2798"/>
      <c r="E128" s="2798"/>
      <c r="F128" s="2798"/>
      <c r="G128" s="2795" t="str">
        <f>IF(('FORMULAIRE PGA Eaux usées'!$H$81='MENU DÉROULANT'!$C$44),"(Aucun actif)","")</f>
        <v/>
      </c>
      <c r="H128" s="2798"/>
      <c r="I128" s="2798"/>
      <c r="J128" s="92"/>
      <c r="K128" s="92"/>
      <c r="L128" s="2529" t="s">
        <v>107</v>
      </c>
      <c r="M128" s="91"/>
      <c r="N128" s="2793" t="s">
        <v>844</v>
      </c>
      <c r="O128" s="92"/>
      <c r="P128" s="92"/>
      <c r="Q128" s="92"/>
      <c r="R128" s="92"/>
      <c r="S128" s="2798"/>
      <c r="T128" s="2798"/>
      <c r="U128" s="2798"/>
      <c r="V128" s="2796" t="str">
        <f>IF(('FORMULAIRE PGA Eaux usées'!$H$120='MENU DÉROULANT'!$F$44),"(Aucun actif)","")</f>
        <v/>
      </c>
      <c r="W128" s="2798"/>
      <c r="X128" s="2798"/>
      <c r="Y128" s="2798"/>
      <c r="Z128" s="59"/>
      <c r="AA128" s="61"/>
      <c r="AB128" s="1833"/>
      <c r="AC128" s="50"/>
      <c r="AD128" s="59"/>
      <c r="AE128" s="2798"/>
      <c r="AF128" s="2798"/>
      <c r="AG128" s="2798"/>
      <c r="AH128" s="2798"/>
      <c r="AI128" s="2799"/>
      <c r="AJ128" s="2799"/>
      <c r="AK128" s="2799"/>
      <c r="AL128" s="2799"/>
      <c r="AM128" s="2797" t="str">
        <f>IF(('FORMULAIRE PGA Eaux usées'!$H$81='MENU DÉROULANT'!$C$44),"(Aucun actif)","")</f>
        <v/>
      </c>
      <c r="AN128" s="2798"/>
      <c r="AO128" s="92"/>
      <c r="AP128" s="92"/>
      <c r="AQ128" s="92"/>
      <c r="AR128" s="157"/>
      <c r="AS128" s="2529" t="s">
        <v>107</v>
      </c>
      <c r="AT128" s="91"/>
      <c r="AU128" s="2793" t="s">
        <v>108</v>
      </c>
      <c r="AV128" s="157"/>
      <c r="AW128" s="92"/>
      <c r="AX128" s="2798"/>
      <c r="AY128" s="2796" t="str">
        <f>IF(('FORMULAIRE PGA Eaux usées'!$H$120='MENU DÉROULANT'!$F$44),"(Aucun actif)","")</f>
        <v/>
      </c>
      <c r="AZ128" s="2798"/>
      <c r="BA128" s="2798"/>
      <c r="BB128" s="2798"/>
      <c r="BC128" s="59"/>
      <c r="BD128" s="61"/>
      <c r="BE128" s="1842"/>
      <c r="BF128" s="115"/>
      <c r="BG128" s="59"/>
      <c r="BH128" s="2798"/>
      <c r="BI128" s="2798"/>
      <c r="BJ128" s="2798"/>
      <c r="BK128" s="2798"/>
      <c r="BL128" s="2799"/>
      <c r="BM128" s="2799"/>
      <c r="BN128" s="2799"/>
      <c r="BO128" s="2799"/>
      <c r="BP128" s="2797" t="str">
        <f>IF(('FORMULAIRE PGA Eaux usées'!$H$81='MENU DÉROULANT'!$C$44),"(Aucun actif)","")</f>
        <v/>
      </c>
      <c r="BQ128" s="2798"/>
      <c r="BR128" s="92"/>
      <c r="BS128" s="92"/>
      <c r="BT128" s="92"/>
      <c r="BU128" s="2529" t="s">
        <v>107</v>
      </c>
      <c r="BV128" s="91"/>
      <c r="BW128" s="2794" t="s">
        <v>108</v>
      </c>
      <c r="BX128" s="92"/>
      <c r="BY128" s="92"/>
      <c r="BZ128" s="92"/>
      <c r="CA128" s="92"/>
      <c r="CB128" s="2798"/>
      <c r="CC128" s="2798"/>
      <c r="CD128" s="2796" t="str">
        <f>IF(('FORMULAIRE PGA Eaux usées'!$H$120='MENU DÉROULANT'!$F$44),"(Aucun actif)","")</f>
        <v/>
      </c>
      <c r="CE128" s="2798"/>
      <c r="CF128" s="2798"/>
      <c r="CG128" s="2798"/>
      <c r="CH128" s="2798"/>
      <c r="CI128" s="2798"/>
      <c r="CJ128" s="2798"/>
      <c r="CK128" s="61"/>
      <c r="CL128" s="1825"/>
      <c r="CM128" s="43"/>
    </row>
    <row r="129" spans="2:91" ht="6" customHeight="1">
      <c r="B129" s="1809"/>
      <c r="C129" s="50"/>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61"/>
      <c r="AB129" s="1833"/>
      <c r="AC129" s="50"/>
      <c r="AD129" s="59"/>
      <c r="AE129" s="59"/>
      <c r="AF129" s="59"/>
      <c r="AG129" s="59"/>
      <c r="AH129" s="59"/>
      <c r="AI129" s="59"/>
      <c r="AJ129" s="59"/>
      <c r="AK129" s="59"/>
      <c r="AL129" s="59"/>
      <c r="AM129" s="59"/>
      <c r="AN129" s="59"/>
      <c r="AO129" s="59"/>
      <c r="AP129" s="59"/>
      <c r="AQ129" s="59"/>
      <c r="AR129" s="59"/>
      <c r="AS129" s="59"/>
      <c r="AT129" s="59"/>
      <c r="AU129" s="59"/>
      <c r="AV129" s="59"/>
      <c r="AW129" s="59"/>
      <c r="AX129" s="59"/>
      <c r="AY129" s="59"/>
      <c r="AZ129" s="59"/>
      <c r="BA129" s="59"/>
      <c r="BB129" s="59"/>
      <c r="BC129" s="59"/>
      <c r="BD129" s="61"/>
      <c r="BE129" s="1842"/>
      <c r="BF129" s="115"/>
      <c r="BG129" s="59"/>
      <c r="BH129" s="59"/>
      <c r="BI129" s="59"/>
      <c r="BJ129" s="59"/>
      <c r="BK129" s="59"/>
      <c r="BL129" s="59"/>
      <c r="BM129" s="59"/>
      <c r="BN129" s="59"/>
      <c r="BO129" s="59"/>
      <c r="BP129" s="59"/>
      <c r="BQ129" s="59"/>
      <c r="BR129" s="59"/>
      <c r="BS129" s="59"/>
      <c r="BT129" s="59"/>
      <c r="BU129" s="59"/>
      <c r="BV129" s="59"/>
      <c r="BW129" s="59"/>
      <c r="BX129" s="59"/>
      <c r="BY129" s="59"/>
      <c r="BZ129" s="59"/>
      <c r="CA129" s="59"/>
      <c r="CB129" s="59"/>
      <c r="CC129" s="59"/>
      <c r="CD129" s="59"/>
      <c r="CE129" s="59"/>
      <c r="CF129" s="59"/>
      <c r="CG129" s="59"/>
      <c r="CH129" s="59"/>
      <c r="CI129" s="59"/>
      <c r="CJ129" s="59"/>
      <c r="CK129" s="61"/>
      <c r="CL129" s="1825"/>
      <c r="CM129" s="43"/>
    </row>
    <row r="130" spans="2:91" ht="21.75" customHeight="1">
      <c r="B130" s="1809"/>
      <c r="C130" s="64"/>
      <c r="I130" s="436"/>
      <c r="J130" s="90"/>
      <c r="K130" s="59"/>
      <c r="M130" s="59"/>
      <c r="N130" s="59"/>
      <c r="O130" s="59"/>
      <c r="S130" s="75"/>
      <c r="T130" s="1141" t="s">
        <v>475</v>
      </c>
      <c r="V130" s="3633" t="str">
        <f>'CALCULS Eaux usées'!N271</f>
        <v/>
      </c>
      <c r="W130" s="3633"/>
      <c r="X130" s="3633"/>
      <c r="Y130" s="2837">
        <f>'CALCULS Eaux usées'!O276</f>
        <v>0</v>
      </c>
      <c r="AA130" s="1163"/>
      <c r="AB130" s="1833"/>
      <c r="AC130" s="50"/>
      <c r="AE130" s="59"/>
      <c r="AF130" s="59"/>
      <c r="AG130" s="59"/>
      <c r="AH130" s="59"/>
      <c r="AI130" s="59"/>
      <c r="AJ130" s="59"/>
      <c r="AK130" s="59"/>
      <c r="AL130" s="59"/>
      <c r="AM130" s="59"/>
      <c r="AN130" s="59"/>
      <c r="AO130" s="59"/>
      <c r="AP130" s="59"/>
      <c r="AQ130" s="59"/>
      <c r="AR130" s="59"/>
      <c r="AS130" s="59"/>
      <c r="AT130" s="59"/>
      <c r="AX130" s="1141" t="s">
        <v>480</v>
      </c>
      <c r="AY130" s="3633" t="str">
        <f>'CALCULS Eaux usées'!N290</f>
        <v/>
      </c>
      <c r="AZ130" s="3633"/>
      <c r="BA130" s="3651">
        <f>'CALCULS Eaux usées'!O295</f>
        <v>0</v>
      </c>
      <c r="BB130" s="3651"/>
      <c r="BC130" s="1162"/>
      <c r="BD130" s="61"/>
      <c r="BE130" s="1842"/>
      <c r="BF130" s="175"/>
      <c r="BH130" s="59"/>
      <c r="BI130" s="59"/>
      <c r="BJ130" s="59"/>
      <c r="BK130" s="59"/>
      <c r="BL130" s="59"/>
      <c r="BM130" s="59"/>
      <c r="BN130" s="59"/>
      <c r="BO130" s="59"/>
      <c r="BP130" s="59"/>
      <c r="BQ130" s="59"/>
      <c r="BR130" s="59"/>
      <c r="BS130" s="59"/>
      <c r="BT130" s="59"/>
      <c r="BU130" s="59"/>
      <c r="BV130" s="59"/>
      <c r="BW130" s="59"/>
      <c r="BX130" s="59"/>
      <c r="BY130" s="59"/>
      <c r="BZ130" s="59"/>
      <c r="CA130" s="59"/>
      <c r="CC130" s="1141" t="s">
        <v>483</v>
      </c>
      <c r="CD130" s="3633" t="str">
        <f>'CALCULS Eaux usées'!N309</f>
        <v/>
      </c>
      <c r="CE130" s="3633"/>
      <c r="CF130" s="3633"/>
      <c r="CG130" s="3633"/>
      <c r="CH130" s="3651">
        <f>'CALCULS Eaux usées'!O314</f>
        <v>0</v>
      </c>
      <c r="CI130" s="3651"/>
      <c r="CJ130" s="3651"/>
      <c r="CK130" s="1161"/>
      <c r="CL130" s="1825"/>
      <c r="CM130" s="43"/>
    </row>
    <row r="131" spans="2:91" ht="15" customHeight="1">
      <c r="B131" s="1809"/>
      <c r="C131" s="64"/>
      <c r="D131" s="435"/>
      <c r="E131" s="435"/>
      <c r="F131" s="435"/>
      <c r="G131" s="435"/>
      <c r="H131" s="435"/>
      <c r="I131" s="436"/>
      <c r="J131" s="90"/>
      <c r="K131" s="59"/>
      <c r="M131" s="59"/>
      <c r="N131" s="59"/>
      <c r="O131" s="59"/>
      <c r="P131" s="1127"/>
      <c r="Q131" s="1127"/>
      <c r="R131" s="1127"/>
      <c r="S131" s="59"/>
      <c r="T131" s="1141" t="s">
        <v>476</v>
      </c>
      <c r="V131" s="3633" t="str">
        <f>'CALCULS Eaux usées'!N272</f>
        <v/>
      </c>
      <c r="W131" s="3633"/>
      <c r="X131" s="3633"/>
      <c r="Y131" s="2836">
        <f>'CALCULS Eaux usées'!N276</f>
        <v>0</v>
      </c>
      <c r="AA131" s="1163"/>
      <c r="AB131" s="1833"/>
      <c r="AC131" s="50"/>
      <c r="AD131" s="437"/>
      <c r="AE131" s="59"/>
      <c r="AF131" s="59"/>
      <c r="AG131" s="59"/>
      <c r="AH131" s="59"/>
      <c r="AI131" s="59"/>
      <c r="AJ131" s="59"/>
      <c r="AK131" s="59"/>
      <c r="AL131" s="59"/>
      <c r="AM131" s="59"/>
      <c r="AN131" s="59"/>
      <c r="AO131" s="59"/>
      <c r="AP131" s="59"/>
      <c r="AQ131" s="59"/>
      <c r="AR131" s="59"/>
      <c r="AS131" s="59"/>
      <c r="AT131" s="59"/>
      <c r="AU131" s="1127"/>
      <c r="AV131" s="1127"/>
      <c r="AW131" s="1127"/>
      <c r="AX131" s="1141" t="s">
        <v>481</v>
      </c>
      <c r="AY131" s="3633" t="str">
        <f>'CALCULS Eaux usées'!N291</f>
        <v/>
      </c>
      <c r="AZ131" s="3633"/>
      <c r="BA131" s="3638">
        <f>'CALCULS Eaux usées'!N295</f>
        <v>0</v>
      </c>
      <c r="BB131" s="3638"/>
      <c r="BC131" s="1162"/>
      <c r="BD131" s="61"/>
      <c r="BE131" s="1842"/>
      <c r="BF131" s="175"/>
      <c r="BG131" s="437"/>
      <c r="BH131" s="59"/>
      <c r="BI131" s="59"/>
      <c r="BJ131" s="59"/>
      <c r="BK131" s="59"/>
      <c r="BL131" s="59"/>
      <c r="BM131" s="59"/>
      <c r="BN131" s="59"/>
      <c r="BO131" s="59"/>
      <c r="BP131" s="59"/>
      <c r="BQ131" s="59"/>
      <c r="BR131" s="59"/>
      <c r="BS131" s="59"/>
      <c r="BT131" s="59"/>
      <c r="BU131" s="59"/>
      <c r="BV131" s="59"/>
      <c r="BW131" s="59"/>
      <c r="BX131" s="59"/>
      <c r="BY131" s="59"/>
      <c r="BZ131" s="59"/>
      <c r="CA131" s="59"/>
      <c r="CB131" s="1127"/>
      <c r="CC131" s="1141" t="s">
        <v>484</v>
      </c>
      <c r="CD131" s="3633" t="str">
        <f>'CALCULS Eaux usées'!N310</f>
        <v/>
      </c>
      <c r="CE131" s="3633"/>
      <c r="CF131" s="3633"/>
      <c r="CG131" s="3633"/>
      <c r="CH131" s="3638">
        <f>'CALCULS Eaux usées'!N314</f>
        <v>0</v>
      </c>
      <c r="CI131" s="3638"/>
      <c r="CJ131" s="3638"/>
      <c r="CK131" s="1161"/>
      <c r="CL131" s="1825"/>
      <c r="CM131" s="43"/>
    </row>
    <row r="132" spans="2:91" ht="10.5" customHeight="1">
      <c r="B132" s="1809"/>
      <c r="C132" s="91"/>
      <c r="D132" s="105"/>
      <c r="E132" s="105"/>
      <c r="F132" s="105"/>
      <c r="G132" s="105"/>
      <c r="H132" s="105"/>
      <c r="I132" s="92"/>
      <c r="J132" s="92"/>
      <c r="K132" s="92"/>
      <c r="L132" s="92"/>
      <c r="M132" s="92"/>
      <c r="N132" s="92"/>
      <c r="O132" s="92"/>
      <c r="P132" s="92"/>
      <c r="Q132" s="92"/>
      <c r="R132" s="92"/>
      <c r="S132" s="92"/>
      <c r="T132" s="92"/>
      <c r="U132" s="92"/>
      <c r="V132" s="92"/>
      <c r="W132" s="92"/>
      <c r="X132" s="92"/>
      <c r="Y132" s="92"/>
      <c r="Z132" s="92"/>
      <c r="AA132" s="93"/>
      <c r="AB132" s="1833"/>
      <c r="AC132" s="91"/>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3"/>
      <c r="BE132" s="1833"/>
      <c r="BF132" s="91"/>
      <c r="BG132" s="92"/>
      <c r="BH132" s="92"/>
      <c r="BI132" s="92"/>
      <c r="BJ132" s="92"/>
      <c r="BK132" s="92"/>
      <c r="BL132" s="92"/>
      <c r="BM132" s="92"/>
      <c r="BN132" s="92"/>
      <c r="BO132" s="92"/>
      <c r="BP132" s="92"/>
      <c r="BQ132" s="92"/>
      <c r="BR132" s="92"/>
      <c r="BS132" s="92"/>
      <c r="BT132" s="92"/>
      <c r="BU132" s="92"/>
      <c r="BV132" s="92"/>
      <c r="BW132" s="92"/>
      <c r="BX132" s="92"/>
      <c r="BY132" s="92"/>
      <c r="BZ132" s="92"/>
      <c r="CA132" s="92"/>
      <c r="CB132" s="92"/>
      <c r="CC132" s="92"/>
      <c r="CD132" s="92"/>
      <c r="CE132" s="92"/>
      <c r="CF132" s="92"/>
      <c r="CG132" s="92"/>
      <c r="CH132" s="92"/>
      <c r="CI132" s="92"/>
      <c r="CJ132" s="92"/>
      <c r="CK132" s="93"/>
      <c r="CL132" s="1825"/>
      <c r="CM132" s="43"/>
    </row>
    <row r="133" spans="2:91" ht="12.75" customHeight="1">
      <c r="B133" s="1812"/>
      <c r="C133" s="1820"/>
      <c r="D133" s="1820"/>
      <c r="E133" s="1820"/>
      <c r="F133" s="1820"/>
      <c r="G133" s="1820"/>
      <c r="H133" s="1820"/>
      <c r="I133" s="1820"/>
      <c r="J133" s="1820"/>
      <c r="K133" s="1820"/>
      <c r="L133" s="1820"/>
      <c r="M133" s="1820"/>
      <c r="N133" s="1820"/>
      <c r="O133" s="1820"/>
      <c r="P133" s="1820"/>
      <c r="Q133" s="1820"/>
      <c r="R133" s="1820"/>
      <c r="S133" s="1820"/>
      <c r="T133" s="1820"/>
      <c r="U133" s="1820"/>
      <c r="V133" s="1820"/>
      <c r="W133" s="1820"/>
      <c r="X133" s="1820"/>
      <c r="Y133" s="1820"/>
      <c r="Z133" s="1820"/>
      <c r="AA133" s="1820"/>
      <c r="AB133" s="1820"/>
      <c r="AC133" s="1820"/>
      <c r="AD133" s="1820"/>
      <c r="AE133" s="1820"/>
      <c r="AF133" s="1820"/>
      <c r="AG133" s="1820"/>
      <c r="AH133" s="1820"/>
      <c r="AI133" s="1820"/>
      <c r="AJ133" s="1820"/>
      <c r="AK133" s="1820"/>
      <c r="AL133" s="1820"/>
      <c r="AM133" s="1820"/>
      <c r="AN133" s="1820"/>
      <c r="AO133" s="1820"/>
      <c r="AP133" s="1820"/>
      <c r="AQ133" s="1820"/>
      <c r="AR133" s="1820"/>
      <c r="AS133" s="1820"/>
      <c r="AT133" s="1820"/>
      <c r="AU133" s="1820"/>
      <c r="AV133" s="1820"/>
      <c r="AW133" s="1820"/>
      <c r="AX133" s="1820"/>
      <c r="AY133" s="1820"/>
      <c r="AZ133" s="1820"/>
      <c r="BA133" s="1820"/>
      <c r="BB133" s="1820"/>
      <c r="BC133" s="1820"/>
      <c r="BD133" s="1820"/>
      <c r="BE133" s="1820"/>
      <c r="BF133" s="1820"/>
      <c r="BG133" s="1820"/>
      <c r="BH133" s="1820"/>
      <c r="BI133" s="1820"/>
      <c r="BJ133" s="1820"/>
      <c r="BK133" s="1820"/>
      <c r="BL133" s="1820"/>
      <c r="BM133" s="1820"/>
      <c r="BN133" s="1820"/>
      <c r="BO133" s="1820"/>
      <c r="BP133" s="1820"/>
      <c r="BQ133" s="1820"/>
      <c r="BR133" s="1820"/>
      <c r="BS133" s="1820"/>
      <c r="BT133" s="1820"/>
      <c r="BU133" s="1820"/>
      <c r="BV133" s="1820"/>
      <c r="BW133" s="1820"/>
      <c r="BX133" s="1820"/>
      <c r="BY133" s="1820"/>
      <c r="BZ133" s="1820"/>
      <c r="CA133" s="1820"/>
      <c r="CB133" s="1820"/>
      <c r="CC133" s="1820"/>
      <c r="CD133" s="1820"/>
      <c r="CE133" s="1820"/>
      <c r="CF133" s="1820"/>
      <c r="CG133" s="1820"/>
      <c r="CH133" s="1820"/>
      <c r="CI133" s="1820"/>
      <c r="CJ133" s="1820"/>
      <c r="CK133" s="1820"/>
      <c r="CL133" s="1821"/>
      <c r="CM133" s="43"/>
    </row>
    <row r="134" spans="2:91" ht="9.75" customHeight="1">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c r="AS134" s="59"/>
      <c r="AT134" s="59"/>
      <c r="AU134" s="59"/>
      <c r="AV134" s="59"/>
      <c r="AW134" s="59"/>
      <c r="AX134" s="59"/>
      <c r="AY134" s="59"/>
      <c r="AZ134" s="59"/>
      <c r="BA134" s="59"/>
      <c r="BB134" s="59"/>
      <c r="BC134" s="59"/>
      <c r="BD134" s="59"/>
      <c r="BE134" s="59"/>
      <c r="BF134" s="59"/>
      <c r="BG134" s="59"/>
      <c r="BH134" s="59"/>
      <c r="BI134" s="59"/>
      <c r="BJ134" s="59"/>
      <c r="BK134" s="59"/>
      <c r="BL134" s="59"/>
      <c r="BM134" s="59"/>
      <c r="BN134" s="59"/>
      <c r="BO134" s="59"/>
      <c r="BP134" s="59"/>
      <c r="BQ134" s="59"/>
      <c r="BR134" s="59"/>
      <c r="BS134" s="59"/>
      <c r="BT134" s="59"/>
      <c r="BU134" s="59"/>
      <c r="BV134" s="59"/>
      <c r="BW134" s="59"/>
      <c r="BX134" s="59"/>
      <c r="BY134" s="59"/>
      <c r="BZ134" s="59"/>
      <c r="CA134" s="59"/>
      <c r="CB134" s="59"/>
      <c r="CC134" s="59"/>
      <c r="CD134" s="59"/>
      <c r="CE134" s="59"/>
      <c r="CF134" s="59"/>
      <c r="CG134" s="59"/>
      <c r="CH134" s="59"/>
      <c r="CI134" s="59"/>
      <c r="CJ134" s="59"/>
      <c r="CK134" s="59"/>
      <c r="CL134" s="59"/>
      <c r="CM134" s="59"/>
    </row>
    <row r="135" spans="2:91" ht="22.5" customHeight="1">
      <c r="B135" s="1702"/>
      <c r="C135" s="1703" t="s">
        <v>798</v>
      </c>
      <c r="D135" s="1704"/>
      <c r="E135" s="1704"/>
      <c r="F135" s="1704"/>
      <c r="G135" s="1704"/>
      <c r="H135" s="1704"/>
      <c r="I135" s="1704"/>
      <c r="J135" s="1704"/>
      <c r="K135" s="1704"/>
      <c r="L135" s="1704"/>
      <c r="M135" s="1704"/>
      <c r="N135" s="1704"/>
      <c r="O135" s="1704"/>
      <c r="P135" s="1704"/>
      <c r="Q135" s="1704"/>
      <c r="R135" s="1704"/>
      <c r="S135" s="1704"/>
      <c r="T135" s="1704"/>
      <c r="U135" s="1704"/>
      <c r="V135" s="1704"/>
      <c r="W135" s="1704"/>
      <c r="X135" s="1704"/>
      <c r="Y135" s="1704"/>
      <c r="Z135" s="1704"/>
      <c r="AA135" s="1704"/>
      <c r="AB135" s="1704"/>
      <c r="AC135" s="1704"/>
      <c r="AD135" s="1704"/>
      <c r="AE135" s="1704"/>
      <c r="AF135" s="1704"/>
      <c r="AG135" s="1704"/>
      <c r="AH135" s="1704"/>
      <c r="AI135" s="1704"/>
      <c r="AJ135" s="1704"/>
      <c r="AK135" s="1704"/>
      <c r="AL135" s="1704"/>
      <c r="AM135" s="1704"/>
      <c r="AN135" s="1706"/>
      <c r="AO135" s="1702"/>
      <c r="AP135" s="3713"/>
      <c r="AQ135" s="3713"/>
      <c r="AR135" s="1704"/>
      <c r="AS135" s="176"/>
      <c r="AT135" s="1704"/>
      <c r="AU135" s="1703" t="s">
        <v>799</v>
      </c>
      <c r="AV135" s="1705"/>
      <c r="AW135" s="1705"/>
      <c r="AX135" s="1704"/>
      <c r="AY135" s="1704"/>
      <c r="AZ135" s="1704"/>
      <c r="BA135" s="1704"/>
      <c r="BB135" s="1704"/>
      <c r="BC135" s="1704"/>
      <c r="BD135" s="1704"/>
      <c r="BE135" s="1704"/>
      <c r="BF135" s="1704"/>
      <c r="BG135" s="1704"/>
      <c r="BH135" s="1704"/>
      <c r="BI135" s="1704"/>
      <c r="BJ135" s="1704"/>
      <c r="BK135" s="1704"/>
      <c r="BL135" s="1704"/>
      <c r="BM135" s="1704"/>
      <c r="BN135" s="1704"/>
      <c r="BO135" s="1704"/>
      <c r="BP135" s="1704"/>
      <c r="BQ135" s="1704"/>
      <c r="BR135" s="1704"/>
      <c r="BS135" s="1704"/>
      <c r="BT135" s="1704"/>
      <c r="BU135" s="1704"/>
      <c r="BV135" s="1704"/>
      <c r="BW135" s="1704"/>
      <c r="BX135" s="1704"/>
      <c r="BY135" s="1704"/>
      <c r="BZ135" s="1704"/>
      <c r="CA135" s="1704"/>
      <c r="CB135" s="1704"/>
      <c r="CC135" s="1704"/>
      <c r="CD135" s="1704"/>
      <c r="CE135" s="1704"/>
      <c r="CF135" s="1704"/>
      <c r="CG135" s="1704"/>
      <c r="CH135" s="1706"/>
      <c r="CI135" s="1702"/>
      <c r="CJ135" s="3713"/>
      <c r="CK135" s="3713"/>
      <c r="CL135" s="1704"/>
    </row>
    <row r="136" spans="2:91" ht="6.75" customHeight="1"/>
    <row r="137" spans="2:91" ht="9.75" customHeight="1">
      <c r="B137" s="1811"/>
      <c r="C137" s="1813"/>
      <c r="D137" s="1813"/>
      <c r="E137" s="1813"/>
      <c r="F137" s="1813"/>
      <c r="G137" s="1813"/>
      <c r="H137" s="1813"/>
      <c r="I137" s="1813"/>
      <c r="J137" s="1813"/>
      <c r="K137" s="1813"/>
      <c r="L137" s="1813"/>
      <c r="M137" s="1813"/>
      <c r="N137" s="1813"/>
      <c r="O137" s="1813"/>
      <c r="P137" s="1813"/>
      <c r="Q137" s="1813"/>
      <c r="R137" s="1813"/>
      <c r="S137" s="1813"/>
      <c r="T137" s="1813"/>
      <c r="U137" s="1813"/>
      <c r="V137" s="1813"/>
      <c r="W137" s="1813"/>
      <c r="X137" s="1813"/>
      <c r="Y137" s="1813"/>
      <c r="Z137" s="1813"/>
      <c r="AA137" s="1813"/>
      <c r="AB137" s="1813"/>
      <c r="AC137" s="1813"/>
      <c r="AD137" s="1813"/>
      <c r="AE137" s="1813"/>
      <c r="AF137" s="1813"/>
      <c r="AG137" s="1813"/>
      <c r="AH137" s="1813"/>
      <c r="AI137" s="1813"/>
      <c r="AJ137" s="1813"/>
      <c r="AK137" s="1813"/>
      <c r="AL137" s="1813"/>
      <c r="AM137" s="1813"/>
      <c r="AN137" s="1813"/>
      <c r="AO137" s="1813"/>
      <c r="AP137" s="1813"/>
      <c r="AQ137" s="1813"/>
      <c r="AR137" s="1813"/>
      <c r="AS137" s="177"/>
      <c r="AT137" s="1813"/>
      <c r="AU137" s="1813"/>
      <c r="AV137" s="1813"/>
      <c r="AW137" s="1813"/>
      <c r="AX137" s="1813"/>
      <c r="AY137" s="1813"/>
      <c r="AZ137" s="1813"/>
      <c r="BA137" s="1813"/>
      <c r="BB137" s="1813"/>
      <c r="BC137" s="1813"/>
      <c r="BD137" s="1813"/>
      <c r="BE137" s="1813"/>
      <c r="BF137" s="1813"/>
      <c r="BG137" s="1813"/>
      <c r="BH137" s="1813"/>
      <c r="BI137" s="1813"/>
      <c r="BJ137" s="1813"/>
      <c r="BK137" s="1813"/>
      <c r="BL137" s="1813"/>
      <c r="BM137" s="1813"/>
      <c r="BN137" s="1813"/>
      <c r="BO137" s="1813"/>
      <c r="BP137" s="1813"/>
      <c r="BQ137" s="1813"/>
      <c r="BR137" s="1813"/>
      <c r="BS137" s="1813"/>
      <c r="BT137" s="1813"/>
      <c r="BU137" s="1813"/>
      <c r="BV137" s="1813"/>
      <c r="BW137" s="1813"/>
      <c r="BX137" s="1813"/>
      <c r="BY137" s="1813"/>
      <c r="BZ137" s="1813"/>
      <c r="CA137" s="1813"/>
      <c r="CB137" s="1813"/>
      <c r="CC137" s="1813"/>
      <c r="CD137" s="1813"/>
      <c r="CE137" s="1813"/>
      <c r="CF137" s="1813"/>
      <c r="CG137" s="1813"/>
      <c r="CH137" s="1813"/>
      <c r="CI137" s="1813"/>
      <c r="CJ137" s="1813"/>
      <c r="CK137" s="1813"/>
      <c r="CL137" s="1814"/>
      <c r="CM137" s="43"/>
    </row>
    <row r="138" spans="2:91" ht="9.75" customHeight="1">
      <c r="B138" s="1809"/>
      <c r="C138" s="45"/>
      <c r="D138" s="46"/>
      <c r="E138" s="46"/>
      <c r="F138" s="46"/>
      <c r="G138" s="46"/>
      <c r="H138" s="46"/>
      <c r="I138" s="178"/>
      <c r="J138" s="178"/>
      <c r="K138" s="178"/>
      <c r="L138" s="178"/>
      <c r="M138" s="178"/>
      <c r="N138" s="178"/>
      <c r="O138" s="178"/>
      <c r="P138" s="178"/>
      <c r="Q138" s="178"/>
      <c r="R138" s="178"/>
      <c r="S138" s="178"/>
      <c r="T138" s="178"/>
      <c r="U138" s="178"/>
      <c r="V138" s="178"/>
      <c r="W138" s="178"/>
      <c r="X138" s="46"/>
      <c r="Y138" s="46"/>
      <c r="Z138" s="46"/>
      <c r="AA138" s="46"/>
      <c r="AB138" s="46"/>
      <c r="AC138" s="46"/>
      <c r="AD138" s="46"/>
      <c r="AE138" s="46"/>
      <c r="AF138" s="46"/>
      <c r="AG138" s="46"/>
      <c r="AH138" s="46"/>
      <c r="AI138" s="46"/>
      <c r="AJ138" s="46"/>
      <c r="AK138" s="46"/>
      <c r="AL138" s="46"/>
      <c r="AM138" s="178"/>
      <c r="AN138" s="46"/>
      <c r="AO138" s="46"/>
      <c r="AP138" s="46"/>
      <c r="AQ138" s="47"/>
      <c r="AR138" s="1833"/>
      <c r="AS138" s="177"/>
      <c r="AT138" s="1833"/>
      <c r="AU138" s="45"/>
      <c r="AV138" s="46"/>
      <c r="AW138" s="46"/>
      <c r="AX138" s="46"/>
      <c r="AY138" s="46"/>
      <c r="AZ138" s="46"/>
      <c r="BA138" s="178"/>
      <c r="BB138" s="178"/>
      <c r="BC138" s="178"/>
      <c r="BD138" s="178"/>
      <c r="BE138" s="178"/>
      <c r="BF138" s="178"/>
      <c r="BG138" s="178"/>
      <c r="BH138" s="178"/>
      <c r="BI138" s="178"/>
      <c r="BJ138" s="178"/>
      <c r="BK138" s="178"/>
      <c r="BL138" s="178"/>
      <c r="BM138" s="178"/>
      <c r="BN138" s="178"/>
      <c r="BO138" s="178"/>
      <c r="BP138" s="178"/>
      <c r="BQ138" s="46"/>
      <c r="BR138" s="46"/>
      <c r="BS138" s="46"/>
      <c r="BT138" s="46"/>
      <c r="BU138" s="46"/>
      <c r="BV138" s="46"/>
      <c r="BW138" s="46"/>
      <c r="BX138" s="46"/>
      <c r="BY138" s="46"/>
      <c r="BZ138" s="46"/>
      <c r="CA138" s="46"/>
      <c r="CB138" s="46"/>
      <c r="CC138" s="46"/>
      <c r="CD138" s="46"/>
      <c r="CE138" s="46"/>
      <c r="CF138" s="46"/>
      <c r="CG138" s="178"/>
      <c r="CH138" s="46"/>
      <c r="CI138" s="46"/>
      <c r="CJ138" s="46"/>
      <c r="CK138" s="47"/>
      <c r="CL138" s="1825"/>
      <c r="CM138" s="43"/>
    </row>
    <row r="139" spans="2:91" ht="18" customHeight="1">
      <c r="B139" s="1809"/>
      <c r="C139" s="50"/>
      <c r="D139" s="179" t="s">
        <v>800</v>
      </c>
      <c r="E139" s="179"/>
      <c r="F139" s="179"/>
      <c r="G139" s="179"/>
      <c r="H139" s="179"/>
      <c r="I139" s="180"/>
      <c r="J139" s="180"/>
      <c r="K139" s="180"/>
      <c r="L139" s="180"/>
      <c r="M139" s="180"/>
      <c r="N139" s="180"/>
      <c r="O139" s="180"/>
      <c r="P139" s="180"/>
      <c r="Q139" s="180"/>
      <c r="R139" s="180"/>
      <c r="S139" s="180"/>
      <c r="T139" s="180"/>
      <c r="U139" s="180"/>
      <c r="V139" s="180"/>
      <c r="W139" s="180"/>
      <c r="X139" s="59"/>
      <c r="Y139" s="59"/>
      <c r="Z139" s="59"/>
      <c r="AA139" s="59"/>
      <c r="AB139" s="59"/>
      <c r="AC139" s="59"/>
      <c r="AD139" s="59"/>
      <c r="AE139" s="59"/>
      <c r="AF139" s="181"/>
      <c r="AG139" s="59"/>
      <c r="AH139" s="181"/>
      <c r="AI139" s="59"/>
      <c r="AJ139" s="59"/>
      <c r="AK139" s="59"/>
      <c r="AL139" s="138"/>
      <c r="AM139" s="3652"/>
      <c r="AN139" s="3652"/>
      <c r="AO139" s="59"/>
      <c r="AP139" s="59"/>
      <c r="AQ139" s="61"/>
      <c r="AR139" s="1833"/>
      <c r="AS139" s="177"/>
      <c r="AT139" s="1833"/>
      <c r="AU139" s="50"/>
      <c r="AV139" s="179" t="s">
        <v>801</v>
      </c>
      <c r="AW139" s="179"/>
      <c r="BA139" s="180"/>
      <c r="BB139" s="180"/>
      <c r="BC139" s="180"/>
      <c r="BD139" s="180"/>
      <c r="BE139" s="180"/>
      <c r="BF139" s="180"/>
      <c r="BG139" s="180"/>
      <c r="BH139" s="180"/>
      <c r="BI139" s="180"/>
      <c r="BJ139" s="180"/>
      <c r="BK139" s="180"/>
      <c r="BL139" s="180"/>
      <c r="BM139" s="180"/>
      <c r="BN139" s="180"/>
      <c r="BO139" s="180"/>
      <c r="BP139" s="180"/>
      <c r="BQ139" s="59"/>
      <c r="BR139" s="59"/>
      <c r="BS139" s="59"/>
      <c r="BT139" s="59"/>
      <c r="BU139" s="59"/>
      <c r="BV139" s="59"/>
      <c r="BW139" s="59"/>
      <c r="BX139" s="59"/>
      <c r="BY139" s="59"/>
      <c r="BZ139" s="59"/>
      <c r="CA139" s="59"/>
      <c r="CB139" s="59"/>
      <c r="CC139" s="59"/>
      <c r="CD139" s="59"/>
      <c r="CE139" s="59"/>
      <c r="CF139" s="59"/>
      <c r="CG139" s="180"/>
      <c r="CH139" s="59"/>
      <c r="CI139" s="59"/>
      <c r="CJ139" s="59"/>
      <c r="CK139" s="61"/>
      <c r="CL139" s="1825"/>
      <c r="CM139" s="43"/>
    </row>
    <row r="140" spans="2:91" ht="6.75" customHeight="1">
      <c r="B140" s="1809"/>
      <c r="C140" s="50"/>
      <c r="D140" s="182"/>
      <c r="E140" s="182"/>
      <c r="F140" s="182"/>
      <c r="G140" s="182"/>
      <c r="H140" s="182"/>
      <c r="I140" s="180"/>
      <c r="J140" s="180"/>
      <c r="K140" s="180"/>
      <c r="L140" s="180"/>
      <c r="M140" s="180"/>
      <c r="N140" s="180"/>
      <c r="O140" s="180"/>
      <c r="P140" s="180"/>
      <c r="Q140" s="180"/>
      <c r="R140" s="180"/>
      <c r="S140" s="180"/>
      <c r="T140" s="180"/>
      <c r="U140" s="180"/>
      <c r="V140" s="180"/>
      <c r="W140" s="180"/>
      <c r="X140" s="59"/>
      <c r="Y140" s="59"/>
      <c r="Z140" s="59"/>
      <c r="AA140" s="59"/>
      <c r="AB140" s="59"/>
      <c r="AC140" s="59"/>
      <c r="AD140" s="59"/>
      <c r="AE140" s="59"/>
      <c r="AF140" s="59"/>
      <c r="AG140" s="59"/>
      <c r="AH140" s="59"/>
      <c r="AI140" s="59"/>
      <c r="AJ140" s="59"/>
      <c r="AK140" s="59"/>
      <c r="AL140" s="59"/>
      <c r="AM140" s="180"/>
      <c r="AN140" s="59"/>
      <c r="AO140" s="59"/>
      <c r="AP140" s="59"/>
      <c r="AQ140" s="61"/>
      <c r="AR140" s="1833"/>
      <c r="AS140" s="177"/>
      <c r="AT140" s="1833"/>
      <c r="AU140" s="50"/>
      <c r="AV140" s="59"/>
      <c r="AW140" s="59"/>
      <c r="AX140" s="182"/>
      <c r="AY140" s="182"/>
      <c r="AZ140" s="182"/>
      <c r="BA140" s="180"/>
      <c r="BB140" s="180"/>
      <c r="BC140" s="180"/>
      <c r="BD140" s="180"/>
      <c r="BE140" s="180"/>
      <c r="BF140" s="180"/>
      <c r="BG140" s="180"/>
      <c r="BH140" s="180"/>
      <c r="BI140" s="180"/>
      <c r="BJ140" s="180"/>
      <c r="BK140" s="180"/>
      <c r="BL140" s="180"/>
      <c r="BM140" s="180"/>
      <c r="BN140" s="180"/>
      <c r="BO140" s="180"/>
      <c r="BP140" s="180"/>
      <c r="BQ140" s="59"/>
      <c r="BR140" s="59"/>
      <c r="BS140" s="59"/>
      <c r="BT140" s="59"/>
      <c r="BU140" s="59"/>
      <c r="BV140" s="59"/>
      <c r="BW140" s="59"/>
      <c r="BX140" s="59"/>
      <c r="BY140" s="59"/>
      <c r="BZ140" s="59"/>
      <c r="CA140" s="59"/>
      <c r="CB140" s="59"/>
      <c r="CC140" s="59"/>
      <c r="CD140" s="59"/>
      <c r="CE140" s="59"/>
      <c r="CF140" s="59"/>
      <c r="CG140" s="180"/>
      <c r="CH140" s="59"/>
      <c r="CI140" s="59"/>
      <c r="CJ140" s="59"/>
      <c r="CK140" s="61"/>
      <c r="CL140" s="1825"/>
      <c r="CM140" s="43"/>
    </row>
    <row r="141" spans="2:91" ht="15" customHeight="1">
      <c r="B141" s="1809"/>
      <c r="C141" s="50"/>
      <c r="D141" s="182"/>
      <c r="E141" s="182"/>
      <c r="F141" s="182"/>
      <c r="G141" s="182"/>
      <c r="H141" s="182"/>
      <c r="J141" s="1726" t="s">
        <v>107</v>
      </c>
      <c r="K141" s="1724"/>
      <c r="L141" s="1724"/>
      <c r="M141" s="1724"/>
      <c r="N141" s="1724"/>
      <c r="O141" s="1724"/>
      <c r="P141" s="1724"/>
      <c r="Q141" s="1724"/>
      <c r="R141" s="1724"/>
      <c r="S141" s="1724"/>
      <c r="T141" s="1724"/>
      <c r="U141" s="1724"/>
      <c r="V141" s="1724"/>
      <c r="W141" s="2244" t="str">
        <f>IF(('CALCULS Eaux usées'!D33='MENU DÉROULANT'!$C$44),"(Aucun actif)","")</f>
        <v/>
      </c>
      <c r="X141" s="1725"/>
      <c r="Y141" s="59"/>
      <c r="Z141" s="1726" t="s">
        <v>108</v>
      </c>
      <c r="AA141" s="1724"/>
      <c r="AB141" s="1724"/>
      <c r="AC141" s="1724"/>
      <c r="AD141" s="1724"/>
      <c r="AE141" s="1724"/>
      <c r="AF141" s="1724"/>
      <c r="AG141" s="1724"/>
      <c r="AH141" s="1724"/>
      <c r="AI141" s="1724"/>
      <c r="AJ141" s="1724"/>
      <c r="AK141" s="1724"/>
      <c r="AL141" s="1724"/>
      <c r="AM141" s="1724"/>
      <c r="AN141" s="2244" t="str">
        <f>IF(('CALCULS Eaux usées'!D41='MENU DÉROULANT'!$F$44),"(Aucun actif)","")</f>
        <v/>
      </c>
      <c r="AO141" s="1724"/>
      <c r="AP141" s="1167"/>
      <c r="AQ141" s="61"/>
      <c r="AR141" s="1833"/>
      <c r="AS141" s="177"/>
      <c r="AT141" s="1833"/>
      <c r="AU141" s="50"/>
      <c r="AV141" s="59"/>
      <c r="AW141" s="59"/>
      <c r="AX141" s="182"/>
      <c r="AY141" s="182"/>
      <c r="AZ141" s="182"/>
      <c r="BC141" s="1726" t="s">
        <v>107</v>
      </c>
      <c r="BD141" s="1724"/>
      <c r="BE141" s="1724"/>
      <c r="BF141" s="1724"/>
      <c r="BG141" s="1724"/>
      <c r="BH141" s="1724"/>
      <c r="BI141" s="1724"/>
      <c r="BJ141" s="1724"/>
      <c r="BK141" s="1724"/>
      <c r="BL141" s="1724"/>
      <c r="BM141" s="1724"/>
      <c r="BN141" s="1724"/>
      <c r="BO141" s="1724"/>
      <c r="BP141" s="2244" t="str">
        <f>IF(('CALCULS Eaux usées'!D33='MENU DÉROULANT'!$C$44),"(Aucun actif)","")</f>
        <v/>
      </c>
      <c r="BQ141" s="1725"/>
      <c r="BR141" s="2474"/>
      <c r="BS141" s="59"/>
      <c r="BT141" s="1726" t="s">
        <v>108</v>
      </c>
      <c r="BU141" s="1724"/>
      <c r="BV141" s="1724"/>
      <c r="BW141" s="1724"/>
      <c r="BX141" s="1724"/>
      <c r="BY141" s="1724"/>
      <c r="BZ141" s="1724"/>
      <c r="CA141" s="1724"/>
      <c r="CB141" s="1724"/>
      <c r="CC141" s="1724"/>
      <c r="CD141" s="1724"/>
      <c r="CE141" s="1724"/>
      <c r="CF141" s="1724"/>
      <c r="CG141" s="1724"/>
      <c r="CH141" s="2244" t="str">
        <f>IF(('CALCULS Eaux usées'!D41='MENU DÉROULANT'!$F$44),"(Aucun actif)","")</f>
        <v/>
      </c>
      <c r="CI141" s="1724"/>
      <c r="CJ141" s="1167"/>
      <c r="CK141" s="61"/>
      <c r="CL141" s="1825"/>
      <c r="CM141" s="43"/>
    </row>
    <row r="142" spans="2:91" ht="12.75" customHeight="1">
      <c r="B142" s="1809"/>
      <c r="C142" s="50"/>
      <c r="D142" s="182"/>
      <c r="E142" s="182"/>
      <c r="F142" s="182"/>
      <c r="G142" s="182"/>
      <c r="H142" s="182"/>
      <c r="I142" s="180"/>
      <c r="J142" s="183"/>
      <c r="K142" s="183"/>
      <c r="L142" s="183"/>
      <c r="M142" s="183"/>
      <c r="N142" s="183"/>
      <c r="O142" s="183"/>
      <c r="P142" s="183"/>
      <c r="Q142" s="183"/>
      <c r="R142" s="183"/>
      <c r="S142" s="180"/>
      <c r="T142" s="180"/>
      <c r="U142" s="180"/>
      <c r="X142" s="2246"/>
      <c r="Y142" s="59"/>
      <c r="Z142" s="179"/>
      <c r="AA142" s="179"/>
      <c r="AB142" s="179"/>
      <c r="AC142" s="179"/>
      <c r="AD142" s="179"/>
      <c r="AE142" s="179"/>
      <c r="AF142" s="179"/>
      <c r="AG142" s="179"/>
      <c r="AH142" s="179"/>
      <c r="AI142" s="59"/>
      <c r="AJ142" s="59"/>
      <c r="AK142" s="59"/>
      <c r="AL142" s="3653"/>
      <c r="AM142" s="3653"/>
      <c r="AN142" s="3653"/>
      <c r="AO142" s="59"/>
      <c r="AP142" s="59"/>
      <c r="AQ142" s="61"/>
      <c r="AR142" s="1833"/>
      <c r="AS142" s="177"/>
      <c r="AT142" s="1833"/>
      <c r="AU142" s="50"/>
      <c r="AV142" s="59"/>
      <c r="AW142" s="59"/>
      <c r="AX142" s="182"/>
      <c r="AY142" s="182"/>
      <c r="AZ142" s="182"/>
      <c r="BA142" s="180"/>
      <c r="BB142" s="180"/>
      <c r="BC142" s="183"/>
      <c r="BD142" s="183"/>
      <c r="BE142" s="183"/>
      <c r="BF142" s="183"/>
      <c r="BG142" s="183"/>
      <c r="BH142" s="183"/>
      <c r="BI142" s="183"/>
      <c r="BJ142" s="183"/>
      <c r="BK142" s="183"/>
      <c r="BL142" s="180"/>
      <c r="BM142" s="180"/>
      <c r="BN142" s="180"/>
      <c r="BQ142" s="2246"/>
      <c r="BR142" s="2473"/>
      <c r="BS142" s="59"/>
      <c r="BT142" s="179"/>
      <c r="BU142" s="179"/>
      <c r="BV142" s="179"/>
      <c r="BW142" s="179"/>
      <c r="BX142" s="179"/>
      <c r="BY142" s="179"/>
      <c r="BZ142" s="179"/>
      <c r="CA142" s="179"/>
      <c r="CB142" s="179"/>
      <c r="CC142" s="59"/>
      <c r="CD142" s="59"/>
      <c r="CE142" s="59"/>
      <c r="CF142" s="3653"/>
      <c r="CG142" s="3653"/>
      <c r="CH142" s="3653"/>
      <c r="CI142" s="59"/>
      <c r="CJ142" s="59"/>
      <c r="CK142" s="61"/>
      <c r="CL142" s="1825"/>
      <c r="CM142" s="43"/>
    </row>
    <row r="143" spans="2:91" ht="15.75" customHeight="1">
      <c r="B143" s="1809"/>
      <c r="C143" s="50"/>
      <c r="D143" s="3661" t="s">
        <v>803</v>
      </c>
      <c r="E143" s="3661"/>
      <c r="F143" s="3661"/>
      <c r="G143" s="3661"/>
      <c r="H143" s="3661"/>
      <c r="I143" s="3654" t="s">
        <v>95</v>
      </c>
      <c r="J143" s="3654"/>
      <c r="K143" s="3654"/>
      <c r="L143" s="3654"/>
      <c r="M143" s="183"/>
      <c r="N143" s="3655" t="str">
        <f>'CALCULS Eaux usées'!E331</f>
        <v/>
      </c>
      <c r="O143" s="3656"/>
      <c r="P143" s="3656"/>
      <c r="Q143" s="3657" t="s">
        <v>491</v>
      </c>
      <c r="R143" s="3658"/>
      <c r="S143" s="3659"/>
      <c r="T143" s="185"/>
      <c r="U143" s="184"/>
      <c r="Y143" s="3654" t="s">
        <v>95</v>
      </c>
      <c r="Z143" s="3654"/>
      <c r="AA143" s="3654"/>
      <c r="AB143" s="3654"/>
      <c r="AC143" s="183"/>
      <c r="AD143" s="3655" t="str">
        <f>'CALCULS Eaux usées'!E332</f>
        <v/>
      </c>
      <c r="AE143" s="3656"/>
      <c r="AF143" s="3656"/>
      <c r="AG143" s="3657" t="s">
        <v>491</v>
      </c>
      <c r="AH143" s="3658"/>
      <c r="AI143" s="3659"/>
      <c r="AJ143" s="23"/>
      <c r="AK143" s="186"/>
      <c r="AL143" s="3660"/>
      <c r="AM143" s="3660"/>
      <c r="AN143" s="3660"/>
      <c r="AO143" s="23"/>
      <c r="AP143" s="27"/>
      <c r="AQ143" s="61"/>
      <c r="AR143" s="1833"/>
      <c r="AS143" s="177"/>
      <c r="AT143" s="1833"/>
      <c r="AU143" s="50"/>
      <c r="AV143" s="3661" t="s">
        <v>803</v>
      </c>
      <c r="AW143" s="3661"/>
      <c r="AX143" s="3661"/>
      <c r="AY143" s="3661"/>
      <c r="AZ143" s="3661"/>
      <c r="BA143" s="3654" t="s">
        <v>95</v>
      </c>
      <c r="BB143" s="3654"/>
      <c r="BC143" s="3654"/>
      <c r="BD143" s="3654"/>
      <c r="BE143" s="3654"/>
      <c r="BF143" s="183"/>
      <c r="BG143" s="3655" t="str">
        <f>'CALCULS Eaux usées'!E343</f>
        <v/>
      </c>
      <c r="BH143" s="3656"/>
      <c r="BI143" s="3656"/>
      <c r="BJ143" s="3657" t="s">
        <v>491</v>
      </c>
      <c r="BK143" s="3658"/>
      <c r="BL143" s="3659"/>
      <c r="BM143" s="185"/>
      <c r="BN143" s="184"/>
      <c r="BS143" s="3654" t="s">
        <v>95</v>
      </c>
      <c r="BT143" s="3654"/>
      <c r="BU143" s="3654"/>
      <c r="BV143" s="3654"/>
      <c r="BW143" s="183"/>
      <c r="BX143" s="3655" t="str">
        <f>'CALCULS Eaux usées'!E344</f>
        <v/>
      </c>
      <c r="BY143" s="3656"/>
      <c r="BZ143" s="3656"/>
      <c r="CA143" s="3657" t="s">
        <v>491</v>
      </c>
      <c r="CB143" s="3658"/>
      <c r="CC143" s="3659"/>
      <c r="CD143" s="23"/>
      <c r="CE143" s="186"/>
      <c r="CF143" s="3660"/>
      <c r="CG143" s="3660"/>
      <c r="CH143" s="3660"/>
      <c r="CI143" s="23"/>
      <c r="CJ143" s="27"/>
      <c r="CK143" s="61"/>
      <c r="CL143" s="1825"/>
      <c r="CM143" s="43"/>
    </row>
    <row r="144" spans="2:91" ht="9.75" customHeight="1">
      <c r="B144" s="1809"/>
      <c r="C144" s="50"/>
      <c r="D144" s="3661"/>
      <c r="E144" s="3661"/>
      <c r="F144" s="3661"/>
      <c r="G144" s="3661"/>
      <c r="H144" s="3661"/>
      <c r="AO144" s="23"/>
      <c r="AP144" s="27"/>
      <c r="AQ144" s="61"/>
      <c r="AR144" s="1833"/>
      <c r="AS144" s="177"/>
      <c r="AT144" s="1833"/>
      <c r="AU144" s="50"/>
      <c r="AV144" s="3661"/>
      <c r="AW144" s="3661"/>
      <c r="AX144" s="3661"/>
      <c r="AY144" s="3661"/>
      <c r="AZ144" s="3661"/>
      <c r="CJ144" s="27"/>
      <c r="CK144" s="61"/>
      <c r="CL144" s="1825"/>
      <c r="CM144" s="43"/>
    </row>
    <row r="145" spans="2:91" ht="15" customHeight="1">
      <c r="B145" s="1809"/>
      <c r="C145" s="50"/>
      <c r="D145" s="3661"/>
      <c r="E145" s="3661"/>
      <c r="F145" s="3661"/>
      <c r="G145" s="3661"/>
      <c r="H145" s="3661"/>
      <c r="I145" s="187"/>
      <c r="J145" s="1169" t="str">
        <f>IF('CALCULS Eaux usées'!E326&gt;0,"p","")</f>
        <v/>
      </c>
      <c r="K145" s="22"/>
      <c r="L145" s="1169" t="str">
        <f>IF('CALCULS Eaux usées'!F326&gt;0,"p","")</f>
        <v/>
      </c>
      <c r="M145" s="21"/>
      <c r="N145" s="1169" t="str">
        <f>IF('CALCULS Eaux usées'!G326&gt;0,"p","")</f>
        <v/>
      </c>
      <c r="O145" s="21"/>
      <c r="P145" s="1169" t="str">
        <f>IF('CALCULS Eaux usées'!H326&gt;0,"p","")</f>
        <v/>
      </c>
      <c r="Q145" s="21"/>
      <c r="R145" s="1169" t="str">
        <f>IF('CALCULS Eaux usées'!I326&gt;0,"p","")</f>
        <v/>
      </c>
      <c r="S145" s="21"/>
      <c r="T145" s="1169" t="str">
        <f>IF('CALCULS Eaux usées'!J326&gt;0,"p","")</f>
        <v/>
      </c>
      <c r="U145" s="21"/>
      <c r="V145" s="1169" t="str">
        <f>IF('CALCULS Eaux usées'!K326&gt;0,"p","")</f>
        <v/>
      </c>
      <c r="W145" s="21"/>
      <c r="X145" s="21"/>
      <c r="Z145" s="1169" t="str">
        <f>IF('CALCULS Eaux usées'!E328&gt;0,"p","")</f>
        <v/>
      </c>
      <c r="AA145" s="22"/>
      <c r="AB145" s="1169" t="str">
        <f>IF('CALCULS Eaux usées'!F328&gt;0,"p","")</f>
        <v/>
      </c>
      <c r="AC145" s="21"/>
      <c r="AD145" s="1169" t="str">
        <f>IF('CALCULS Eaux usées'!G328&gt;0,"p","")</f>
        <v/>
      </c>
      <c r="AE145" s="21"/>
      <c r="AF145" s="1169" t="str">
        <f>IF('CALCULS Eaux usées'!H328&gt;0,"p","")</f>
        <v/>
      </c>
      <c r="AG145" s="21"/>
      <c r="AH145" s="1169" t="str">
        <f>IF('CALCULS Eaux usées'!I328&gt;0,"p","")</f>
        <v/>
      </c>
      <c r="AI145" s="21"/>
      <c r="AJ145" s="1169" t="str">
        <f>IF('CALCULS Eaux usées'!J328&gt;0,"p","")</f>
        <v/>
      </c>
      <c r="AK145" s="21"/>
      <c r="AL145" s="1169" t="str">
        <f>IF('CALCULS Eaux usées'!K328&gt;0,"p","")</f>
        <v/>
      </c>
      <c r="AM145" s="21"/>
      <c r="AN145" s="21"/>
      <c r="AO145" s="23"/>
      <c r="AP145" s="27"/>
      <c r="AQ145" s="61"/>
      <c r="AR145" s="1833"/>
      <c r="AS145" s="177"/>
      <c r="AT145" s="1833"/>
      <c r="AU145" s="50"/>
      <c r="AV145" s="3661"/>
      <c r="AW145" s="3661"/>
      <c r="AX145" s="3661"/>
      <c r="AY145" s="3661"/>
      <c r="AZ145" s="3661"/>
      <c r="BA145" s="187"/>
      <c r="BB145" s="187"/>
      <c r="BC145" s="1170" t="str">
        <f>IF('CALCULS Eaux usées'!E338&gt;0,"p","")</f>
        <v/>
      </c>
      <c r="BD145" s="470"/>
      <c r="BE145" s="1170" t="str">
        <f>IF('CALCULS Eaux usées'!F338&gt;0,"p","")</f>
        <v/>
      </c>
      <c r="BF145" s="469"/>
      <c r="BG145" s="1170" t="str">
        <f>IF('CALCULS Eaux usées'!G338&gt;0,"p","")</f>
        <v/>
      </c>
      <c r="BH145" s="469"/>
      <c r="BI145" s="1170" t="str">
        <f>IF('CALCULS Eaux usées'!H338&gt;0,"p","")</f>
        <v/>
      </c>
      <c r="BJ145" s="469"/>
      <c r="BK145" s="1170" t="str">
        <f>IF('CALCULS Eaux usées'!I338&gt;0,"p","")</f>
        <v/>
      </c>
      <c r="BL145" s="469"/>
      <c r="BM145" s="1170" t="str">
        <f>IF('CALCULS Eaux usées'!J338&gt;0,"p","")</f>
        <v/>
      </c>
      <c r="BN145" s="469"/>
      <c r="BO145" s="1170" t="str">
        <f>IF('CALCULS Eaux usées'!K338&gt;0,"p","")</f>
        <v/>
      </c>
      <c r="BP145" s="469"/>
      <c r="BQ145" s="469"/>
      <c r="BR145" s="469"/>
      <c r="BT145" s="1170" t="str">
        <f>IF('CALCULS Eaux usées'!E340&gt;0,"p","")</f>
        <v/>
      </c>
      <c r="BU145" s="470"/>
      <c r="BV145" s="1170" t="str">
        <f>IF('CALCULS Eaux usées'!F340&gt;0,"p","")</f>
        <v/>
      </c>
      <c r="BW145" s="469"/>
      <c r="BX145" s="1170" t="str">
        <f>IF('CALCULS Eaux usées'!G340&gt;0,"p","")</f>
        <v/>
      </c>
      <c r="BY145" s="469"/>
      <c r="BZ145" s="1170" t="str">
        <f>IF('CALCULS Eaux usées'!H340&gt;0,"p","")</f>
        <v/>
      </c>
      <c r="CA145" s="469"/>
      <c r="CB145" s="1170" t="str">
        <f>IF('CALCULS Eaux usées'!I340&gt;0,"p","")</f>
        <v/>
      </c>
      <c r="CC145" s="469"/>
      <c r="CD145" s="1170" t="str">
        <f>IF('CALCULS Eaux usées'!J340&gt;0,"p","")</f>
        <v/>
      </c>
      <c r="CE145" s="469"/>
      <c r="CF145" s="1170" t="str">
        <f>IF('CALCULS Eaux usées'!K340&gt;0,"p","")</f>
        <v/>
      </c>
      <c r="CG145" s="26"/>
      <c r="CH145" s="27"/>
      <c r="CI145" s="23"/>
      <c r="CJ145" s="27"/>
      <c r="CK145" s="61"/>
      <c r="CL145" s="1825"/>
      <c r="CM145" s="43"/>
    </row>
    <row r="146" spans="2:91" ht="3.75" customHeight="1">
      <c r="B146" s="1809"/>
      <c r="C146" s="50"/>
      <c r="D146" s="3668"/>
      <c r="E146" s="3668"/>
      <c r="F146" s="3668"/>
      <c r="G146" s="3668"/>
      <c r="H146" s="3668"/>
      <c r="I146" s="3668"/>
      <c r="AO146" s="23"/>
      <c r="AP146" s="27"/>
      <c r="AQ146" s="61"/>
      <c r="AR146" s="1833"/>
      <c r="AS146" s="177"/>
      <c r="AT146" s="1833"/>
      <c r="AU146" s="50"/>
      <c r="AV146" s="59"/>
      <c r="AW146" s="59"/>
      <c r="AX146" s="3668"/>
      <c r="AY146" s="3668"/>
      <c r="AZ146" s="3668"/>
      <c r="BA146" s="3668"/>
      <c r="BB146" s="2844"/>
      <c r="CI146" s="23"/>
      <c r="CJ146" s="27"/>
      <c r="CK146" s="61"/>
      <c r="CL146" s="1825"/>
      <c r="CM146" s="43"/>
    </row>
    <row r="147" spans="2:91" ht="14.25" customHeight="1">
      <c r="B147" s="1809"/>
      <c r="C147" s="50"/>
      <c r="D147" s="2425" t="s">
        <v>207</v>
      </c>
      <c r="E147" s="1171"/>
      <c r="F147" s="1171"/>
      <c r="G147" s="1171"/>
      <c r="H147" s="1171"/>
      <c r="I147" s="23"/>
      <c r="J147" s="23"/>
      <c r="K147" s="23"/>
      <c r="L147" s="23"/>
      <c r="M147" s="23"/>
      <c r="N147" s="23"/>
      <c r="O147" s="23"/>
      <c r="P147" s="23"/>
      <c r="Q147" s="23"/>
      <c r="R147" s="23"/>
      <c r="S147" s="23"/>
      <c r="T147" s="23"/>
      <c r="U147" s="23"/>
      <c r="V147" s="23"/>
      <c r="W147" s="23"/>
      <c r="X147" s="23"/>
      <c r="Z147" s="23"/>
      <c r="AA147" s="23"/>
      <c r="AB147" s="23"/>
      <c r="AC147" s="23"/>
      <c r="AD147" s="23"/>
      <c r="AE147" s="23"/>
      <c r="AF147" s="23"/>
      <c r="AG147" s="23"/>
      <c r="AH147" s="23"/>
      <c r="AI147" s="23"/>
      <c r="AJ147" s="23"/>
      <c r="AK147" s="23"/>
      <c r="AL147" s="23"/>
      <c r="AM147" s="23"/>
      <c r="AO147" s="23"/>
      <c r="AQ147" s="61"/>
      <c r="AR147" s="1833"/>
      <c r="AS147" s="177"/>
      <c r="AT147" s="1833"/>
      <c r="AU147" s="50"/>
      <c r="AV147" s="3662" t="s">
        <v>196</v>
      </c>
      <c r="AW147" s="3662"/>
      <c r="AX147" s="3662"/>
      <c r="AY147" s="3662"/>
      <c r="AZ147" s="2839"/>
      <c r="BA147" s="23"/>
      <c r="BB147" s="23"/>
      <c r="BC147" s="23"/>
      <c r="BD147" s="23"/>
      <c r="BE147" s="23"/>
      <c r="BF147" s="23"/>
      <c r="BG147" s="23"/>
      <c r="BH147" s="23"/>
      <c r="BI147" s="23"/>
      <c r="BJ147" s="23"/>
      <c r="BK147" s="23"/>
      <c r="BL147" s="23"/>
      <c r="BM147" s="23"/>
      <c r="BN147" s="23"/>
      <c r="BO147" s="23"/>
      <c r="BP147" s="23"/>
      <c r="BQ147" s="23"/>
      <c r="BR147" s="23"/>
      <c r="BT147" s="23"/>
      <c r="BU147" s="23"/>
      <c r="BV147" s="23"/>
      <c r="BW147" s="23"/>
      <c r="BX147" s="23"/>
      <c r="BY147" s="23"/>
      <c r="BZ147" s="23"/>
      <c r="CA147" s="23"/>
      <c r="CB147" s="23"/>
      <c r="CC147" s="23"/>
      <c r="CD147" s="23"/>
      <c r="CE147" s="23"/>
      <c r="CF147" s="23"/>
      <c r="CG147" s="23"/>
      <c r="CI147" s="23"/>
      <c r="CK147" s="61"/>
      <c r="CL147" s="1825"/>
      <c r="CM147" s="43"/>
    </row>
    <row r="148" spans="2:91" ht="14.25" customHeight="1">
      <c r="B148" s="1809"/>
      <c r="C148" s="50"/>
      <c r="D148" s="2426" t="s">
        <v>205</v>
      </c>
      <c r="E148" s="1172"/>
      <c r="F148" s="1172"/>
      <c r="G148" s="1172"/>
      <c r="H148" s="1172"/>
      <c r="I148" s="23"/>
      <c r="J148" s="23"/>
      <c r="K148" s="23"/>
      <c r="L148" s="23"/>
      <c r="M148" s="23"/>
      <c r="N148" s="23"/>
      <c r="O148" s="23"/>
      <c r="P148" s="23"/>
      <c r="Q148" s="23"/>
      <c r="R148" s="23"/>
      <c r="S148" s="23"/>
      <c r="T148" s="23"/>
      <c r="U148" s="23"/>
      <c r="V148" s="23"/>
      <c r="W148" s="23"/>
      <c r="X148" s="23"/>
      <c r="Z148" s="23"/>
      <c r="AA148" s="23"/>
      <c r="AB148" s="23"/>
      <c r="AC148" s="23"/>
      <c r="AD148" s="23"/>
      <c r="AE148" s="23"/>
      <c r="AF148" s="23"/>
      <c r="AG148" s="23"/>
      <c r="AH148" s="23"/>
      <c r="AI148" s="23"/>
      <c r="AJ148" s="23"/>
      <c r="AK148" s="23"/>
      <c r="AL148" s="23"/>
      <c r="AM148" s="23"/>
      <c r="AN148" s="191"/>
      <c r="AO148" s="23"/>
      <c r="AP148" s="191"/>
      <c r="AQ148" s="61"/>
      <c r="AR148" s="1833"/>
      <c r="AS148" s="177"/>
      <c r="AT148" s="1833"/>
      <c r="AU148" s="50"/>
      <c r="AV148" s="3663" t="s">
        <v>194</v>
      </c>
      <c r="AW148" s="3663"/>
      <c r="AX148" s="3663"/>
      <c r="AY148" s="3663"/>
      <c r="AZ148" s="2840"/>
      <c r="BA148" s="23"/>
      <c r="BB148" s="23"/>
      <c r="BC148" s="23"/>
      <c r="BD148" s="23"/>
      <c r="BE148" s="23"/>
      <c r="BF148" s="23"/>
      <c r="BG148" s="23"/>
      <c r="BH148" s="23"/>
      <c r="BI148" s="23"/>
      <c r="BJ148" s="23"/>
      <c r="BK148" s="23"/>
      <c r="BL148" s="23"/>
      <c r="BM148" s="23"/>
      <c r="BN148" s="23"/>
      <c r="BO148" s="23"/>
      <c r="BP148" s="23"/>
      <c r="BQ148" s="23"/>
      <c r="BR148" s="23"/>
      <c r="BT148" s="23"/>
      <c r="BU148" s="23"/>
      <c r="BV148" s="23"/>
      <c r="BW148" s="23"/>
      <c r="BX148" s="23"/>
      <c r="BY148" s="23"/>
      <c r="BZ148" s="23"/>
      <c r="CA148" s="23"/>
      <c r="CB148" s="23"/>
      <c r="CC148" s="23"/>
      <c r="CD148" s="23"/>
      <c r="CE148" s="23"/>
      <c r="CF148" s="23"/>
      <c r="CG148" s="23"/>
      <c r="CH148" s="191"/>
      <c r="CI148" s="23"/>
      <c r="CJ148" s="191"/>
      <c r="CK148" s="61"/>
      <c r="CL148" s="1825"/>
      <c r="CM148" s="43"/>
    </row>
    <row r="149" spans="2:91" ht="14.25" customHeight="1">
      <c r="B149" s="1809"/>
      <c r="C149" s="50"/>
      <c r="D149" s="2427" t="s">
        <v>203</v>
      </c>
      <c r="E149" s="1173"/>
      <c r="F149" s="1173"/>
      <c r="G149" s="1173"/>
      <c r="H149" s="1173"/>
      <c r="I149" s="23"/>
      <c r="J149" s="23"/>
      <c r="K149" s="23"/>
      <c r="L149" s="23"/>
      <c r="M149" s="23"/>
      <c r="N149" s="23"/>
      <c r="O149" s="23"/>
      <c r="P149" s="23"/>
      <c r="Q149" s="23"/>
      <c r="R149" s="23"/>
      <c r="S149" s="23"/>
      <c r="T149" s="23"/>
      <c r="U149" s="23"/>
      <c r="V149" s="194"/>
      <c r="W149" s="194"/>
      <c r="X149" s="23"/>
      <c r="Z149" s="23"/>
      <c r="AA149" s="23"/>
      <c r="AB149" s="23"/>
      <c r="AC149" s="23"/>
      <c r="AD149" s="23"/>
      <c r="AE149" s="23"/>
      <c r="AF149" s="23"/>
      <c r="AG149" s="23"/>
      <c r="AH149" s="23"/>
      <c r="AI149" s="23"/>
      <c r="AJ149" s="23"/>
      <c r="AK149" s="23"/>
      <c r="AL149" s="194"/>
      <c r="AM149" s="194"/>
      <c r="AN149" s="195"/>
      <c r="AO149" s="194"/>
      <c r="AP149" s="195"/>
      <c r="AQ149" s="61"/>
      <c r="AR149" s="1833"/>
      <c r="AS149" s="177"/>
      <c r="AT149" s="1833"/>
      <c r="AU149" s="50"/>
      <c r="AV149" s="3664" t="s">
        <v>192</v>
      </c>
      <c r="AW149" s="3664"/>
      <c r="AX149" s="3664"/>
      <c r="AY149" s="3664"/>
      <c r="AZ149" s="2841"/>
      <c r="BA149" s="23"/>
      <c r="BB149" s="23"/>
      <c r="BC149" s="23"/>
      <c r="BD149" s="23"/>
      <c r="BE149" s="23"/>
      <c r="BF149" s="23"/>
      <c r="BG149" s="23"/>
      <c r="BH149" s="23"/>
      <c r="BI149" s="23"/>
      <c r="BJ149" s="23"/>
      <c r="BK149" s="23"/>
      <c r="BL149" s="23"/>
      <c r="BM149" s="23"/>
      <c r="BN149" s="23"/>
      <c r="BO149" s="194"/>
      <c r="BP149" s="194"/>
      <c r="BQ149" s="23"/>
      <c r="BR149" s="23"/>
      <c r="BT149" s="23"/>
      <c r="BU149" s="23"/>
      <c r="BV149" s="23"/>
      <c r="BW149" s="23"/>
      <c r="BX149" s="23"/>
      <c r="BY149" s="23"/>
      <c r="BZ149" s="23"/>
      <c r="CA149" s="23"/>
      <c r="CB149" s="23"/>
      <c r="CC149" s="23"/>
      <c r="CD149" s="23"/>
      <c r="CE149" s="23"/>
      <c r="CF149" s="194"/>
      <c r="CG149" s="194"/>
      <c r="CH149" s="195"/>
      <c r="CI149" s="194"/>
      <c r="CJ149" s="195"/>
      <c r="CK149" s="61"/>
      <c r="CL149" s="1825"/>
      <c r="CM149" s="43"/>
    </row>
    <row r="150" spans="2:91" ht="14.25" customHeight="1">
      <c r="B150" s="1809"/>
      <c r="C150" s="50"/>
      <c r="D150" s="2428" t="s">
        <v>201</v>
      </c>
      <c r="E150" s="1174"/>
      <c r="F150" s="1174"/>
      <c r="G150" s="1174"/>
      <c r="H150" s="1174"/>
      <c r="I150" s="23"/>
      <c r="J150" s="23"/>
      <c r="K150" s="23"/>
      <c r="L150" s="23"/>
      <c r="M150" s="23"/>
      <c r="N150" s="23"/>
      <c r="O150" s="23"/>
      <c r="P150" s="23"/>
      <c r="Q150" s="23"/>
      <c r="R150" s="23"/>
      <c r="S150" s="23"/>
      <c r="T150" s="23"/>
      <c r="U150" s="23"/>
      <c r="V150" s="198"/>
      <c r="W150" s="198"/>
      <c r="X150" s="23"/>
      <c r="Y150" s="55"/>
      <c r="Z150" s="23"/>
      <c r="AA150" s="23"/>
      <c r="AB150" s="23"/>
      <c r="AC150" s="23"/>
      <c r="AD150" s="23"/>
      <c r="AE150" s="23"/>
      <c r="AF150" s="23"/>
      <c r="AG150" s="23"/>
      <c r="AH150" s="23"/>
      <c r="AI150" s="23"/>
      <c r="AJ150" s="23"/>
      <c r="AK150" s="23"/>
      <c r="AL150" s="198"/>
      <c r="AM150" s="198"/>
      <c r="AN150" s="59"/>
      <c r="AO150" s="198"/>
      <c r="AP150" s="59"/>
      <c r="AQ150" s="61"/>
      <c r="AR150" s="1833"/>
      <c r="AS150" s="177"/>
      <c r="AT150" s="1833"/>
      <c r="AU150" s="50"/>
      <c r="AV150" s="3665" t="s">
        <v>190</v>
      </c>
      <c r="AW150" s="3665"/>
      <c r="AX150" s="3665"/>
      <c r="AY150" s="3665"/>
      <c r="AZ150" s="2842"/>
      <c r="BA150" s="23"/>
      <c r="BB150" s="23"/>
      <c r="BC150" s="23"/>
      <c r="BD150" s="23"/>
      <c r="BE150" s="23"/>
      <c r="BF150" s="23"/>
      <c r="BG150" s="23"/>
      <c r="BH150" s="23"/>
      <c r="BI150" s="23"/>
      <c r="BJ150" s="23"/>
      <c r="BK150" s="23"/>
      <c r="BL150" s="23"/>
      <c r="BM150" s="23"/>
      <c r="BN150" s="23"/>
      <c r="BO150" s="198"/>
      <c r="BP150" s="198"/>
      <c r="BQ150" s="23"/>
      <c r="BR150" s="23"/>
      <c r="BS150" s="55"/>
      <c r="BT150" s="23"/>
      <c r="BU150" s="23"/>
      <c r="BV150" s="23"/>
      <c r="BW150" s="23"/>
      <c r="BX150" s="23"/>
      <c r="BY150" s="23"/>
      <c r="BZ150" s="23"/>
      <c r="CA150" s="23"/>
      <c r="CB150" s="23"/>
      <c r="CC150" s="23"/>
      <c r="CD150" s="23"/>
      <c r="CE150" s="23"/>
      <c r="CF150" s="198"/>
      <c r="CG150" s="198"/>
      <c r="CH150" s="59"/>
      <c r="CI150" s="198"/>
      <c r="CJ150" s="59"/>
      <c r="CK150" s="61"/>
      <c r="CL150" s="1825"/>
      <c r="CM150" s="43"/>
    </row>
    <row r="151" spans="2:91" ht="14.25" customHeight="1">
      <c r="B151" s="1809"/>
      <c r="C151" s="50"/>
      <c r="D151" s="2429" t="s">
        <v>198</v>
      </c>
      <c r="E151" s="200"/>
      <c r="F151" s="200"/>
      <c r="G151" s="200"/>
      <c r="H151" s="200"/>
      <c r="I151" s="201"/>
      <c r="J151" s="201"/>
      <c r="K151" s="201"/>
      <c r="L151" s="201"/>
      <c r="M151" s="201"/>
      <c r="N151" s="201"/>
      <c r="O151" s="201"/>
      <c r="P151" s="201"/>
      <c r="Q151" s="201"/>
      <c r="R151" s="201"/>
      <c r="S151" s="201"/>
      <c r="T151" s="201"/>
      <c r="U151" s="201"/>
      <c r="V151" s="201"/>
      <c r="W151" s="201"/>
      <c r="X151" s="201"/>
      <c r="Y151" s="202"/>
      <c r="Z151" s="201"/>
      <c r="AA151" s="201"/>
      <c r="AB151" s="201"/>
      <c r="AC151" s="201"/>
      <c r="AD151" s="201"/>
      <c r="AE151" s="201"/>
      <c r="AF151" s="201"/>
      <c r="AG151" s="201"/>
      <c r="AH151" s="201"/>
      <c r="AI151" s="201"/>
      <c r="AJ151" s="201"/>
      <c r="AK151" s="201"/>
      <c r="AL151" s="201"/>
      <c r="AM151" s="201"/>
      <c r="AN151" s="202"/>
      <c r="AO151" s="201"/>
      <c r="AP151" s="202"/>
      <c r="AQ151" s="61"/>
      <c r="AR151" s="1833"/>
      <c r="AS151" s="177"/>
      <c r="AT151" s="1833"/>
      <c r="AU151" s="50"/>
      <c r="AV151" s="3666" t="s">
        <v>187</v>
      </c>
      <c r="AW151" s="3666"/>
      <c r="AX151" s="3666"/>
      <c r="AY151" s="3666"/>
      <c r="AZ151" s="2843"/>
      <c r="BA151" s="446"/>
      <c r="BB151" s="446"/>
      <c r="BC151" s="446"/>
      <c r="BD151" s="446"/>
      <c r="BE151" s="446"/>
      <c r="BF151" s="446"/>
      <c r="BG151" s="446"/>
      <c r="BH151" s="446"/>
      <c r="BI151" s="446"/>
      <c r="BJ151" s="446"/>
      <c r="BK151" s="446"/>
      <c r="BL151" s="446"/>
      <c r="BM151" s="446"/>
      <c r="BN151" s="446"/>
      <c r="BO151" s="446"/>
      <c r="BP151" s="446"/>
      <c r="BQ151" s="446"/>
      <c r="BR151" s="446"/>
      <c r="BS151" s="447"/>
      <c r="BT151" s="446"/>
      <c r="BU151" s="446"/>
      <c r="BV151" s="446"/>
      <c r="BW151" s="446"/>
      <c r="BX151" s="446"/>
      <c r="BY151" s="446"/>
      <c r="BZ151" s="446"/>
      <c r="CA151" s="446"/>
      <c r="CB151" s="446"/>
      <c r="CC151" s="446"/>
      <c r="CD151" s="446"/>
      <c r="CE151" s="446"/>
      <c r="CF151" s="446"/>
      <c r="CG151" s="446"/>
      <c r="CH151" s="447"/>
      <c r="CI151" s="446"/>
      <c r="CJ151" s="447"/>
      <c r="CK151" s="61"/>
      <c r="CL151" s="1825"/>
      <c r="CM151" s="43"/>
    </row>
    <row r="152" spans="2:91" ht="4.5" customHeight="1">
      <c r="B152" s="1809"/>
      <c r="C152" s="50"/>
      <c r="D152" s="3667"/>
      <c r="E152" s="3667"/>
      <c r="F152" s="3667"/>
      <c r="G152" s="3667"/>
      <c r="H152" s="3667"/>
      <c r="I152" s="3667"/>
      <c r="J152" s="464"/>
      <c r="K152" s="466"/>
      <c r="L152" s="464"/>
      <c r="M152" s="466"/>
      <c r="N152" s="464"/>
      <c r="O152" s="466"/>
      <c r="P152" s="464"/>
      <c r="Q152" s="466"/>
      <c r="R152" s="464"/>
      <c r="S152" s="466"/>
      <c r="T152" s="464"/>
      <c r="U152" s="466"/>
      <c r="V152" s="464"/>
      <c r="W152" s="467"/>
      <c r="X152" s="464"/>
      <c r="Z152" s="464"/>
      <c r="AA152" s="466"/>
      <c r="AB152" s="464"/>
      <c r="AC152" s="466"/>
      <c r="AD152" s="464"/>
      <c r="AE152" s="466"/>
      <c r="AF152" s="464"/>
      <c r="AG152" s="466"/>
      <c r="AH152" s="464"/>
      <c r="AI152" s="466"/>
      <c r="AJ152" s="464"/>
      <c r="AK152" s="466"/>
      <c r="AL152" s="464"/>
      <c r="AM152" s="467"/>
      <c r="AN152" s="465"/>
      <c r="AO152" s="467"/>
      <c r="AP152" s="468"/>
      <c r="AQ152" s="204"/>
      <c r="AR152" s="1843"/>
      <c r="AS152" s="206"/>
      <c r="AT152" s="1843"/>
      <c r="AU152" s="207"/>
      <c r="AV152" s="3652"/>
      <c r="AW152" s="3652"/>
      <c r="AX152" s="3652"/>
      <c r="AY152" s="3652"/>
      <c r="AZ152" s="3652"/>
      <c r="BA152" s="3652"/>
      <c r="BB152" s="2838"/>
      <c r="BC152" s="23"/>
      <c r="BD152" s="203"/>
      <c r="BE152" s="23"/>
      <c r="BF152" s="203"/>
      <c r="BG152" s="23"/>
      <c r="BH152" s="203"/>
      <c r="BI152" s="23"/>
      <c r="BJ152" s="203"/>
      <c r="BK152" s="23"/>
      <c r="BL152" s="203"/>
      <c r="BM152" s="23"/>
      <c r="BN152" s="203"/>
      <c r="BO152" s="23"/>
      <c r="BP152" s="26"/>
      <c r="BQ152" s="23"/>
      <c r="BR152" s="23"/>
      <c r="BT152" s="23"/>
      <c r="BU152" s="203"/>
      <c r="BV152" s="23"/>
      <c r="BW152" s="203"/>
      <c r="BX152" s="23"/>
      <c r="BY152" s="203"/>
      <c r="BZ152" s="23"/>
      <c r="CA152" s="203"/>
      <c r="CB152" s="23"/>
      <c r="CC152" s="203"/>
      <c r="CD152" s="23"/>
      <c r="CE152" s="203"/>
      <c r="CF152" s="23"/>
      <c r="CG152" s="26"/>
      <c r="CH152" s="59"/>
      <c r="CI152" s="26"/>
      <c r="CJ152" s="180"/>
      <c r="CK152" s="61"/>
      <c r="CL152" s="1825"/>
      <c r="CM152" s="43"/>
    </row>
    <row r="153" spans="2:91" ht="33" customHeight="1">
      <c r="B153" s="1809"/>
      <c r="C153" s="50"/>
      <c r="D153" s="3671"/>
      <c r="E153" s="3671"/>
      <c r="F153" s="3671"/>
      <c r="G153" s="3671"/>
      <c r="H153" s="3671"/>
      <c r="I153" s="3671"/>
      <c r="J153" s="3669" t="s">
        <v>87</v>
      </c>
      <c r="K153" s="203"/>
      <c r="L153" s="3669" t="s">
        <v>804</v>
      </c>
      <c r="M153" s="203"/>
      <c r="N153" s="3669" t="s">
        <v>89</v>
      </c>
      <c r="O153" s="203"/>
      <c r="P153" s="3669" t="s">
        <v>90</v>
      </c>
      <c r="Q153" s="203"/>
      <c r="R153" s="3669" t="s">
        <v>91</v>
      </c>
      <c r="S153" s="203"/>
      <c r="T153" s="3669" t="s">
        <v>92</v>
      </c>
      <c r="U153" s="203"/>
      <c r="V153" s="3669" t="s">
        <v>93</v>
      </c>
      <c r="W153" s="26"/>
      <c r="X153" s="3670" t="s">
        <v>805</v>
      </c>
      <c r="Z153" s="3669" t="s">
        <v>87</v>
      </c>
      <c r="AA153" s="203"/>
      <c r="AB153" s="3669" t="s">
        <v>804</v>
      </c>
      <c r="AC153" s="203"/>
      <c r="AD153" s="3669" t="s">
        <v>89</v>
      </c>
      <c r="AE153" s="203"/>
      <c r="AF153" s="3669" t="s">
        <v>90</v>
      </c>
      <c r="AG153" s="203"/>
      <c r="AH153" s="3669" t="s">
        <v>91</v>
      </c>
      <c r="AI153" s="203"/>
      <c r="AJ153" s="3669" t="s">
        <v>92</v>
      </c>
      <c r="AK153" s="203"/>
      <c r="AL153" s="3669" t="s">
        <v>93</v>
      </c>
      <c r="AM153" s="26"/>
      <c r="AN153" s="3670" t="s">
        <v>805</v>
      </c>
      <c r="AO153" s="26"/>
      <c r="AP153" s="180"/>
      <c r="AQ153" s="204"/>
      <c r="AR153" s="1843"/>
      <c r="AS153" s="206"/>
      <c r="AT153" s="1843"/>
      <c r="AU153" s="207"/>
      <c r="AV153" s="3671"/>
      <c r="AW153" s="3671"/>
      <c r="AX153" s="3671"/>
      <c r="AY153" s="3671"/>
      <c r="AZ153" s="3671"/>
      <c r="BA153" s="3671"/>
      <c r="BB153" s="2846"/>
      <c r="BC153" s="3679" t="s">
        <v>87</v>
      </c>
      <c r="BD153" s="203"/>
      <c r="BE153" s="3669" t="s">
        <v>804</v>
      </c>
      <c r="BF153" s="203"/>
      <c r="BG153" s="3669" t="s">
        <v>89</v>
      </c>
      <c r="BH153" s="203"/>
      <c r="BI153" s="3669" t="s">
        <v>90</v>
      </c>
      <c r="BJ153" s="203"/>
      <c r="BK153" s="3669" t="s">
        <v>91</v>
      </c>
      <c r="BL153" s="203"/>
      <c r="BM153" s="3669" t="s">
        <v>92</v>
      </c>
      <c r="BN153" s="203"/>
      <c r="BO153" s="3669" t="s">
        <v>93</v>
      </c>
      <c r="BP153" s="26"/>
      <c r="BQ153" s="3670" t="s">
        <v>805</v>
      </c>
      <c r="BR153" s="2845"/>
      <c r="BT153" s="3669" t="s">
        <v>87</v>
      </c>
      <c r="BU153" s="203"/>
      <c r="BV153" s="3669" t="s">
        <v>804</v>
      </c>
      <c r="BW153" s="203"/>
      <c r="BX153" s="3669" t="s">
        <v>89</v>
      </c>
      <c r="BY153" s="203"/>
      <c r="BZ153" s="3669" t="s">
        <v>90</v>
      </c>
      <c r="CA153" s="203"/>
      <c r="CB153" s="3669" t="s">
        <v>91</v>
      </c>
      <c r="CC153" s="203"/>
      <c r="CD153" s="3669" t="s">
        <v>92</v>
      </c>
      <c r="CE153" s="203"/>
      <c r="CF153" s="3669" t="s">
        <v>93</v>
      </c>
      <c r="CG153" s="26"/>
      <c r="CH153" s="3670" t="s">
        <v>805</v>
      </c>
      <c r="CI153" s="26"/>
      <c r="CJ153" s="180"/>
      <c r="CK153" s="61"/>
      <c r="CL153" s="1825"/>
      <c r="CM153" s="43"/>
    </row>
    <row r="154" spans="2:91" ht="20.25" customHeight="1">
      <c r="B154" s="1809"/>
      <c r="C154" s="50"/>
      <c r="D154" s="3671"/>
      <c r="E154" s="3671"/>
      <c r="F154" s="3671"/>
      <c r="G154" s="3671"/>
      <c r="H154" s="3671"/>
      <c r="I154" s="3671"/>
      <c r="J154" s="3669"/>
      <c r="K154" s="203"/>
      <c r="L154" s="3669"/>
      <c r="M154" s="203"/>
      <c r="N154" s="3669"/>
      <c r="O154" s="203"/>
      <c r="P154" s="3669"/>
      <c r="Q154" s="203"/>
      <c r="R154" s="3669"/>
      <c r="S154" s="203"/>
      <c r="T154" s="3669"/>
      <c r="U154" s="203"/>
      <c r="V154" s="3669"/>
      <c r="W154" s="26"/>
      <c r="X154" s="3670"/>
      <c r="Z154" s="3669"/>
      <c r="AA154" s="203"/>
      <c r="AB154" s="3669"/>
      <c r="AC154" s="203"/>
      <c r="AD154" s="3669"/>
      <c r="AE154" s="203"/>
      <c r="AF154" s="3669"/>
      <c r="AG154" s="203"/>
      <c r="AH154" s="3669"/>
      <c r="AI154" s="203"/>
      <c r="AJ154" s="3669"/>
      <c r="AK154" s="203"/>
      <c r="AL154" s="3669"/>
      <c r="AM154" s="26"/>
      <c r="AN154" s="3670"/>
      <c r="AO154" s="26"/>
      <c r="AP154" s="180"/>
      <c r="AQ154" s="204"/>
      <c r="AR154" s="1843"/>
      <c r="AS154" s="206"/>
      <c r="AT154" s="1843"/>
      <c r="AU154" s="207"/>
      <c r="AV154" s="3671"/>
      <c r="AW154" s="3671"/>
      <c r="AX154" s="3671"/>
      <c r="AY154" s="3671"/>
      <c r="AZ154" s="3671"/>
      <c r="BA154" s="3671"/>
      <c r="BB154" s="2846"/>
      <c r="BC154" s="3679"/>
      <c r="BD154" s="203"/>
      <c r="BE154" s="3669"/>
      <c r="BF154" s="203"/>
      <c r="BG154" s="3669"/>
      <c r="BH154" s="203"/>
      <c r="BI154" s="3669"/>
      <c r="BJ154" s="203"/>
      <c r="BK154" s="3669"/>
      <c r="BL154" s="203"/>
      <c r="BM154" s="3669"/>
      <c r="BN154" s="203"/>
      <c r="BO154" s="3669"/>
      <c r="BP154" s="26"/>
      <c r="BQ154" s="3670"/>
      <c r="BR154" s="2845"/>
      <c r="BT154" s="3669"/>
      <c r="BU154" s="203"/>
      <c r="BV154" s="3669"/>
      <c r="BW154" s="203"/>
      <c r="BX154" s="3669"/>
      <c r="BY154" s="203"/>
      <c r="BZ154" s="3669"/>
      <c r="CA154" s="203"/>
      <c r="CB154" s="3669"/>
      <c r="CC154" s="203"/>
      <c r="CD154" s="3669"/>
      <c r="CE154" s="203"/>
      <c r="CF154" s="3669"/>
      <c r="CG154" s="26"/>
      <c r="CH154" s="3670"/>
      <c r="CI154" s="26"/>
      <c r="CJ154" s="180"/>
      <c r="CK154" s="61"/>
      <c r="CL154" s="1825"/>
      <c r="CM154" s="43"/>
    </row>
    <row r="155" spans="2:91" ht="6.75" customHeight="1">
      <c r="B155" s="1809"/>
      <c r="C155" s="50"/>
      <c r="D155" s="3678"/>
      <c r="E155" s="3678"/>
      <c r="F155" s="3678"/>
      <c r="G155" s="3678"/>
      <c r="H155" s="3678"/>
      <c r="I155" s="3678"/>
      <c r="J155" s="3669"/>
      <c r="K155" s="203"/>
      <c r="L155" s="3669"/>
      <c r="M155" s="203"/>
      <c r="N155" s="3669"/>
      <c r="O155" s="203"/>
      <c r="P155" s="3669"/>
      <c r="Q155" s="203"/>
      <c r="R155" s="3669"/>
      <c r="S155" s="203"/>
      <c r="T155" s="3669"/>
      <c r="U155" s="203"/>
      <c r="V155" s="3669"/>
      <c r="W155" s="26"/>
      <c r="X155" s="3670"/>
      <c r="Z155" s="3669"/>
      <c r="AA155" s="203"/>
      <c r="AB155" s="3669"/>
      <c r="AC155" s="203"/>
      <c r="AD155" s="3669"/>
      <c r="AE155" s="203"/>
      <c r="AF155" s="3669"/>
      <c r="AG155" s="203"/>
      <c r="AH155" s="3669"/>
      <c r="AI155" s="203"/>
      <c r="AJ155" s="3669"/>
      <c r="AK155" s="203"/>
      <c r="AL155" s="3669"/>
      <c r="AM155" s="26"/>
      <c r="AN155" s="3670"/>
      <c r="AO155" s="26"/>
      <c r="AP155" s="180"/>
      <c r="AQ155" s="204"/>
      <c r="AR155" s="1843"/>
      <c r="AS155" s="206"/>
      <c r="AT155" s="1843"/>
      <c r="AU155" s="207"/>
      <c r="AV155" s="3652"/>
      <c r="AW155" s="3652"/>
      <c r="AX155" s="3652"/>
      <c r="AY155" s="3652"/>
      <c r="AZ155" s="3652"/>
      <c r="BA155" s="3652"/>
      <c r="BB155" s="2838"/>
      <c r="BC155" s="3679"/>
      <c r="BD155" s="203"/>
      <c r="BE155" s="3669"/>
      <c r="BF155" s="203"/>
      <c r="BG155" s="3669"/>
      <c r="BH155" s="203"/>
      <c r="BI155" s="3669"/>
      <c r="BJ155" s="203"/>
      <c r="BK155" s="3669"/>
      <c r="BL155" s="203"/>
      <c r="BM155" s="3669"/>
      <c r="BN155" s="203"/>
      <c r="BO155" s="3669"/>
      <c r="BP155" s="26"/>
      <c r="BQ155" s="3670"/>
      <c r="BR155" s="2845"/>
      <c r="BT155" s="3669"/>
      <c r="BU155" s="203"/>
      <c r="BV155" s="3669"/>
      <c r="BW155" s="203"/>
      <c r="BX155" s="3669"/>
      <c r="BY155" s="203"/>
      <c r="BZ155" s="3669"/>
      <c r="CA155" s="203"/>
      <c r="CB155" s="3669"/>
      <c r="CC155" s="203"/>
      <c r="CD155" s="3669"/>
      <c r="CE155" s="203"/>
      <c r="CF155" s="3669"/>
      <c r="CG155" s="26"/>
      <c r="CH155" s="3670"/>
      <c r="CI155" s="26"/>
      <c r="CJ155" s="180"/>
      <c r="CK155" s="61"/>
      <c r="CL155" s="1825"/>
      <c r="CM155" s="43"/>
    </row>
    <row r="156" spans="2:91" ht="5.25" customHeight="1">
      <c r="B156" s="1809"/>
      <c r="C156" s="91"/>
      <c r="D156" s="208"/>
      <c r="E156" s="208"/>
      <c r="F156" s="208"/>
      <c r="G156" s="208"/>
      <c r="H156" s="208"/>
      <c r="I156" s="209"/>
      <c r="J156" s="210"/>
      <c r="K156" s="211"/>
      <c r="L156" s="212"/>
      <c r="M156" s="211"/>
      <c r="N156" s="212"/>
      <c r="O156" s="211"/>
      <c r="P156" s="212"/>
      <c r="Q156" s="211"/>
      <c r="R156" s="212"/>
      <c r="S156" s="211"/>
      <c r="T156" s="212"/>
      <c r="U156" s="211"/>
      <c r="V156" s="212"/>
      <c r="W156" s="208"/>
      <c r="X156" s="92"/>
      <c r="Y156" s="92"/>
      <c r="Z156" s="213"/>
      <c r="AA156" s="157"/>
      <c r="AB156" s="214"/>
      <c r="AC156" s="157"/>
      <c r="AD156" s="214"/>
      <c r="AE156" s="157"/>
      <c r="AF156" s="214"/>
      <c r="AG156" s="157"/>
      <c r="AH156" s="214"/>
      <c r="AI156" s="157"/>
      <c r="AJ156" s="214"/>
      <c r="AK156" s="157"/>
      <c r="AL156" s="214"/>
      <c r="AM156" s="208"/>
      <c r="AN156" s="92"/>
      <c r="AO156" s="208"/>
      <c r="AP156" s="92"/>
      <c r="AQ156" s="93"/>
      <c r="AR156" s="1833"/>
      <c r="AS156" s="177"/>
      <c r="AT156" s="1833"/>
      <c r="AU156" s="91"/>
      <c r="AV156" s="92"/>
      <c r="AW156" s="92"/>
      <c r="AX156" s="208"/>
      <c r="AY156" s="208"/>
      <c r="AZ156" s="208"/>
      <c r="BA156" s="209"/>
      <c r="BB156" s="209"/>
      <c r="BC156" s="210"/>
      <c r="BD156" s="211"/>
      <c r="BE156" s="212"/>
      <c r="BF156" s="211"/>
      <c r="BG156" s="212"/>
      <c r="BH156" s="211"/>
      <c r="BI156" s="212"/>
      <c r="BJ156" s="211"/>
      <c r="BK156" s="212"/>
      <c r="BL156" s="211"/>
      <c r="BM156" s="212"/>
      <c r="BN156" s="211"/>
      <c r="BO156" s="212"/>
      <c r="BP156" s="208"/>
      <c r="BQ156" s="92"/>
      <c r="BR156" s="92"/>
      <c r="BS156" s="92"/>
      <c r="BT156" s="213"/>
      <c r="BU156" s="157"/>
      <c r="BV156" s="214"/>
      <c r="BW156" s="157"/>
      <c r="BX156" s="214"/>
      <c r="BY156" s="157"/>
      <c r="BZ156" s="214"/>
      <c r="CA156" s="157"/>
      <c r="CB156" s="214"/>
      <c r="CC156" s="157"/>
      <c r="CD156" s="214"/>
      <c r="CE156" s="157"/>
      <c r="CF156" s="214"/>
      <c r="CG156" s="208"/>
      <c r="CH156" s="92"/>
      <c r="CI156" s="208"/>
      <c r="CJ156" s="92"/>
      <c r="CK156" s="93"/>
      <c r="CL156" s="1825"/>
      <c r="CM156" s="43"/>
    </row>
    <row r="157" spans="2:91" ht="12" customHeight="1">
      <c r="B157" s="1812"/>
      <c r="C157" s="1820"/>
      <c r="D157" s="1820"/>
      <c r="E157" s="1820"/>
      <c r="F157" s="1820"/>
      <c r="G157" s="1820"/>
      <c r="H157" s="1820"/>
      <c r="I157" s="1820"/>
      <c r="J157" s="1820"/>
      <c r="K157" s="1820"/>
      <c r="L157" s="1820"/>
      <c r="M157" s="1820"/>
      <c r="N157" s="1820"/>
      <c r="O157" s="1820"/>
      <c r="P157" s="1820"/>
      <c r="Q157" s="1820"/>
      <c r="R157" s="1820"/>
      <c r="S157" s="1820"/>
      <c r="T157" s="1820"/>
      <c r="U157" s="1820"/>
      <c r="V157" s="1820"/>
      <c r="W157" s="1820"/>
      <c r="X157" s="1820"/>
      <c r="Y157" s="1820"/>
      <c r="Z157" s="1820"/>
      <c r="AA157" s="1820"/>
      <c r="AB157" s="1820"/>
      <c r="AC157" s="1820"/>
      <c r="AD157" s="1820"/>
      <c r="AE157" s="1820"/>
      <c r="AF157" s="1820"/>
      <c r="AG157" s="1820"/>
      <c r="AH157" s="1820"/>
      <c r="AI157" s="1820"/>
      <c r="AJ157" s="1820"/>
      <c r="AK157" s="1820"/>
      <c r="AL157" s="1820"/>
      <c r="AM157" s="1820"/>
      <c r="AN157" s="1820"/>
      <c r="AO157" s="1820"/>
      <c r="AP157" s="1820"/>
      <c r="AQ157" s="1820"/>
      <c r="AR157" s="1820"/>
      <c r="AS157" s="177"/>
      <c r="AT157" s="1820"/>
      <c r="AU157" s="1820"/>
      <c r="AV157" s="1820"/>
      <c r="AW157" s="1820"/>
      <c r="AX157" s="1820"/>
      <c r="AY157" s="1820"/>
      <c r="AZ157" s="1820"/>
      <c r="BA157" s="1820"/>
      <c r="BB157" s="1820"/>
      <c r="BC157" s="1820"/>
      <c r="BD157" s="1820"/>
      <c r="BE157" s="1820"/>
      <c r="BF157" s="1820"/>
      <c r="BG157" s="1820"/>
      <c r="BH157" s="1820"/>
      <c r="BI157" s="1820"/>
      <c r="BJ157" s="1820"/>
      <c r="BK157" s="1820"/>
      <c r="BL157" s="1820"/>
      <c r="BM157" s="1820"/>
      <c r="BN157" s="1820"/>
      <c r="BO157" s="1820"/>
      <c r="BP157" s="1820"/>
      <c r="BQ157" s="1820"/>
      <c r="BR157" s="1820"/>
      <c r="BS157" s="1820"/>
      <c r="BT157" s="1820"/>
      <c r="BU157" s="1820"/>
      <c r="BV157" s="1820"/>
      <c r="BW157" s="1820"/>
      <c r="BX157" s="1820"/>
      <c r="BY157" s="1820"/>
      <c r="BZ157" s="1820"/>
      <c r="CA157" s="1820"/>
      <c r="CB157" s="1820"/>
      <c r="CC157" s="1820"/>
      <c r="CD157" s="1820"/>
      <c r="CE157" s="1820"/>
      <c r="CF157" s="1820"/>
      <c r="CG157" s="1820"/>
      <c r="CH157" s="1820"/>
      <c r="CI157" s="1820"/>
      <c r="CJ157" s="1820"/>
      <c r="CK157" s="1820"/>
      <c r="CL157" s="1821"/>
      <c r="CM157" s="43"/>
    </row>
    <row r="158" spans="2:91" ht="12.75" customHeight="1">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c r="AS158" s="59"/>
      <c r="AT158" s="59"/>
      <c r="AU158" s="59"/>
      <c r="AV158" s="59"/>
      <c r="AW158" s="59"/>
      <c r="AX158" s="59"/>
      <c r="AY158" s="59"/>
      <c r="AZ158" s="59"/>
      <c r="BA158" s="59"/>
      <c r="BB158" s="59"/>
      <c r="BC158" s="59"/>
      <c r="BD158" s="59"/>
      <c r="BE158" s="59"/>
      <c r="BF158" s="59"/>
      <c r="BG158" s="59"/>
      <c r="BH158" s="59"/>
      <c r="BI158" s="59"/>
      <c r="BJ158" s="59"/>
      <c r="BK158" s="59"/>
      <c r="BL158" s="59"/>
      <c r="BM158" s="59"/>
      <c r="BN158" s="59"/>
      <c r="BO158" s="59"/>
      <c r="BP158" s="59"/>
      <c r="BQ158" s="59"/>
      <c r="BR158" s="59"/>
      <c r="BS158" s="59"/>
      <c r="BT158" s="59"/>
      <c r="BU158" s="59"/>
      <c r="BV158" s="59"/>
      <c r="BW158" s="59"/>
      <c r="BX158" s="59"/>
      <c r="BY158" s="59"/>
      <c r="BZ158" s="59"/>
      <c r="CA158" s="59"/>
      <c r="CB158" s="59"/>
      <c r="CC158" s="59"/>
      <c r="CD158" s="59"/>
      <c r="CE158" s="59"/>
      <c r="CF158" s="59"/>
      <c r="CG158" s="59"/>
      <c r="CH158" s="59"/>
      <c r="CI158" s="59"/>
      <c r="CJ158" s="59"/>
      <c r="CK158" s="59"/>
      <c r="CL158" s="59"/>
      <c r="CM158" s="59"/>
    </row>
    <row r="159" spans="2:91" ht="22.5" customHeight="1">
      <c r="B159" s="1702"/>
      <c r="C159" s="1703" t="s">
        <v>317</v>
      </c>
      <c r="D159" s="1704"/>
      <c r="E159" s="1704"/>
      <c r="F159" s="1704"/>
      <c r="G159" s="1704"/>
      <c r="H159" s="1704"/>
      <c r="I159" s="1704"/>
      <c r="J159" s="1704"/>
      <c r="K159" s="1704"/>
      <c r="L159" s="1704"/>
      <c r="M159" s="1704"/>
      <c r="N159" s="1704"/>
      <c r="O159" s="1704"/>
      <c r="P159" s="1704"/>
      <c r="Q159" s="1704"/>
      <c r="R159" s="1704"/>
      <c r="S159" s="1704"/>
      <c r="T159" s="1704"/>
      <c r="U159" s="1704"/>
      <c r="V159" s="1704"/>
      <c r="W159" s="1704"/>
      <c r="X159" s="1704"/>
      <c r="Y159" s="1704"/>
      <c r="Z159" s="1704"/>
      <c r="AA159" s="1704"/>
      <c r="AB159" s="1704"/>
      <c r="AC159" s="1704"/>
      <c r="AD159" s="1704"/>
      <c r="AE159" s="1704"/>
      <c r="AF159" s="1704"/>
      <c r="AG159" s="1704"/>
      <c r="AH159" s="1704"/>
      <c r="AI159" s="1704"/>
      <c r="AJ159" s="1704"/>
      <c r="AK159" s="1704"/>
      <c r="AL159" s="1704"/>
      <c r="AM159" s="1704"/>
      <c r="AN159" s="1704"/>
      <c r="AO159" s="1704"/>
      <c r="AP159" s="1704"/>
      <c r="AQ159" s="1704"/>
      <c r="AR159" s="1704"/>
      <c r="AS159" s="1704"/>
      <c r="AT159" s="1704"/>
      <c r="AU159" s="1705"/>
      <c r="AV159" s="1705"/>
      <c r="AW159" s="1705"/>
      <c r="AX159" s="1704"/>
      <c r="AY159" s="1704"/>
      <c r="AZ159" s="1704"/>
      <c r="BA159" s="1704"/>
      <c r="BB159" s="1704"/>
      <c r="BC159" s="1704"/>
      <c r="BD159" s="1704"/>
      <c r="BE159" s="1704"/>
      <c r="BF159" s="1704"/>
      <c r="BG159" s="1704"/>
      <c r="BH159" s="1704"/>
      <c r="BI159" s="1704"/>
      <c r="BJ159" s="1704"/>
      <c r="BK159" s="1704"/>
      <c r="BL159" s="1704"/>
      <c r="BM159" s="1704"/>
      <c r="BN159" s="1704"/>
      <c r="BO159" s="1704"/>
      <c r="BP159" s="1704"/>
      <c r="BQ159" s="1704"/>
      <c r="BR159" s="1704"/>
      <c r="BS159" s="1704"/>
      <c r="BT159" s="1704"/>
      <c r="BU159" s="1704"/>
      <c r="BV159" s="1704"/>
      <c r="BW159" s="1704"/>
      <c r="BX159" s="1704"/>
      <c r="BY159" s="1704"/>
      <c r="BZ159" s="1704"/>
      <c r="CA159" s="1704"/>
      <c r="CB159" s="1704"/>
      <c r="CC159" s="1704"/>
      <c r="CD159" s="1704"/>
      <c r="CE159" s="1704"/>
      <c r="CF159" s="1702"/>
      <c r="CG159" s="1702"/>
      <c r="CH159" s="1706"/>
      <c r="CI159" s="1702"/>
      <c r="CJ159" s="3713"/>
      <c r="CK159" s="3713"/>
      <c r="CL159" s="1704"/>
    </row>
    <row r="160" spans="2:91" ht="6.75" customHeight="1"/>
    <row r="161" spans="2:91" ht="12" customHeight="1">
      <c r="B161" s="1811"/>
      <c r="C161" s="1813"/>
      <c r="D161" s="1813"/>
      <c r="E161" s="1813"/>
      <c r="F161" s="1813"/>
      <c r="G161" s="1813"/>
      <c r="H161" s="1813"/>
      <c r="I161" s="1813"/>
      <c r="J161" s="1813"/>
      <c r="K161" s="1813"/>
      <c r="L161" s="1813"/>
      <c r="M161" s="1813"/>
      <c r="N161" s="1813"/>
      <c r="O161" s="1813"/>
      <c r="P161" s="1813"/>
      <c r="Q161" s="1813"/>
      <c r="R161" s="1813"/>
      <c r="S161" s="1813"/>
      <c r="T161" s="1813"/>
      <c r="U161" s="1813"/>
      <c r="V161" s="1813"/>
      <c r="W161" s="1813"/>
      <c r="X161" s="1813"/>
      <c r="Y161" s="1813"/>
      <c r="Z161" s="1813"/>
      <c r="AA161" s="1813"/>
      <c r="AB161" s="1813"/>
      <c r="AC161" s="1813"/>
      <c r="AD161" s="1813"/>
      <c r="AE161" s="1813"/>
      <c r="AF161" s="1813"/>
      <c r="AG161" s="1813"/>
      <c r="AH161" s="1813"/>
      <c r="AI161" s="1813"/>
      <c r="AJ161" s="1813"/>
      <c r="AK161" s="1813"/>
      <c r="AL161" s="1813"/>
      <c r="AM161" s="1813"/>
      <c r="AN161" s="1813"/>
      <c r="AO161" s="1813"/>
      <c r="AP161" s="1813"/>
      <c r="AQ161" s="1813"/>
      <c r="AR161" s="1813"/>
      <c r="AS161" s="1813"/>
      <c r="AT161" s="1813"/>
      <c r="AU161" s="1813"/>
      <c r="AV161" s="1813"/>
      <c r="AW161" s="1813"/>
      <c r="AX161" s="1813"/>
      <c r="AY161" s="1813"/>
      <c r="AZ161" s="1813"/>
      <c r="BA161" s="1813"/>
      <c r="BB161" s="1813"/>
      <c r="BC161" s="1813"/>
      <c r="BD161" s="1813"/>
      <c r="BE161" s="1813"/>
      <c r="BF161" s="1813"/>
      <c r="BG161" s="1813"/>
      <c r="BH161" s="1813"/>
      <c r="BI161" s="1813"/>
      <c r="BJ161" s="1813"/>
      <c r="BK161" s="1813"/>
      <c r="BL161" s="1813"/>
      <c r="BM161" s="1813"/>
      <c r="BN161" s="1813"/>
      <c r="BO161" s="1813"/>
      <c r="BP161" s="1813"/>
      <c r="BQ161" s="1813"/>
      <c r="BR161" s="1813"/>
      <c r="BS161" s="1813"/>
      <c r="BT161" s="1813"/>
      <c r="BU161" s="1813"/>
      <c r="BV161" s="1813"/>
      <c r="BW161" s="1813"/>
      <c r="BX161" s="1813"/>
      <c r="BY161" s="1813"/>
      <c r="BZ161" s="1813"/>
      <c r="CA161" s="1813"/>
      <c r="CB161" s="1813"/>
      <c r="CC161" s="1813"/>
      <c r="CD161" s="1813"/>
      <c r="CE161" s="1813"/>
      <c r="CF161" s="1813"/>
      <c r="CG161" s="1813"/>
      <c r="CH161" s="1813"/>
      <c r="CI161" s="1813"/>
      <c r="CJ161" s="1813"/>
      <c r="CK161" s="1813"/>
      <c r="CL161" s="1814"/>
      <c r="CM161" s="43"/>
    </row>
    <row r="162" spans="2:91" ht="9.75" customHeight="1">
      <c r="B162" s="1809"/>
      <c r="C162" s="45"/>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46"/>
      <c r="CB162" s="46"/>
      <c r="CC162" s="46"/>
      <c r="CD162" s="46"/>
      <c r="CE162" s="46"/>
      <c r="CF162" s="46"/>
      <c r="CG162" s="46"/>
      <c r="CH162" s="46"/>
      <c r="CI162" s="46"/>
      <c r="CJ162" s="46"/>
      <c r="CK162" s="47"/>
      <c r="CL162" s="1825"/>
      <c r="CM162" s="43"/>
    </row>
    <row r="163" spans="2:91" ht="15" customHeight="1">
      <c r="B163" s="1809"/>
      <c r="C163" s="50"/>
      <c r="D163" s="3672" t="str">
        <f>IF('CALCULS Eaux usées'!F350=0,"",'CALCULS Eaux usées'!F350)</f>
        <v/>
      </c>
      <c r="E163" s="3672"/>
      <c r="F163" s="3672"/>
      <c r="G163" s="3672"/>
      <c r="H163" s="3672"/>
      <c r="I163" s="3672"/>
      <c r="J163" s="3672"/>
      <c r="K163" s="3672"/>
      <c r="L163" s="3672"/>
      <c r="M163" s="3672"/>
      <c r="N163" s="3672"/>
      <c r="O163" s="3672"/>
      <c r="P163" s="3672"/>
      <c r="Q163" s="3672"/>
      <c r="R163" s="3672"/>
      <c r="S163" s="3672"/>
      <c r="T163" s="3672"/>
      <c r="U163" s="3672"/>
      <c r="V163" s="3672"/>
      <c r="W163" s="3672"/>
      <c r="X163" s="3672"/>
      <c r="Y163" s="3672"/>
      <c r="Z163" s="3672"/>
      <c r="AA163" s="3672"/>
      <c r="AB163" s="3672"/>
      <c r="AC163" s="3672"/>
      <c r="AD163" s="3672"/>
      <c r="AE163" s="3672"/>
      <c r="AF163" s="3672"/>
      <c r="AG163" s="3672"/>
      <c r="AH163" s="3672"/>
      <c r="AI163" s="3672"/>
      <c r="AJ163" s="3672"/>
      <c r="AK163" s="3672"/>
      <c r="AL163" s="3672"/>
      <c r="AM163" s="3672"/>
      <c r="AN163" s="3672"/>
      <c r="AO163" s="3672"/>
      <c r="AP163" s="3672"/>
      <c r="AQ163" s="3672"/>
      <c r="AR163" s="3672"/>
      <c r="AS163" s="3672"/>
      <c r="AT163" s="3672"/>
      <c r="AU163" s="3672"/>
      <c r="AV163" s="3672"/>
      <c r="AW163" s="3672"/>
      <c r="AX163" s="3672"/>
      <c r="AY163" s="3672"/>
      <c r="AZ163" s="3672"/>
      <c r="BA163" s="3672"/>
      <c r="BB163" s="3672"/>
      <c r="BC163" s="3672"/>
      <c r="BD163" s="3672"/>
      <c r="BE163" s="3672"/>
      <c r="BF163" s="3672"/>
      <c r="BG163" s="3672"/>
      <c r="BH163" s="3672"/>
      <c r="BI163" s="3672"/>
      <c r="BJ163" s="3672"/>
      <c r="BK163" s="3672"/>
      <c r="BL163" s="3672"/>
      <c r="BM163" s="3672"/>
      <c r="BN163" s="3672"/>
      <c r="BO163" s="3672"/>
      <c r="BP163" s="3672"/>
      <c r="BQ163" s="3672"/>
      <c r="BR163" s="3672"/>
      <c r="BS163" s="3672"/>
      <c r="BT163" s="3672"/>
      <c r="BU163" s="3672"/>
      <c r="BV163" s="3672"/>
      <c r="BW163" s="3672"/>
      <c r="BX163" s="3672"/>
      <c r="BY163" s="3672"/>
      <c r="BZ163" s="3672"/>
      <c r="CA163" s="3672"/>
      <c r="CB163" s="3672"/>
      <c r="CC163" s="3672"/>
      <c r="CD163" s="3672"/>
      <c r="CE163" s="3672"/>
      <c r="CF163" s="3672"/>
      <c r="CG163" s="3672"/>
      <c r="CH163" s="3672"/>
      <c r="CI163" s="3672"/>
      <c r="CJ163" s="3672"/>
      <c r="CK163" s="61"/>
      <c r="CL163" s="1825"/>
      <c r="CM163" s="43"/>
    </row>
    <row r="164" spans="2:91" ht="15" customHeight="1">
      <c r="B164" s="1809"/>
      <c r="C164" s="50"/>
      <c r="D164" s="3672"/>
      <c r="E164" s="3672"/>
      <c r="F164" s="3672"/>
      <c r="G164" s="3672"/>
      <c r="H164" s="3672"/>
      <c r="I164" s="3672"/>
      <c r="J164" s="3672"/>
      <c r="K164" s="3672"/>
      <c r="L164" s="3672"/>
      <c r="M164" s="3672"/>
      <c r="N164" s="3672"/>
      <c r="O164" s="3672"/>
      <c r="P164" s="3672"/>
      <c r="Q164" s="3672"/>
      <c r="R164" s="3672"/>
      <c r="S164" s="3672"/>
      <c r="T164" s="3672"/>
      <c r="U164" s="3672"/>
      <c r="V164" s="3672"/>
      <c r="W164" s="3672"/>
      <c r="X164" s="3672"/>
      <c r="Y164" s="3672"/>
      <c r="Z164" s="3672"/>
      <c r="AA164" s="3672"/>
      <c r="AB164" s="3672"/>
      <c r="AC164" s="3672"/>
      <c r="AD164" s="3672"/>
      <c r="AE164" s="3672"/>
      <c r="AF164" s="3672"/>
      <c r="AG164" s="3672"/>
      <c r="AH164" s="3672"/>
      <c r="AI164" s="3672"/>
      <c r="AJ164" s="3672"/>
      <c r="AK164" s="3672"/>
      <c r="AL164" s="3672"/>
      <c r="AM164" s="3672"/>
      <c r="AN164" s="3672"/>
      <c r="AO164" s="3672"/>
      <c r="AP164" s="3672"/>
      <c r="AQ164" s="3672"/>
      <c r="AR164" s="3672"/>
      <c r="AS164" s="3672"/>
      <c r="AT164" s="3672"/>
      <c r="AU164" s="3672"/>
      <c r="AV164" s="3672"/>
      <c r="AW164" s="3672"/>
      <c r="AX164" s="3672"/>
      <c r="AY164" s="3672"/>
      <c r="AZ164" s="3672"/>
      <c r="BA164" s="3672"/>
      <c r="BB164" s="3672"/>
      <c r="BC164" s="3672"/>
      <c r="BD164" s="3672"/>
      <c r="BE164" s="3672"/>
      <c r="BF164" s="3672"/>
      <c r="BG164" s="3672"/>
      <c r="BH164" s="3672"/>
      <c r="BI164" s="3672"/>
      <c r="BJ164" s="3672"/>
      <c r="BK164" s="3672"/>
      <c r="BL164" s="3672"/>
      <c r="BM164" s="3672"/>
      <c r="BN164" s="3672"/>
      <c r="BO164" s="3672"/>
      <c r="BP164" s="3672"/>
      <c r="BQ164" s="3672"/>
      <c r="BR164" s="3672"/>
      <c r="BS164" s="3672"/>
      <c r="BT164" s="3672"/>
      <c r="BU164" s="3672"/>
      <c r="BV164" s="3672"/>
      <c r="BW164" s="3672"/>
      <c r="BX164" s="3672"/>
      <c r="BY164" s="3672"/>
      <c r="BZ164" s="3672"/>
      <c r="CA164" s="3672"/>
      <c r="CB164" s="3672"/>
      <c r="CC164" s="3672"/>
      <c r="CD164" s="3672"/>
      <c r="CE164" s="3672"/>
      <c r="CF164" s="3672"/>
      <c r="CG164" s="3672"/>
      <c r="CH164" s="3672"/>
      <c r="CI164" s="3672"/>
      <c r="CJ164" s="3672"/>
      <c r="CK164" s="61"/>
      <c r="CL164" s="1825"/>
      <c r="CM164" s="43"/>
    </row>
    <row r="165" spans="2:91" ht="8.25" customHeight="1">
      <c r="B165" s="1809"/>
      <c r="C165" s="91"/>
      <c r="D165" s="105"/>
      <c r="E165" s="105"/>
      <c r="F165" s="105"/>
      <c r="G165" s="105"/>
      <c r="H165" s="105"/>
      <c r="I165" s="92"/>
      <c r="J165" s="92"/>
      <c r="K165" s="92"/>
      <c r="L165" s="92"/>
      <c r="M165" s="92"/>
      <c r="N165" s="92"/>
      <c r="O165" s="92"/>
      <c r="P165" s="92"/>
      <c r="Q165" s="92"/>
      <c r="R165" s="92"/>
      <c r="S165" s="92"/>
      <c r="T165" s="92"/>
      <c r="U165" s="92"/>
      <c r="V165" s="92"/>
      <c r="W165" s="92"/>
      <c r="X165" s="92"/>
      <c r="Y165" s="92"/>
      <c r="Z165" s="92"/>
      <c r="AA165" s="92"/>
      <c r="AB165" s="92"/>
      <c r="AC165" s="92"/>
      <c r="AD165" s="92"/>
      <c r="AE165" s="92"/>
      <c r="AF165" s="92"/>
      <c r="AG165" s="92"/>
      <c r="AH165" s="92"/>
      <c r="AI165" s="92"/>
      <c r="AJ165" s="92"/>
      <c r="AK165" s="92"/>
      <c r="AL165" s="92"/>
      <c r="AM165" s="92"/>
      <c r="AN165" s="92"/>
      <c r="AO165" s="92"/>
      <c r="AP165" s="92"/>
      <c r="AQ165" s="92"/>
      <c r="AR165" s="92"/>
      <c r="AS165" s="92"/>
      <c r="AT165" s="92"/>
      <c r="AU165" s="92"/>
      <c r="AV165" s="92"/>
      <c r="AW165" s="92"/>
      <c r="AX165" s="92"/>
      <c r="AY165" s="92"/>
      <c r="AZ165" s="92"/>
      <c r="BA165" s="92"/>
      <c r="BB165" s="92"/>
      <c r="BC165" s="92"/>
      <c r="BD165" s="92"/>
      <c r="BE165" s="92"/>
      <c r="BF165" s="92"/>
      <c r="BG165" s="92"/>
      <c r="BH165" s="92"/>
      <c r="BI165" s="92"/>
      <c r="BJ165" s="92"/>
      <c r="BK165" s="92"/>
      <c r="BL165" s="92"/>
      <c r="BM165" s="92"/>
      <c r="BN165" s="92"/>
      <c r="BO165" s="92"/>
      <c r="BP165" s="92"/>
      <c r="BQ165" s="92"/>
      <c r="BR165" s="92"/>
      <c r="BS165" s="92"/>
      <c r="BT165" s="92"/>
      <c r="BU165" s="92"/>
      <c r="BV165" s="92"/>
      <c r="BW165" s="92"/>
      <c r="BX165" s="92"/>
      <c r="BY165" s="92"/>
      <c r="BZ165" s="92"/>
      <c r="CA165" s="92"/>
      <c r="CB165" s="92"/>
      <c r="CC165" s="92"/>
      <c r="CD165" s="92"/>
      <c r="CE165" s="92"/>
      <c r="CF165" s="92"/>
      <c r="CG165" s="92"/>
      <c r="CH165" s="92"/>
      <c r="CI165" s="92"/>
      <c r="CJ165" s="92"/>
      <c r="CK165" s="93"/>
      <c r="CL165" s="1825"/>
      <c r="CM165" s="43"/>
    </row>
    <row r="166" spans="2:91" ht="11.25" customHeight="1">
      <c r="B166" s="1812"/>
      <c r="C166" s="1820"/>
      <c r="D166" s="1820"/>
      <c r="E166" s="1820"/>
      <c r="F166" s="1820"/>
      <c r="G166" s="1820"/>
      <c r="H166" s="1820"/>
      <c r="I166" s="1820"/>
      <c r="J166" s="1820"/>
      <c r="K166" s="1820"/>
      <c r="L166" s="1820"/>
      <c r="M166" s="1820"/>
      <c r="N166" s="1820"/>
      <c r="O166" s="1820"/>
      <c r="P166" s="1820"/>
      <c r="Q166" s="1820"/>
      <c r="R166" s="1820"/>
      <c r="S166" s="1820"/>
      <c r="T166" s="1820"/>
      <c r="U166" s="1820"/>
      <c r="V166" s="1820"/>
      <c r="W166" s="1820"/>
      <c r="X166" s="1820"/>
      <c r="Y166" s="1820"/>
      <c r="Z166" s="1820"/>
      <c r="AA166" s="1820"/>
      <c r="AB166" s="1820"/>
      <c r="AC166" s="1820"/>
      <c r="AD166" s="1820"/>
      <c r="AE166" s="1820"/>
      <c r="AF166" s="1820"/>
      <c r="AG166" s="1820"/>
      <c r="AH166" s="1820"/>
      <c r="AI166" s="1820"/>
      <c r="AJ166" s="1820"/>
      <c r="AK166" s="1820"/>
      <c r="AL166" s="1820"/>
      <c r="AM166" s="1820"/>
      <c r="AN166" s="1820"/>
      <c r="AO166" s="1820"/>
      <c r="AP166" s="1820"/>
      <c r="AQ166" s="1820"/>
      <c r="AR166" s="1820"/>
      <c r="AS166" s="1820"/>
      <c r="AT166" s="1820"/>
      <c r="AU166" s="1820"/>
      <c r="AV166" s="1820"/>
      <c r="AW166" s="1820"/>
      <c r="AX166" s="1820"/>
      <c r="AY166" s="1820"/>
      <c r="AZ166" s="1820"/>
      <c r="BA166" s="1820"/>
      <c r="BB166" s="1820"/>
      <c r="BC166" s="1820"/>
      <c r="BD166" s="1820"/>
      <c r="BE166" s="1820"/>
      <c r="BF166" s="1820"/>
      <c r="BG166" s="1820"/>
      <c r="BH166" s="1820"/>
      <c r="BI166" s="1820"/>
      <c r="BJ166" s="1820"/>
      <c r="BK166" s="1820"/>
      <c r="BL166" s="1820"/>
      <c r="BM166" s="1820"/>
      <c r="BN166" s="1820"/>
      <c r="BO166" s="1820"/>
      <c r="BP166" s="1820"/>
      <c r="BQ166" s="1820"/>
      <c r="BR166" s="1820"/>
      <c r="BS166" s="1820"/>
      <c r="BT166" s="1820"/>
      <c r="BU166" s="1820"/>
      <c r="BV166" s="1820"/>
      <c r="BW166" s="1820"/>
      <c r="BX166" s="1820"/>
      <c r="BY166" s="1820"/>
      <c r="BZ166" s="1820"/>
      <c r="CA166" s="1820"/>
      <c r="CB166" s="1820"/>
      <c r="CC166" s="1820"/>
      <c r="CD166" s="1820"/>
      <c r="CE166" s="1820"/>
      <c r="CF166" s="1820"/>
      <c r="CG166" s="1820"/>
      <c r="CH166" s="1820"/>
      <c r="CI166" s="1820"/>
      <c r="CJ166" s="1820"/>
      <c r="CK166" s="1820"/>
      <c r="CL166" s="1821"/>
      <c r="CM166" s="43"/>
    </row>
    <row r="167" spans="2:91" ht="9.75" customHeight="1">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c r="AA167" s="59"/>
      <c r="AB167" s="59"/>
      <c r="AC167" s="59"/>
      <c r="AD167" s="59"/>
      <c r="AE167" s="59"/>
      <c r="AF167" s="59"/>
      <c r="AG167" s="59"/>
      <c r="AH167" s="59"/>
      <c r="AI167" s="59"/>
      <c r="AJ167" s="59"/>
      <c r="AK167" s="59"/>
      <c r="AL167" s="59"/>
      <c r="AM167" s="59"/>
      <c r="AN167" s="59"/>
      <c r="AO167" s="59"/>
      <c r="AP167" s="59"/>
      <c r="AQ167" s="59"/>
      <c r="AR167" s="59"/>
      <c r="AS167" s="59"/>
      <c r="AT167" s="59"/>
      <c r="AU167" s="59"/>
      <c r="AV167" s="59"/>
      <c r="AW167" s="59"/>
      <c r="AX167" s="59"/>
      <c r="AY167" s="59"/>
      <c r="AZ167" s="59"/>
      <c r="BA167" s="59"/>
      <c r="BB167" s="59"/>
      <c r="BC167" s="59"/>
      <c r="BD167" s="59"/>
      <c r="BE167" s="59"/>
      <c r="BF167" s="59"/>
      <c r="BG167" s="59"/>
      <c r="BH167" s="59"/>
      <c r="BI167" s="59"/>
      <c r="BJ167" s="59"/>
      <c r="BK167" s="59"/>
      <c r="BL167" s="59"/>
      <c r="BM167" s="59"/>
      <c r="BN167" s="59"/>
      <c r="BO167" s="59"/>
      <c r="BP167" s="59"/>
      <c r="BQ167" s="59"/>
      <c r="BR167" s="59"/>
      <c r="BS167" s="59"/>
      <c r="BT167" s="59"/>
      <c r="BU167" s="59"/>
      <c r="BV167" s="59"/>
      <c r="BW167" s="59"/>
      <c r="BX167" s="59"/>
      <c r="BY167" s="59"/>
      <c r="BZ167" s="59"/>
      <c r="CA167" s="59"/>
      <c r="CB167" s="59"/>
      <c r="CC167" s="59"/>
      <c r="CD167" s="59"/>
      <c r="CE167" s="59"/>
      <c r="CF167" s="59"/>
      <c r="CG167" s="59"/>
      <c r="CH167" s="59"/>
      <c r="CI167" s="59"/>
      <c r="CJ167" s="59"/>
      <c r="CK167" s="59"/>
      <c r="CL167" s="59"/>
      <c r="CM167" s="59"/>
    </row>
    <row r="171" spans="2:91" ht="15.75" customHeight="1">
      <c r="BS171" s="59"/>
      <c r="BU171" s="371"/>
      <c r="BV171" s="371"/>
      <c r="BW171" s="371"/>
      <c r="BX171" s="371"/>
      <c r="BY171" s="371"/>
      <c r="BZ171" s="371"/>
      <c r="CA171" s="371"/>
      <c r="CB171" s="371"/>
      <c r="CC171" s="371"/>
      <c r="CD171" s="371"/>
      <c r="CE171" s="371"/>
      <c r="CF171" s="371"/>
      <c r="CG171" s="371"/>
      <c r="CH171" s="371"/>
    </row>
    <row r="172" spans="2:91">
      <c r="BU172" s="371"/>
      <c r="BV172" s="371"/>
      <c r="BW172" s="371"/>
      <c r="BX172" s="371"/>
      <c r="BY172" s="371"/>
      <c r="BZ172" s="371"/>
      <c r="CA172" s="371"/>
      <c r="CB172" s="371"/>
      <c r="CC172" s="371"/>
      <c r="CD172" s="371"/>
      <c r="CE172" s="371"/>
      <c r="CF172" s="371"/>
      <c r="CG172" s="371"/>
      <c r="CH172" s="371"/>
    </row>
    <row r="173" spans="2:91">
      <c r="BS173" s="59"/>
      <c r="BT173" s="371"/>
      <c r="BU173" s="371"/>
      <c r="BV173" s="371"/>
      <c r="BW173" s="371"/>
      <c r="BX173" s="371"/>
      <c r="BY173" s="371"/>
      <c r="BZ173" s="371"/>
      <c r="CA173" s="371"/>
      <c r="CB173" s="371"/>
      <c r="CC173" s="371"/>
      <c r="CD173" s="371"/>
      <c r="CE173" s="371"/>
      <c r="CF173" s="371"/>
      <c r="CG173" s="371"/>
      <c r="CH173" s="371"/>
    </row>
  </sheetData>
  <sheetProtection algorithmName="SHA-512" hashValue="z2/mTX1EjvpgArVxQTLbmIC93go/MMsLM5nB0mIqLTlcYvrg0LazzZAzqNSm5iRqb2tQB6UwrZ2BykRW7cn9jQ==" saltValue="aazuhP2YH0n2G3J60tDy/A==" spinCount="100000" sheet="1" objects="1" scenarios="1"/>
  <mergeCells count="244">
    <mergeCell ref="AH2:BB2"/>
    <mergeCell ref="D13:D14"/>
    <mergeCell ref="D15:D16"/>
    <mergeCell ref="AJ16:AL17"/>
    <mergeCell ref="BI16:BK17"/>
    <mergeCell ref="D17:D18"/>
    <mergeCell ref="CG4:CK4"/>
    <mergeCell ref="BZ6:CL6"/>
    <mergeCell ref="CJ8:CK8"/>
    <mergeCell ref="AB12:AD12"/>
    <mergeCell ref="E18:H18"/>
    <mergeCell ref="E16:H16"/>
    <mergeCell ref="E14:H14"/>
    <mergeCell ref="D23:D24"/>
    <mergeCell ref="AJ25:AL26"/>
    <mergeCell ref="BI25:BK26"/>
    <mergeCell ref="CJ36:CK36"/>
    <mergeCell ref="BE40:BG40"/>
    <mergeCell ref="CI40:CJ40"/>
    <mergeCell ref="CE17:CI17"/>
    <mergeCell ref="D19:D20"/>
    <mergeCell ref="D21:D22"/>
    <mergeCell ref="E24:H24"/>
    <mergeCell ref="E22:H22"/>
    <mergeCell ref="E20:H20"/>
    <mergeCell ref="R31:AC31"/>
    <mergeCell ref="R30:AC30"/>
    <mergeCell ref="R29:AC29"/>
    <mergeCell ref="F31:Q31"/>
    <mergeCell ref="F30:Q30"/>
    <mergeCell ref="F29:Q29"/>
    <mergeCell ref="CH45:CJ46"/>
    <mergeCell ref="AC46:AV47"/>
    <mergeCell ref="AX46:AX47"/>
    <mergeCell ref="BA46:BE47"/>
    <mergeCell ref="CH47:CJ48"/>
    <mergeCell ref="AR42:AV42"/>
    <mergeCell ref="AX42:AY42"/>
    <mergeCell ref="BA42:BF42"/>
    <mergeCell ref="BX42:CD42"/>
    <mergeCell ref="CF42:CJ42"/>
    <mergeCell ref="BA45:BE45"/>
    <mergeCell ref="BM45:BW46"/>
    <mergeCell ref="BX45:BZ46"/>
    <mergeCell ref="D47:N48"/>
    <mergeCell ref="O47:X48"/>
    <mergeCell ref="BM47:BW48"/>
    <mergeCell ref="BX47:BZ48"/>
    <mergeCell ref="CA47:CB48"/>
    <mergeCell ref="CF47:CG48"/>
    <mergeCell ref="BA48:BE48"/>
    <mergeCell ref="CA45:CB46"/>
    <mergeCell ref="CF45:CG46"/>
    <mergeCell ref="D45:N46"/>
    <mergeCell ref="O45:X46"/>
    <mergeCell ref="D71:G73"/>
    <mergeCell ref="AW71:AZ73"/>
    <mergeCell ref="CF49:CG50"/>
    <mergeCell ref="CH49:CJ50"/>
    <mergeCell ref="BA50:BE50"/>
    <mergeCell ref="Y54:Z54"/>
    <mergeCell ref="AA54:AB54"/>
    <mergeCell ref="BA54:BC54"/>
    <mergeCell ref="BD54:BE54"/>
    <mergeCell ref="BF54:BG54"/>
    <mergeCell ref="BH54:BI54"/>
    <mergeCell ref="BJ54:BK54"/>
    <mergeCell ref="D49:N50"/>
    <mergeCell ref="O49:X50"/>
    <mergeCell ref="BA49:BE49"/>
    <mergeCell ref="BM49:BW50"/>
    <mergeCell ref="BX49:BZ50"/>
    <mergeCell ref="CA49:CB50"/>
    <mergeCell ref="H74:R74"/>
    <mergeCell ref="T74:AC74"/>
    <mergeCell ref="AF74:AP74"/>
    <mergeCell ref="BA74:BM74"/>
    <mergeCell ref="BN74:BX74"/>
    <mergeCell ref="BZ74:CJ74"/>
    <mergeCell ref="BL54:BM54"/>
    <mergeCell ref="BN54:BO54"/>
    <mergeCell ref="CJ54:CK54"/>
    <mergeCell ref="AN58:AP58"/>
    <mergeCell ref="CH58:CJ58"/>
    <mergeCell ref="BA85:BE85"/>
    <mergeCell ref="BU85:BW85"/>
    <mergeCell ref="BX85:BZ85"/>
    <mergeCell ref="BA87:BE87"/>
    <mergeCell ref="AU87:AX87"/>
    <mergeCell ref="AU85:AX85"/>
    <mergeCell ref="CJ78:CK78"/>
    <mergeCell ref="AD82:AF82"/>
    <mergeCell ref="BA83:BG83"/>
    <mergeCell ref="BK83:BM83"/>
    <mergeCell ref="BU84:BW84"/>
    <mergeCell ref="BX84:BZ84"/>
    <mergeCell ref="BA93:BE93"/>
    <mergeCell ref="BA96:BE96"/>
    <mergeCell ref="AU93:AX93"/>
    <mergeCell ref="BI96:BM96"/>
    <mergeCell ref="BI93:BM93"/>
    <mergeCell ref="BA89:BE89"/>
    <mergeCell ref="BA91:BE91"/>
    <mergeCell ref="AU91:AX91"/>
    <mergeCell ref="AU89:AX89"/>
    <mergeCell ref="BI91:BM91"/>
    <mergeCell ref="BI89:BM89"/>
    <mergeCell ref="D104:H104"/>
    <mergeCell ref="J104:M104"/>
    <mergeCell ref="AD104:AG104"/>
    <mergeCell ref="AJ104:AQ104"/>
    <mergeCell ref="AR104:AT104"/>
    <mergeCell ref="AU104:AW104"/>
    <mergeCell ref="BK104:BN104"/>
    <mergeCell ref="BT104:CK105"/>
    <mergeCell ref="BR96:CB97"/>
    <mergeCell ref="CC96:CK97"/>
    <mergeCell ref="BS98:BS99"/>
    <mergeCell ref="BT98:BX99"/>
    <mergeCell ref="CC98:CD99"/>
    <mergeCell ref="CE98:CK100"/>
    <mergeCell ref="CB108:CF108"/>
    <mergeCell ref="CG108:CJ108"/>
    <mergeCell ref="BS110:BX111"/>
    <mergeCell ref="CB111:CF111"/>
    <mergeCell ref="CG111:CJ111"/>
    <mergeCell ref="AU111:AV111"/>
    <mergeCell ref="AZ111:BA111"/>
    <mergeCell ref="BG111:BH111"/>
    <mergeCell ref="CJ102:CK102"/>
    <mergeCell ref="E114:G114"/>
    <mergeCell ref="H114:L114"/>
    <mergeCell ref="N114:V114"/>
    <mergeCell ref="W114:Z114"/>
    <mergeCell ref="AB114:AG114"/>
    <mergeCell ref="AK114:AP114"/>
    <mergeCell ref="BI112:BN113"/>
    <mergeCell ref="BS113:BX115"/>
    <mergeCell ref="AQ114:AV114"/>
    <mergeCell ref="AW114:AY114"/>
    <mergeCell ref="BB114:BG114"/>
    <mergeCell ref="BI114:BN114"/>
    <mergeCell ref="E112:G113"/>
    <mergeCell ref="H112:L113"/>
    <mergeCell ref="N112:V113"/>
    <mergeCell ref="W112:Z113"/>
    <mergeCell ref="AB112:AG113"/>
    <mergeCell ref="AK112:AP113"/>
    <mergeCell ref="AQ112:AV113"/>
    <mergeCell ref="AW112:BA113"/>
    <mergeCell ref="BB112:BH113"/>
    <mergeCell ref="D125:Y125"/>
    <mergeCell ref="AE125:BB125"/>
    <mergeCell ref="BH125:CJ125"/>
    <mergeCell ref="V130:X130"/>
    <mergeCell ref="CD130:CG130"/>
    <mergeCell ref="CH130:CJ130"/>
    <mergeCell ref="CJ119:CK119"/>
    <mergeCell ref="Y123:Z123"/>
    <mergeCell ref="BA123:BC123"/>
    <mergeCell ref="CJ123:CK123"/>
    <mergeCell ref="I143:L143"/>
    <mergeCell ref="N143:P143"/>
    <mergeCell ref="Q143:S143"/>
    <mergeCell ref="Y143:AB143"/>
    <mergeCell ref="AD143:AF143"/>
    <mergeCell ref="AG143:AI143"/>
    <mergeCell ref="AL143:AN143"/>
    <mergeCell ref="V131:X131"/>
    <mergeCell ref="CD131:CG131"/>
    <mergeCell ref="AP135:AQ135"/>
    <mergeCell ref="AM139:AN139"/>
    <mergeCell ref="D152:I152"/>
    <mergeCell ref="AV152:BA152"/>
    <mergeCell ref="D153:I154"/>
    <mergeCell ref="J153:J155"/>
    <mergeCell ref="L153:L155"/>
    <mergeCell ref="N153:N155"/>
    <mergeCell ref="P153:P155"/>
    <mergeCell ref="CA143:CC143"/>
    <mergeCell ref="CF143:CH143"/>
    <mergeCell ref="D146:I146"/>
    <mergeCell ref="AX146:BA146"/>
    <mergeCell ref="AV147:AY147"/>
    <mergeCell ref="AV148:AY148"/>
    <mergeCell ref="BA143:BE143"/>
    <mergeCell ref="BG143:BI143"/>
    <mergeCell ref="BJ143:BL143"/>
    <mergeCell ref="BS143:BV143"/>
    <mergeCell ref="BX143:BZ143"/>
    <mergeCell ref="R153:R155"/>
    <mergeCell ref="T153:T155"/>
    <mergeCell ref="V153:V155"/>
    <mergeCell ref="X153:X155"/>
    <mergeCell ref="Z153:Z155"/>
    <mergeCell ref="AB153:AB155"/>
    <mergeCell ref="AJ153:AJ155"/>
    <mergeCell ref="AL153:AL155"/>
    <mergeCell ref="AN153:AN155"/>
    <mergeCell ref="BI87:BM87"/>
    <mergeCell ref="BI85:BM85"/>
    <mergeCell ref="CJ159:CK159"/>
    <mergeCell ref="AV149:AY149"/>
    <mergeCell ref="AV150:AY150"/>
    <mergeCell ref="AV151:AY151"/>
    <mergeCell ref="BX153:BX155"/>
    <mergeCell ref="AV153:BA154"/>
    <mergeCell ref="BC153:BC155"/>
    <mergeCell ref="BE153:BE155"/>
    <mergeCell ref="BG153:BG155"/>
    <mergeCell ref="BI153:BI155"/>
    <mergeCell ref="BK153:BK155"/>
    <mergeCell ref="AL142:AN142"/>
    <mergeCell ref="CF142:CH142"/>
    <mergeCell ref="CH131:CJ131"/>
    <mergeCell ref="CJ135:CK135"/>
    <mergeCell ref="BZ113:BZ115"/>
    <mergeCell ref="CB113:CF115"/>
    <mergeCell ref="CG113:CJ115"/>
    <mergeCell ref="BS107:BX108"/>
    <mergeCell ref="D163:CJ164"/>
    <mergeCell ref="Z3:BI4"/>
    <mergeCell ref="AV143:AZ145"/>
    <mergeCell ref="D143:H145"/>
    <mergeCell ref="AY131:AZ131"/>
    <mergeCell ref="AY130:AZ130"/>
    <mergeCell ref="BA131:BB131"/>
    <mergeCell ref="BA130:BB130"/>
    <mergeCell ref="AU96:AX96"/>
    <mergeCell ref="BZ153:BZ155"/>
    <mergeCell ref="CB153:CB155"/>
    <mergeCell ref="CD153:CD155"/>
    <mergeCell ref="CF153:CF155"/>
    <mergeCell ref="CH153:CH155"/>
    <mergeCell ref="D155:I155"/>
    <mergeCell ref="AV155:BA155"/>
    <mergeCell ref="BM153:BM155"/>
    <mergeCell ref="BO153:BO155"/>
    <mergeCell ref="BQ153:BQ155"/>
    <mergeCell ref="BT153:BT155"/>
    <mergeCell ref="BV153:BV155"/>
    <mergeCell ref="AD153:AD155"/>
    <mergeCell ref="AF153:AF155"/>
    <mergeCell ref="AH153:AH155"/>
  </mergeCells>
  <conditionalFormatting sqref="Y40">
    <cfRule type="iconSet" priority="188">
      <iconSet iconSet="5Rating" showValue="0">
        <cfvo type="percent" val="0"/>
        <cfvo type="num" val="1" gte="0"/>
        <cfvo type="num" val="2" gte="0"/>
        <cfvo type="num" val="3" gte="0"/>
        <cfvo type="num" val="4" gte="0"/>
      </iconSet>
    </cfRule>
    <cfRule type="iconSet" priority="189">
      <iconSet iconSet="5Rating" showValue="0">
        <cfvo type="percent" val="0"/>
        <cfvo type="num" val="1" gte="0"/>
        <cfvo type="num" val="2" gte="0"/>
        <cfvo type="num" val="3" gte="0"/>
        <cfvo type="num" val="4" gte="0"/>
      </iconSet>
    </cfRule>
  </conditionalFormatting>
  <conditionalFormatting sqref="Y130:Y131">
    <cfRule type="iconSet" priority="186">
      <iconSet iconSet="5Rating" showValue="0">
        <cfvo type="percent" val="0"/>
        <cfvo type="num" val="1" gte="0"/>
        <cfvo type="num" val="2" gte="0"/>
        <cfvo type="num" val="3" gte="0"/>
        <cfvo type="num" val="4" gte="0"/>
      </iconSet>
    </cfRule>
  </conditionalFormatting>
  <conditionalFormatting sqref="AN58">
    <cfRule type="iconSet" priority="194">
      <iconSet iconSet="5Rating" showValue="0">
        <cfvo type="percent" val="0"/>
        <cfvo type="num" val="1" gte="0"/>
        <cfvo type="num" val="2" gte="0"/>
        <cfvo type="num" val="3" gte="0"/>
        <cfvo type="num" val="4" gte="0"/>
      </iconSet>
    </cfRule>
  </conditionalFormatting>
  <conditionalFormatting sqref="AY85 AY87 AY89 AY91 AY93 AY96">
    <cfRule type="iconSet" priority="2">
      <iconSet iconSet="5Rating" showValue="0">
        <cfvo type="percent" val="0"/>
        <cfvo type="num" val="1" gte="0"/>
        <cfvo type="num" val="2" gte="0"/>
        <cfvo type="num" val="3" gte="0"/>
        <cfvo type="num" val="4" gte="0"/>
      </iconSet>
    </cfRule>
  </conditionalFormatting>
  <conditionalFormatting sqref="AZ85 AD104 BK104 AZ87 AZ89 AZ91 AZ93 AD82">
    <cfRule type="iconSet" priority="357">
      <iconSet iconSet="5Rating" showValue="0">
        <cfvo type="percent" val="0"/>
        <cfvo type="num" val="1" gte="0"/>
        <cfvo type="num" val="2" gte="0"/>
        <cfvo type="num" val="3" gte="0"/>
        <cfvo type="num" val="4" gte="0"/>
      </iconSet>
    </cfRule>
  </conditionalFormatting>
  <conditionalFormatting sqref="BA130:BA131">
    <cfRule type="iconSet" priority="185">
      <iconSet iconSet="5Rating" showValue="0">
        <cfvo type="percent" val="0"/>
        <cfvo type="num" val="1" gte="0"/>
        <cfvo type="num" val="2" gte="0"/>
        <cfvo type="num" val="3" gte="0"/>
        <cfvo type="num" val="4" gte="0"/>
      </iconSet>
    </cfRule>
  </conditionalFormatting>
  <conditionalFormatting sqref="BE40 AB12 AJ25 AJ16 BI25 BI16 AN58 CI40">
    <cfRule type="iconSet" priority="195">
      <iconSet iconSet="5Rating" showValue="0">
        <cfvo type="percent" val="0"/>
        <cfvo type="num" val="1" gte="0"/>
        <cfvo type="num" val="2" gte="0"/>
        <cfvo type="num" val="3" gte="0"/>
        <cfvo type="num" val="4" gte="0"/>
      </iconSet>
    </cfRule>
  </conditionalFormatting>
  <conditionalFormatting sqref="BE40 AX41:AZ41">
    <cfRule type="iconSet" priority="193">
      <iconSet iconSet="5Rating" showValue="0">
        <cfvo type="percent" val="0"/>
        <cfvo type="num" val="1" gte="0"/>
        <cfvo type="num" val="2" gte="0"/>
        <cfvo type="num" val="3" gte="0"/>
        <cfvo type="num" val="4" gte="0"/>
      </iconSet>
    </cfRule>
  </conditionalFormatting>
  <conditionalFormatting sqref="BG85 BG87 BG89 BG91 BG93 BG96">
    <cfRule type="iconSet" priority="1">
      <iconSet iconSet="5Rating" showValue="0">
        <cfvo type="percent" val="0"/>
        <cfvo type="num" val="1" gte="0"/>
        <cfvo type="num" val="2" gte="0"/>
        <cfvo type="num" val="3" gte="0"/>
        <cfvo type="num" val="4" gte="0"/>
      </iconSet>
    </cfRule>
  </conditionalFormatting>
  <conditionalFormatting sqref="BS85 BU84:BU85 BX84:BX85">
    <cfRule type="iconSet" priority="187">
      <iconSet iconSet="5Rating" showValue="0">
        <cfvo type="percent" val="0"/>
        <cfvo type="num" val="1" gte="0"/>
        <cfvo type="num" val="2" gte="0"/>
        <cfvo type="num" val="3" gte="0"/>
        <cfvo type="num" val="4" gte="0"/>
      </iconSet>
    </cfRule>
  </conditionalFormatting>
  <conditionalFormatting sqref="BZ113 BZ108 BZ111">
    <cfRule type="iconSet" priority="181">
      <iconSet iconSet="5Rating" showValue="0">
        <cfvo type="percent" val="0"/>
        <cfvo type="num" val="1" gte="0"/>
        <cfvo type="num" val="2" gte="0"/>
        <cfvo type="num" val="3" gte="0"/>
        <cfvo type="num" val="4" gte="0"/>
      </iconSet>
    </cfRule>
  </conditionalFormatting>
  <conditionalFormatting sqref="CH58">
    <cfRule type="iconSet" priority="190">
      <iconSet iconSet="5Rating" showValue="0">
        <cfvo type="percent" val="0"/>
        <cfvo type="num" val="1" gte="0"/>
        <cfvo type="num" val="2" gte="0"/>
        <cfvo type="num" val="3" gte="0"/>
        <cfvo type="num" val="4" gte="0"/>
      </iconSet>
    </cfRule>
    <cfRule type="iconSet" priority="191">
      <iconSet iconSet="5Rating" showValue="0">
        <cfvo type="percent" val="0"/>
        <cfvo type="num" val="1" gte="0"/>
        <cfvo type="num" val="2" gte="0"/>
        <cfvo type="num" val="3" gte="0"/>
        <cfvo type="num" val="4" gte="0"/>
      </iconSet>
    </cfRule>
  </conditionalFormatting>
  <conditionalFormatting sqref="CH130:CH131">
    <cfRule type="iconSet" priority="184">
      <iconSet iconSet="5Rating" showValue="0">
        <cfvo type="percent" val="0"/>
        <cfvo type="num" val="1" gte="0"/>
        <cfvo type="num" val="2" gte="0"/>
        <cfvo type="num" val="3" gte="0"/>
        <cfvo type="num" val="4" gte="0"/>
      </iconSet>
    </cfRule>
  </conditionalFormatting>
  <conditionalFormatting sqref="CJ41 CI40">
    <cfRule type="iconSet" priority="192">
      <iconSet iconSet="5Rating" showValue="0">
        <cfvo type="percent" val="0"/>
        <cfvo type="num" val="1" gte="0"/>
        <cfvo type="num" val="2" gte="0"/>
        <cfvo type="num" val="3" gte="0"/>
        <cfvo type="num" val="4" gte="0"/>
      </iconSet>
    </cfRule>
  </conditionalFormatting>
  <conditionalFormatting sqref="CJ102">
    <cfRule type="iconSet" priority="183">
      <iconSet iconSet="5Rating" showValue="0">
        <cfvo type="percent" val="0"/>
        <cfvo type="num" val="1" gte="0"/>
        <cfvo type="num" val="2" gte="0"/>
        <cfvo type="num" val="3" gte="0"/>
        <cfvo type="num" val="4" gte="0"/>
      </iconSet>
    </cfRule>
    <cfRule type="iconSet" priority="182">
      <iconSet iconSet="5Rating" showValue="0">
        <cfvo type="percent" val="0"/>
        <cfvo type="num" val="1" gte="0"/>
        <cfvo type="num" val="2" gte="0"/>
        <cfvo type="num" val="3" gte="0"/>
        <cfvo type="num" val="4" gte="0"/>
      </iconSet>
    </cfRule>
  </conditionalFormatting>
  <conditionalFormatting sqref="CJ123 BA123:BB123 Y123">
    <cfRule type="iconSet" priority="196">
      <iconSet iconSet="5Rating" showValue="0">
        <cfvo type="percent" val="0"/>
        <cfvo type="num" val="2"/>
        <cfvo type="num" val="3"/>
        <cfvo type="num" val="4"/>
        <cfvo type="num" val="5"/>
      </iconSet>
    </cfRule>
  </conditionalFormatting>
  <pageMargins left="1.1200000000000001" right="1.24" top="0.82677165354330717" bottom="0.35433070866141736" header="0.31496062992125984" footer="0.23622047244094491"/>
  <pageSetup paperSize="3" scale="49" fitToHeight="0" orientation="portrait" r:id="rId1"/>
  <headerFooter>
    <oddFooter xml:space="preserve">&amp;L&amp;10Version 1.0    © CERIU, 2023&amp;R&amp;10Onglet SOMMAIRE PGA Eau potable
Page &amp;P / &amp;N
</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47" id="{F97D1D94-2A34-490F-B53A-ADB46D711E29}">
            <xm:f>'CALCULS Eaux usées'!E$327&gt;4</xm:f>
            <x14:dxf>
              <fill>
                <patternFill>
                  <bgColor theme="9"/>
                </patternFill>
              </fill>
            </x14:dxf>
          </x14:cfRule>
          <xm:sqref>J147</xm:sqref>
        </x14:conditionalFormatting>
        <x14:conditionalFormatting xmlns:xm="http://schemas.microsoft.com/office/excel/2006/main">
          <x14:cfRule type="expression" priority="146" id="{CD846CA8-F2E9-4237-B406-5974ABA153BD}">
            <xm:f>'CALCULS Eaux usées'!E$327&gt;3</xm:f>
            <x14:dxf>
              <fill>
                <patternFill>
                  <bgColor theme="9"/>
                </patternFill>
              </fill>
            </x14:dxf>
          </x14:cfRule>
          <xm:sqref>J148</xm:sqref>
        </x14:conditionalFormatting>
        <x14:conditionalFormatting xmlns:xm="http://schemas.microsoft.com/office/excel/2006/main">
          <x14:cfRule type="expression" priority="145" id="{1CC086B7-0976-4F35-ABF3-A5BEBBD4984C}">
            <xm:f>'CALCULS Eaux usées'!E$327&gt;2</xm:f>
            <x14:dxf>
              <fill>
                <patternFill>
                  <bgColor theme="9"/>
                </patternFill>
              </fill>
            </x14:dxf>
          </x14:cfRule>
          <xm:sqref>J149</xm:sqref>
        </x14:conditionalFormatting>
        <x14:conditionalFormatting xmlns:xm="http://schemas.microsoft.com/office/excel/2006/main">
          <x14:cfRule type="expression" priority="144" id="{EECC9E5D-798E-4B28-8F4A-41262B7A93AC}">
            <xm:f>'CALCULS Eaux usées'!E$327&gt;1</xm:f>
            <x14:dxf>
              <fill>
                <patternFill>
                  <bgColor theme="9"/>
                </patternFill>
              </fill>
            </x14:dxf>
          </x14:cfRule>
          <xm:sqref>J150</xm:sqref>
        </x14:conditionalFormatting>
        <x14:conditionalFormatting xmlns:xm="http://schemas.microsoft.com/office/excel/2006/main">
          <x14:cfRule type="expression" priority="143" id="{B878A7FB-D5A7-4CB3-AC58-3D01AD9F8AAA}">
            <xm:f>'CALCULS Eaux usées'!E$327&gt;0</xm:f>
            <x14:dxf>
              <fill>
                <patternFill>
                  <bgColor theme="9"/>
                </patternFill>
              </fill>
            </x14:dxf>
          </x14:cfRule>
          <xm:sqref>J151</xm:sqref>
        </x14:conditionalFormatting>
        <x14:conditionalFormatting xmlns:xm="http://schemas.microsoft.com/office/excel/2006/main">
          <x14:cfRule type="expression" priority="152" id="{FD152F4C-169A-4C3C-97DA-83C893F74058}">
            <xm:f>'CALCULS Eaux usées'!F$327&gt;4</xm:f>
            <x14:dxf>
              <fill>
                <patternFill>
                  <bgColor theme="9"/>
                </patternFill>
              </fill>
            </x14:dxf>
          </x14:cfRule>
          <xm:sqref>L147</xm:sqref>
        </x14:conditionalFormatting>
        <x14:conditionalFormatting xmlns:xm="http://schemas.microsoft.com/office/excel/2006/main">
          <x14:cfRule type="expression" priority="151" id="{0FA477D0-7664-4E9C-833A-A55BBD91211E}">
            <xm:f>'CALCULS Eaux usées'!F$327&gt;3</xm:f>
            <x14:dxf>
              <fill>
                <patternFill>
                  <bgColor theme="9"/>
                </patternFill>
              </fill>
            </x14:dxf>
          </x14:cfRule>
          <xm:sqref>L148</xm:sqref>
        </x14:conditionalFormatting>
        <x14:conditionalFormatting xmlns:xm="http://schemas.microsoft.com/office/excel/2006/main">
          <x14:cfRule type="expression" priority="150" id="{48E7DFBF-6C1C-4D23-9C80-55ADAD20D5EA}">
            <xm:f>'CALCULS Eaux usées'!F$327&gt;2</xm:f>
            <x14:dxf>
              <fill>
                <patternFill>
                  <bgColor theme="9"/>
                </patternFill>
              </fill>
            </x14:dxf>
          </x14:cfRule>
          <xm:sqref>L149</xm:sqref>
        </x14:conditionalFormatting>
        <x14:conditionalFormatting xmlns:xm="http://schemas.microsoft.com/office/excel/2006/main">
          <x14:cfRule type="expression" priority="149" id="{FF3E95DA-043C-411C-96F2-DEB3E5101129}">
            <xm:f>'CALCULS Eaux usées'!F$327&gt;1</xm:f>
            <x14:dxf>
              <fill>
                <patternFill>
                  <bgColor theme="9"/>
                </patternFill>
              </fill>
            </x14:dxf>
          </x14:cfRule>
          <xm:sqref>L150</xm:sqref>
        </x14:conditionalFormatting>
        <x14:conditionalFormatting xmlns:xm="http://schemas.microsoft.com/office/excel/2006/main">
          <x14:cfRule type="expression" priority="148" id="{C008E04C-AE13-4313-A4DD-0C1D171766AE}">
            <xm:f>'CALCULS Eaux usées'!F$327&gt;0</xm:f>
            <x14:dxf>
              <fill>
                <patternFill>
                  <bgColor theme="9"/>
                </patternFill>
              </fill>
            </x14:dxf>
          </x14:cfRule>
          <xm:sqref>L151</xm:sqref>
        </x14:conditionalFormatting>
        <x14:conditionalFormatting xmlns:xm="http://schemas.microsoft.com/office/excel/2006/main">
          <x14:cfRule type="expression" priority="157" id="{1B9EF46C-E922-4447-B8F6-7FA1EE15154B}">
            <xm:f>'CALCULS Eaux usées'!G$327&gt;4</xm:f>
            <x14:dxf>
              <fill>
                <patternFill>
                  <bgColor theme="9"/>
                </patternFill>
              </fill>
            </x14:dxf>
          </x14:cfRule>
          <xm:sqref>N147</xm:sqref>
        </x14:conditionalFormatting>
        <x14:conditionalFormatting xmlns:xm="http://schemas.microsoft.com/office/excel/2006/main">
          <x14:cfRule type="expression" priority="156" id="{A6D83E10-7497-4447-AAB9-DB52241A40CC}">
            <xm:f>'CALCULS Eaux usées'!G$327&gt;3</xm:f>
            <x14:dxf>
              <fill>
                <patternFill>
                  <bgColor theme="9"/>
                </patternFill>
              </fill>
            </x14:dxf>
          </x14:cfRule>
          <xm:sqref>N148</xm:sqref>
        </x14:conditionalFormatting>
        <x14:conditionalFormatting xmlns:xm="http://schemas.microsoft.com/office/excel/2006/main">
          <x14:cfRule type="expression" priority="155" id="{6D039786-EEB3-4E8C-8A66-280605102A20}">
            <xm:f>'CALCULS Eaux usées'!G$327&gt;2</xm:f>
            <x14:dxf>
              <fill>
                <patternFill>
                  <bgColor theme="9"/>
                </patternFill>
              </fill>
            </x14:dxf>
          </x14:cfRule>
          <xm:sqref>N149</xm:sqref>
        </x14:conditionalFormatting>
        <x14:conditionalFormatting xmlns:xm="http://schemas.microsoft.com/office/excel/2006/main">
          <x14:cfRule type="expression" priority="154" id="{15F08AAF-595E-4E3F-A979-84BB337D1E07}">
            <xm:f>'CALCULS Eaux usées'!G$327&gt;1</xm:f>
            <x14:dxf>
              <fill>
                <patternFill>
                  <bgColor theme="9"/>
                </patternFill>
              </fill>
            </x14:dxf>
          </x14:cfRule>
          <xm:sqref>N150</xm:sqref>
        </x14:conditionalFormatting>
        <x14:conditionalFormatting xmlns:xm="http://schemas.microsoft.com/office/excel/2006/main">
          <x14:cfRule type="expression" priority="153" id="{CAAFC7DC-4A86-4D9A-A8B6-B556DC15F23A}">
            <xm:f>'CALCULS Eaux usées'!G$327&gt;0</xm:f>
            <x14:dxf>
              <fill>
                <patternFill>
                  <bgColor theme="9"/>
                </patternFill>
              </fill>
            </x14:dxf>
          </x14:cfRule>
          <xm:sqref>N151</xm:sqref>
        </x14:conditionalFormatting>
        <x14:conditionalFormatting xmlns:xm="http://schemas.microsoft.com/office/excel/2006/main">
          <x14:cfRule type="expression" priority="4612" id="{5C727D00-4A57-41A0-BDD8-B0C1426E28A2}">
            <xm:f>'CALCULS Eaux usées'!H$327&gt;4</xm:f>
            <x14:dxf>
              <fill>
                <patternFill>
                  <bgColor theme="9"/>
                </patternFill>
              </fill>
            </x14:dxf>
          </x14:cfRule>
          <xm:sqref>P147</xm:sqref>
        </x14:conditionalFormatting>
        <x14:conditionalFormatting xmlns:xm="http://schemas.microsoft.com/office/excel/2006/main">
          <x14:cfRule type="expression" priority="4613" id="{BB251CA3-8977-4435-92D0-72806A4CDE17}">
            <xm:f>'CALCULS Eaux usées'!H$327&gt;3</xm:f>
            <x14:dxf>
              <fill>
                <patternFill>
                  <bgColor theme="9"/>
                </patternFill>
              </fill>
            </x14:dxf>
          </x14:cfRule>
          <xm:sqref>P148</xm:sqref>
        </x14:conditionalFormatting>
        <x14:conditionalFormatting xmlns:xm="http://schemas.microsoft.com/office/excel/2006/main">
          <x14:cfRule type="expression" priority="4614" id="{A2537FA6-5489-46A0-889E-2D2BB81CFD0F}">
            <xm:f>'CALCULS Eaux usées'!H$327&gt;2</xm:f>
            <x14:dxf>
              <fill>
                <patternFill>
                  <bgColor theme="9"/>
                </patternFill>
              </fill>
            </x14:dxf>
          </x14:cfRule>
          <xm:sqref>P149</xm:sqref>
        </x14:conditionalFormatting>
        <x14:conditionalFormatting xmlns:xm="http://schemas.microsoft.com/office/excel/2006/main">
          <x14:cfRule type="expression" priority="4615" id="{C27E2711-6DFF-4A3B-BADF-F89842838C33}">
            <xm:f>'CALCULS Eaux usées'!H$327&gt;1</xm:f>
            <x14:dxf>
              <fill>
                <patternFill>
                  <bgColor theme="9"/>
                </patternFill>
              </fill>
            </x14:dxf>
          </x14:cfRule>
          <xm:sqref>P150</xm:sqref>
        </x14:conditionalFormatting>
        <x14:conditionalFormatting xmlns:xm="http://schemas.microsoft.com/office/excel/2006/main">
          <x14:cfRule type="expression" priority="4616" id="{2931344E-E475-4949-B17E-41AFFDE4F1EC}">
            <xm:f>'CALCULS Eaux usées'!H$327&gt;0</xm:f>
            <x14:dxf>
              <fill>
                <patternFill>
                  <bgColor theme="9"/>
                </patternFill>
              </fill>
            </x14:dxf>
          </x14:cfRule>
          <xm:sqref>P151</xm:sqref>
        </x14:conditionalFormatting>
        <x14:conditionalFormatting xmlns:xm="http://schemas.microsoft.com/office/excel/2006/main">
          <x14:cfRule type="expression" priority="4617" id="{F97D1D94-2A34-490F-B53A-ADB46D711E29}">
            <xm:f>'CALCULS Eaux usées'!I$327&gt;4</xm:f>
            <x14:dxf>
              <fill>
                <patternFill>
                  <bgColor theme="9"/>
                </patternFill>
              </fill>
            </x14:dxf>
          </x14:cfRule>
          <xm:sqref>R147</xm:sqref>
        </x14:conditionalFormatting>
        <x14:conditionalFormatting xmlns:xm="http://schemas.microsoft.com/office/excel/2006/main">
          <x14:cfRule type="expression" priority="4618" id="{CD846CA8-F2E9-4237-B406-5974ABA153BD}">
            <xm:f>'CALCULS Eaux usées'!I$327&gt;3</xm:f>
            <x14:dxf>
              <fill>
                <patternFill>
                  <bgColor theme="9"/>
                </patternFill>
              </fill>
            </x14:dxf>
          </x14:cfRule>
          <xm:sqref>R148</xm:sqref>
        </x14:conditionalFormatting>
        <x14:conditionalFormatting xmlns:xm="http://schemas.microsoft.com/office/excel/2006/main">
          <x14:cfRule type="expression" priority="4619" id="{1CC086B7-0976-4F35-ABF3-A5BEBBD4984C}">
            <xm:f>'CALCULS Eaux usées'!I$327&gt;2</xm:f>
            <x14:dxf>
              <fill>
                <patternFill>
                  <bgColor theme="9"/>
                </patternFill>
              </fill>
            </x14:dxf>
          </x14:cfRule>
          <xm:sqref>R149</xm:sqref>
        </x14:conditionalFormatting>
        <x14:conditionalFormatting xmlns:xm="http://schemas.microsoft.com/office/excel/2006/main">
          <x14:cfRule type="expression" priority="4620" id="{EECC9E5D-798E-4B28-8F4A-41262B7A93AC}">
            <xm:f>'CALCULS Eaux usées'!I$327&gt;1</xm:f>
            <x14:dxf>
              <fill>
                <patternFill>
                  <bgColor theme="9"/>
                </patternFill>
              </fill>
            </x14:dxf>
          </x14:cfRule>
          <xm:sqref>R150</xm:sqref>
        </x14:conditionalFormatting>
        <x14:conditionalFormatting xmlns:xm="http://schemas.microsoft.com/office/excel/2006/main">
          <x14:cfRule type="expression" priority="4621" id="{B878A7FB-D5A7-4CB3-AC58-3D01AD9F8AAA}">
            <xm:f>'CALCULS Eaux usées'!I$327&gt;0</xm:f>
            <x14:dxf>
              <fill>
                <patternFill>
                  <bgColor theme="9"/>
                </patternFill>
              </fill>
            </x14:dxf>
          </x14:cfRule>
          <xm:sqref>R151</xm:sqref>
        </x14:conditionalFormatting>
        <x14:conditionalFormatting xmlns:xm="http://schemas.microsoft.com/office/excel/2006/main">
          <x14:cfRule type="expression" priority="4622" id="{FD152F4C-169A-4C3C-97DA-83C893F74058}">
            <xm:f>'CALCULS Eaux usées'!J$327&gt;4</xm:f>
            <x14:dxf>
              <fill>
                <patternFill>
                  <bgColor theme="9"/>
                </patternFill>
              </fill>
            </x14:dxf>
          </x14:cfRule>
          <xm:sqref>T147</xm:sqref>
        </x14:conditionalFormatting>
        <x14:conditionalFormatting xmlns:xm="http://schemas.microsoft.com/office/excel/2006/main">
          <x14:cfRule type="expression" priority="4623" id="{0FA477D0-7664-4E9C-833A-A55BBD91211E}">
            <xm:f>'CALCULS Eaux usées'!J$327&gt;3</xm:f>
            <x14:dxf>
              <fill>
                <patternFill>
                  <bgColor theme="9"/>
                </patternFill>
              </fill>
            </x14:dxf>
          </x14:cfRule>
          <xm:sqref>T148</xm:sqref>
        </x14:conditionalFormatting>
        <x14:conditionalFormatting xmlns:xm="http://schemas.microsoft.com/office/excel/2006/main">
          <x14:cfRule type="expression" priority="4624" id="{48E7DFBF-6C1C-4D23-9C80-55ADAD20D5EA}">
            <xm:f>'CALCULS Eaux usées'!J$327&gt;2</xm:f>
            <x14:dxf>
              <fill>
                <patternFill>
                  <bgColor theme="9"/>
                </patternFill>
              </fill>
            </x14:dxf>
          </x14:cfRule>
          <xm:sqref>T149</xm:sqref>
        </x14:conditionalFormatting>
        <x14:conditionalFormatting xmlns:xm="http://schemas.microsoft.com/office/excel/2006/main">
          <x14:cfRule type="expression" priority="4625" id="{FF3E95DA-043C-411C-96F2-DEB3E5101129}">
            <xm:f>'CALCULS Eaux usées'!J$327&gt;1</xm:f>
            <x14:dxf>
              <fill>
                <patternFill>
                  <bgColor theme="9"/>
                </patternFill>
              </fill>
            </x14:dxf>
          </x14:cfRule>
          <xm:sqref>T150</xm:sqref>
        </x14:conditionalFormatting>
        <x14:conditionalFormatting xmlns:xm="http://schemas.microsoft.com/office/excel/2006/main">
          <x14:cfRule type="expression" priority="4626" id="{C008E04C-AE13-4313-A4DD-0C1D171766AE}">
            <xm:f>'CALCULS Eaux usées'!J$327&gt;0</xm:f>
            <x14:dxf>
              <fill>
                <patternFill>
                  <bgColor theme="9"/>
                </patternFill>
              </fill>
            </x14:dxf>
          </x14:cfRule>
          <xm:sqref>T151</xm:sqref>
        </x14:conditionalFormatting>
        <x14:conditionalFormatting xmlns:xm="http://schemas.microsoft.com/office/excel/2006/main">
          <x14:cfRule type="expression" priority="4627" id="{1B9EF46C-E922-4447-B8F6-7FA1EE15154B}">
            <xm:f>'CALCULS Eaux usées'!K$327&gt;4</xm:f>
            <x14:dxf>
              <fill>
                <patternFill>
                  <bgColor theme="9"/>
                </patternFill>
              </fill>
            </x14:dxf>
          </x14:cfRule>
          <xm:sqref>V147</xm:sqref>
        </x14:conditionalFormatting>
        <x14:conditionalFormatting xmlns:xm="http://schemas.microsoft.com/office/excel/2006/main">
          <x14:cfRule type="expression" priority="4628" id="{A6D83E10-7497-4447-AAB9-DB52241A40CC}">
            <xm:f>'CALCULS Eaux usées'!K$327&gt;3</xm:f>
            <x14:dxf>
              <fill>
                <patternFill>
                  <bgColor theme="9"/>
                </patternFill>
              </fill>
            </x14:dxf>
          </x14:cfRule>
          <xm:sqref>V148</xm:sqref>
        </x14:conditionalFormatting>
        <x14:conditionalFormatting xmlns:xm="http://schemas.microsoft.com/office/excel/2006/main">
          <x14:cfRule type="expression" priority="4629" id="{6D039786-EEB3-4E8C-8A66-280605102A20}">
            <xm:f>'CALCULS Eaux usées'!K$327&gt;2</xm:f>
            <x14:dxf>
              <fill>
                <patternFill>
                  <bgColor theme="9"/>
                </patternFill>
              </fill>
            </x14:dxf>
          </x14:cfRule>
          <xm:sqref>V149</xm:sqref>
        </x14:conditionalFormatting>
        <x14:conditionalFormatting xmlns:xm="http://schemas.microsoft.com/office/excel/2006/main">
          <x14:cfRule type="expression" priority="4630" id="{15F08AAF-595E-4E3F-A979-84BB337D1E07}">
            <xm:f>'CALCULS Eaux usées'!K$327&gt;1</xm:f>
            <x14:dxf>
              <fill>
                <patternFill>
                  <bgColor theme="9"/>
                </patternFill>
              </fill>
            </x14:dxf>
          </x14:cfRule>
          <xm:sqref>V150</xm:sqref>
        </x14:conditionalFormatting>
        <x14:conditionalFormatting xmlns:xm="http://schemas.microsoft.com/office/excel/2006/main">
          <x14:cfRule type="expression" priority="4631" id="{CAAFC7DC-4A86-4D9A-A8B6-B556DC15F23A}">
            <xm:f>'CALCULS Eaux usées'!K$327&gt;0</xm:f>
            <x14:dxf>
              <fill>
                <patternFill>
                  <bgColor theme="9"/>
                </patternFill>
              </fill>
            </x14:dxf>
          </x14:cfRule>
          <xm:sqref>V151</xm:sqref>
        </x14:conditionalFormatting>
        <x14:conditionalFormatting xmlns:xm="http://schemas.microsoft.com/office/excel/2006/main">
          <x14:cfRule type="expression" priority="4632" id="{005AF099-0635-476C-A064-38D8C6723917}">
            <xm:f>'CALCULS Eaux usées'!L$327&gt;4</xm:f>
            <x14:dxf>
              <fill>
                <patternFill>
                  <bgColor theme="9" tint="-0.499984740745262"/>
                </patternFill>
              </fill>
            </x14:dxf>
          </x14:cfRule>
          <xm:sqref>X147</xm:sqref>
        </x14:conditionalFormatting>
        <x14:conditionalFormatting xmlns:xm="http://schemas.microsoft.com/office/excel/2006/main">
          <x14:cfRule type="expression" priority="4633" id="{FD4A2E87-5F96-475D-B989-07E2FC807C7A}">
            <xm:f>'CALCULS Eaux usées'!L$327&gt;3</xm:f>
            <x14:dxf>
              <fill>
                <patternFill>
                  <bgColor theme="9" tint="-0.499984740745262"/>
                </patternFill>
              </fill>
            </x14:dxf>
          </x14:cfRule>
          <xm:sqref>X148</xm:sqref>
        </x14:conditionalFormatting>
        <x14:conditionalFormatting xmlns:xm="http://schemas.microsoft.com/office/excel/2006/main">
          <x14:cfRule type="expression" priority="4634" id="{D92EFDAE-AEDA-4518-8ABE-E869F0AB94CA}">
            <xm:f>'CALCULS Eaux usées'!L$327&gt;2</xm:f>
            <x14:dxf>
              <fill>
                <patternFill>
                  <bgColor theme="9" tint="-0.499984740745262"/>
                </patternFill>
              </fill>
            </x14:dxf>
          </x14:cfRule>
          <xm:sqref>X149</xm:sqref>
        </x14:conditionalFormatting>
        <x14:conditionalFormatting xmlns:xm="http://schemas.microsoft.com/office/excel/2006/main">
          <x14:cfRule type="expression" priority="4635" id="{7CA8F644-D83E-49FC-AC00-A231CB2A6A4C}">
            <xm:f>'CALCULS Eaux usées'!L$327&gt;1</xm:f>
            <x14:dxf>
              <fill>
                <patternFill>
                  <bgColor theme="9" tint="-0.499984740745262"/>
                </patternFill>
              </fill>
            </x14:dxf>
          </x14:cfRule>
          <xm:sqref>X150</xm:sqref>
        </x14:conditionalFormatting>
        <x14:conditionalFormatting xmlns:xm="http://schemas.microsoft.com/office/excel/2006/main">
          <x14:cfRule type="expression" priority="4636" id="{4E024B12-35BC-4547-A20C-8890DA8B877D}">
            <xm:f>'CALCULS Eaux usées'!L$327&gt;0</xm:f>
            <x14:dxf>
              <fill>
                <patternFill>
                  <bgColor theme="9" tint="-0.499984740745262"/>
                </patternFill>
              </fill>
            </x14:dxf>
          </x14:cfRule>
          <xm:sqref>X151</xm:sqref>
        </x14:conditionalFormatting>
        <x14:conditionalFormatting xmlns:xm="http://schemas.microsoft.com/office/excel/2006/main">
          <x14:cfRule type="expression" priority="107" id="{7EA2BFEC-D0ED-4FFD-83DE-7D683BDCB874}">
            <xm:f>'CALCULS Eaux usées'!E$329&gt;4</xm:f>
            <x14:dxf>
              <fill>
                <patternFill>
                  <bgColor theme="9"/>
                </patternFill>
              </fill>
            </x14:dxf>
          </x14:cfRule>
          <xm:sqref>Z147</xm:sqref>
        </x14:conditionalFormatting>
        <x14:conditionalFormatting xmlns:xm="http://schemas.microsoft.com/office/excel/2006/main">
          <x14:cfRule type="expression" priority="106" id="{3DEB476F-B65D-4B1F-B0A5-37EDCB05E86D}">
            <xm:f>'CALCULS Eaux usées'!E$329&gt;3</xm:f>
            <x14:dxf>
              <fill>
                <patternFill>
                  <bgColor theme="9"/>
                </patternFill>
              </fill>
            </x14:dxf>
          </x14:cfRule>
          <xm:sqref>Z148</xm:sqref>
        </x14:conditionalFormatting>
        <x14:conditionalFormatting xmlns:xm="http://schemas.microsoft.com/office/excel/2006/main">
          <x14:cfRule type="expression" priority="105" id="{A4A1BA57-AE7E-4FAD-99B2-E104A9E3AA06}">
            <xm:f>'CALCULS Eaux usées'!E$329&gt;2</xm:f>
            <x14:dxf>
              <fill>
                <patternFill>
                  <bgColor theme="9"/>
                </patternFill>
              </fill>
            </x14:dxf>
          </x14:cfRule>
          <xm:sqref>Z149</xm:sqref>
        </x14:conditionalFormatting>
        <x14:conditionalFormatting xmlns:xm="http://schemas.microsoft.com/office/excel/2006/main">
          <x14:cfRule type="expression" priority="104" id="{2905BA54-14E8-4C44-BD65-B0F8B5F4ACCD}">
            <xm:f>'CALCULS Eaux usées'!E$329&gt;1</xm:f>
            <x14:dxf>
              <fill>
                <patternFill>
                  <bgColor theme="9"/>
                </patternFill>
              </fill>
            </x14:dxf>
          </x14:cfRule>
          <xm:sqref>Z150</xm:sqref>
        </x14:conditionalFormatting>
        <x14:conditionalFormatting xmlns:xm="http://schemas.microsoft.com/office/excel/2006/main">
          <x14:cfRule type="expression" priority="103" id="{27EFB63A-C21E-478B-A4AB-EBAFD0D0A8B7}">
            <xm:f>'CALCULS Eaux usées'!E$329&gt;0</xm:f>
            <x14:dxf>
              <fill>
                <patternFill>
                  <bgColor theme="9"/>
                </patternFill>
              </fill>
            </x14:dxf>
          </x14:cfRule>
          <xm:sqref>Z151</xm:sqref>
        </x14:conditionalFormatting>
        <x14:conditionalFormatting xmlns:xm="http://schemas.microsoft.com/office/excel/2006/main">
          <x14:cfRule type="expression" priority="112" id="{3729DAFA-9D07-48E6-ABAA-DFA849683D3C}">
            <xm:f>'CALCULS Eaux usées'!F$329&gt;4</xm:f>
            <x14:dxf>
              <fill>
                <patternFill>
                  <bgColor theme="9"/>
                </patternFill>
              </fill>
            </x14:dxf>
          </x14:cfRule>
          <xm:sqref>AB147</xm:sqref>
        </x14:conditionalFormatting>
        <x14:conditionalFormatting xmlns:xm="http://schemas.microsoft.com/office/excel/2006/main">
          <x14:cfRule type="expression" priority="111" id="{ED546994-E31F-4993-BEEB-C1DE54709B61}">
            <xm:f>'CALCULS Eaux usées'!F$329&gt;3</xm:f>
            <x14:dxf>
              <fill>
                <patternFill>
                  <bgColor theme="9"/>
                </patternFill>
              </fill>
            </x14:dxf>
          </x14:cfRule>
          <xm:sqref>AB148</xm:sqref>
        </x14:conditionalFormatting>
        <x14:conditionalFormatting xmlns:xm="http://schemas.microsoft.com/office/excel/2006/main">
          <x14:cfRule type="expression" priority="110" id="{28C7CFC9-438A-4A7B-BD80-0803E8ABDB84}">
            <xm:f>'CALCULS Eaux usées'!F$329&gt;2</xm:f>
            <x14:dxf>
              <fill>
                <patternFill>
                  <bgColor theme="9"/>
                </patternFill>
              </fill>
            </x14:dxf>
          </x14:cfRule>
          <xm:sqref>AB149</xm:sqref>
        </x14:conditionalFormatting>
        <x14:conditionalFormatting xmlns:xm="http://schemas.microsoft.com/office/excel/2006/main">
          <x14:cfRule type="expression" priority="109" id="{BC744604-0398-4900-B819-BA71CCEFC066}">
            <xm:f>'CALCULS Eaux usées'!F$329&gt;1</xm:f>
            <x14:dxf>
              <fill>
                <patternFill>
                  <bgColor theme="9"/>
                </patternFill>
              </fill>
            </x14:dxf>
          </x14:cfRule>
          <xm:sqref>AB150</xm:sqref>
        </x14:conditionalFormatting>
        <x14:conditionalFormatting xmlns:xm="http://schemas.microsoft.com/office/excel/2006/main">
          <x14:cfRule type="expression" priority="108" id="{D57499FA-EB69-404B-B93D-0D881D85747F}">
            <xm:f>'CALCULS Eaux usées'!F$329&gt;0</xm:f>
            <x14:dxf>
              <fill>
                <patternFill>
                  <bgColor theme="9"/>
                </patternFill>
              </fill>
            </x14:dxf>
          </x14:cfRule>
          <xm:sqref>AB151</xm:sqref>
        </x14:conditionalFormatting>
        <x14:conditionalFormatting xmlns:xm="http://schemas.microsoft.com/office/excel/2006/main">
          <x14:cfRule type="expression" priority="117" id="{70688E0B-EEA8-4B10-BF2F-AE92A1DD21A3}">
            <xm:f>'CALCULS Eaux usées'!G$329&gt;4</xm:f>
            <x14:dxf>
              <fill>
                <patternFill>
                  <bgColor theme="9"/>
                </patternFill>
              </fill>
            </x14:dxf>
          </x14:cfRule>
          <xm:sqref>AD147</xm:sqref>
        </x14:conditionalFormatting>
        <x14:conditionalFormatting xmlns:xm="http://schemas.microsoft.com/office/excel/2006/main">
          <x14:cfRule type="expression" priority="116" id="{7D12BDD2-7819-4B87-9389-44F6A51F769A}">
            <xm:f>'CALCULS Eaux usées'!G$329&gt;3</xm:f>
            <x14:dxf>
              <fill>
                <patternFill>
                  <bgColor theme="9"/>
                </patternFill>
              </fill>
            </x14:dxf>
          </x14:cfRule>
          <xm:sqref>AD148</xm:sqref>
        </x14:conditionalFormatting>
        <x14:conditionalFormatting xmlns:xm="http://schemas.microsoft.com/office/excel/2006/main">
          <x14:cfRule type="expression" priority="115" id="{CFDBA2D9-3F75-4A59-B769-59E6398B40AA}">
            <xm:f>'CALCULS Eaux usées'!G$329&gt;2</xm:f>
            <x14:dxf>
              <fill>
                <patternFill>
                  <bgColor theme="9"/>
                </patternFill>
              </fill>
            </x14:dxf>
          </x14:cfRule>
          <xm:sqref>AD149</xm:sqref>
        </x14:conditionalFormatting>
        <x14:conditionalFormatting xmlns:xm="http://schemas.microsoft.com/office/excel/2006/main">
          <x14:cfRule type="expression" priority="114" id="{0461101E-CA29-4A01-9268-798A2662749E}">
            <xm:f>'CALCULS Eaux usées'!G$329&gt;1</xm:f>
            <x14:dxf>
              <fill>
                <patternFill>
                  <bgColor theme="9"/>
                </patternFill>
              </fill>
            </x14:dxf>
          </x14:cfRule>
          <xm:sqref>AD150</xm:sqref>
        </x14:conditionalFormatting>
        <x14:conditionalFormatting xmlns:xm="http://schemas.microsoft.com/office/excel/2006/main">
          <x14:cfRule type="expression" priority="113" id="{D3388F58-6FBB-4F0C-9FE4-142BD6DCD812}">
            <xm:f>'CALCULS Eaux usées'!G$329&gt;0</xm:f>
            <x14:dxf>
              <fill>
                <patternFill>
                  <bgColor theme="9"/>
                </patternFill>
              </fill>
            </x14:dxf>
          </x14:cfRule>
          <xm:sqref>AD151</xm:sqref>
        </x14:conditionalFormatting>
        <x14:conditionalFormatting xmlns:xm="http://schemas.microsoft.com/office/excel/2006/main">
          <x14:cfRule type="expression" priority="4948" id="{76959455-DA04-4617-B135-5E0CB30BA537}">
            <xm:f>'CALCULS Eaux usées'!H$329&gt;4</xm:f>
            <x14:dxf>
              <fill>
                <patternFill>
                  <bgColor theme="9"/>
                </patternFill>
              </fill>
            </x14:dxf>
          </x14:cfRule>
          <xm:sqref>AF147</xm:sqref>
        </x14:conditionalFormatting>
        <x14:conditionalFormatting xmlns:xm="http://schemas.microsoft.com/office/excel/2006/main">
          <x14:cfRule type="expression" priority="4949" id="{D1AC1E50-47A0-4FF3-BE48-143EE9A2C519}">
            <xm:f>'CALCULS Eaux usées'!H$329&gt;3</xm:f>
            <x14:dxf>
              <fill>
                <patternFill>
                  <bgColor theme="9"/>
                </patternFill>
              </fill>
            </x14:dxf>
          </x14:cfRule>
          <xm:sqref>AF148</xm:sqref>
        </x14:conditionalFormatting>
        <x14:conditionalFormatting xmlns:xm="http://schemas.microsoft.com/office/excel/2006/main">
          <x14:cfRule type="expression" priority="4950" id="{F497A5D3-7F06-4F2C-964D-0AA30A020750}">
            <xm:f>'CALCULS Eaux usées'!H$329&gt;2</xm:f>
            <x14:dxf>
              <fill>
                <patternFill>
                  <bgColor theme="9"/>
                </patternFill>
              </fill>
            </x14:dxf>
          </x14:cfRule>
          <xm:sqref>AF149</xm:sqref>
        </x14:conditionalFormatting>
        <x14:conditionalFormatting xmlns:xm="http://schemas.microsoft.com/office/excel/2006/main">
          <x14:cfRule type="expression" priority="4951" id="{83C35177-F4BB-4795-82C7-C93D3C2D1165}">
            <xm:f>'CALCULS Eaux usées'!H$329&gt;1</xm:f>
            <x14:dxf>
              <fill>
                <patternFill>
                  <bgColor theme="9"/>
                </patternFill>
              </fill>
            </x14:dxf>
          </x14:cfRule>
          <xm:sqref>AF150</xm:sqref>
        </x14:conditionalFormatting>
        <x14:conditionalFormatting xmlns:xm="http://schemas.microsoft.com/office/excel/2006/main">
          <x14:cfRule type="expression" priority="4952" id="{F63F1E54-7896-4678-B42F-462D5A57C19B}">
            <xm:f>'CALCULS Eaux usées'!H$329&gt;0</xm:f>
            <x14:dxf>
              <fill>
                <patternFill>
                  <bgColor theme="9"/>
                </patternFill>
              </fill>
            </x14:dxf>
          </x14:cfRule>
          <xm:sqref>AF151</xm:sqref>
        </x14:conditionalFormatting>
        <x14:conditionalFormatting xmlns:xm="http://schemas.microsoft.com/office/excel/2006/main">
          <x14:cfRule type="expression" priority="4953" id="{7EA2BFEC-D0ED-4FFD-83DE-7D683BDCB874}">
            <xm:f>'CALCULS Eaux usées'!I$329&gt;4</xm:f>
            <x14:dxf>
              <fill>
                <patternFill>
                  <bgColor theme="9"/>
                </patternFill>
              </fill>
            </x14:dxf>
          </x14:cfRule>
          <xm:sqref>AH147</xm:sqref>
        </x14:conditionalFormatting>
        <x14:conditionalFormatting xmlns:xm="http://schemas.microsoft.com/office/excel/2006/main">
          <x14:cfRule type="expression" priority="4954" id="{3DEB476F-B65D-4B1F-B0A5-37EDCB05E86D}">
            <xm:f>'CALCULS Eaux usées'!I$329&gt;3</xm:f>
            <x14:dxf>
              <fill>
                <patternFill>
                  <bgColor theme="9"/>
                </patternFill>
              </fill>
            </x14:dxf>
          </x14:cfRule>
          <xm:sqref>AH148</xm:sqref>
        </x14:conditionalFormatting>
        <x14:conditionalFormatting xmlns:xm="http://schemas.microsoft.com/office/excel/2006/main">
          <x14:cfRule type="expression" priority="4955" id="{A4A1BA57-AE7E-4FAD-99B2-E104A9E3AA06}">
            <xm:f>'CALCULS Eaux usées'!I$329&gt;2</xm:f>
            <x14:dxf>
              <fill>
                <patternFill>
                  <bgColor theme="9"/>
                </patternFill>
              </fill>
            </x14:dxf>
          </x14:cfRule>
          <xm:sqref>AH149</xm:sqref>
        </x14:conditionalFormatting>
        <x14:conditionalFormatting xmlns:xm="http://schemas.microsoft.com/office/excel/2006/main">
          <x14:cfRule type="expression" priority="4956" id="{2905BA54-14E8-4C44-BD65-B0F8B5F4ACCD}">
            <xm:f>'CALCULS Eaux usées'!I$329&gt;1</xm:f>
            <x14:dxf>
              <fill>
                <patternFill>
                  <bgColor theme="9"/>
                </patternFill>
              </fill>
            </x14:dxf>
          </x14:cfRule>
          <xm:sqref>AH150</xm:sqref>
        </x14:conditionalFormatting>
        <x14:conditionalFormatting xmlns:xm="http://schemas.microsoft.com/office/excel/2006/main">
          <x14:cfRule type="expression" priority="4957" id="{27EFB63A-C21E-478B-A4AB-EBAFD0D0A8B7}">
            <xm:f>'CALCULS Eaux usées'!I$329&gt;0</xm:f>
            <x14:dxf>
              <fill>
                <patternFill>
                  <bgColor theme="9"/>
                </patternFill>
              </fill>
            </x14:dxf>
          </x14:cfRule>
          <xm:sqref>AH151</xm:sqref>
        </x14:conditionalFormatting>
        <x14:conditionalFormatting xmlns:xm="http://schemas.microsoft.com/office/excel/2006/main">
          <x14:cfRule type="expression" priority="4958" id="{3729DAFA-9D07-48E6-ABAA-DFA849683D3C}">
            <xm:f>'CALCULS Eaux usées'!J$329&gt;4</xm:f>
            <x14:dxf>
              <fill>
                <patternFill>
                  <bgColor theme="9"/>
                </patternFill>
              </fill>
            </x14:dxf>
          </x14:cfRule>
          <xm:sqref>AJ147</xm:sqref>
        </x14:conditionalFormatting>
        <x14:conditionalFormatting xmlns:xm="http://schemas.microsoft.com/office/excel/2006/main">
          <x14:cfRule type="expression" priority="4959" id="{ED546994-E31F-4993-BEEB-C1DE54709B61}">
            <xm:f>'CALCULS Eaux usées'!J$329&gt;3</xm:f>
            <x14:dxf>
              <fill>
                <patternFill>
                  <bgColor theme="9"/>
                </patternFill>
              </fill>
            </x14:dxf>
          </x14:cfRule>
          <xm:sqref>AJ148</xm:sqref>
        </x14:conditionalFormatting>
        <x14:conditionalFormatting xmlns:xm="http://schemas.microsoft.com/office/excel/2006/main">
          <x14:cfRule type="expression" priority="4960" id="{28C7CFC9-438A-4A7B-BD80-0803E8ABDB84}">
            <xm:f>'CALCULS Eaux usées'!J$329&gt;2</xm:f>
            <x14:dxf>
              <fill>
                <patternFill>
                  <bgColor theme="9"/>
                </patternFill>
              </fill>
            </x14:dxf>
          </x14:cfRule>
          <xm:sqref>AJ149</xm:sqref>
        </x14:conditionalFormatting>
        <x14:conditionalFormatting xmlns:xm="http://schemas.microsoft.com/office/excel/2006/main">
          <x14:cfRule type="expression" priority="4961" id="{BC744604-0398-4900-B819-BA71CCEFC066}">
            <xm:f>'CALCULS Eaux usées'!J$329&gt;1</xm:f>
            <x14:dxf>
              <fill>
                <patternFill>
                  <bgColor theme="9"/>
                </patternFill>
              </fill>
            </x14:dxf>
          </x14:cfRule>
          <xm:sqref>AJ150</xm:sqref>
        </x14:conditionalFormatting>
        <x14:conditionalFormatting xmlns:xm="http://schemas.microsoft.com/office/excel/2006/main">
          <x14:cfRule type="expression" priority="4962" id="{D57499FA-EB69-404B-B93D-0D881D85747F}">
            <xm:f>'CALCULS Eaux usées'!J$329&gt;0</xm:f>
            <x14:dxf>
              <fill>
                <patternFill>
                  <bgColor theme="9"/>
                </patternFill>
              </fill>
            </x14:dxf>
          </x14:cfRule>
          <xm:sqref>AJ151</xm:sqref>
        </x14:conditionalFormatting>
        <x14:conditionalFormatting xmlns:xm="http://schemas.microsoft.com/office/excel/2006/main">
          <x14:cfRule type="expression" priority="4963" id="{70688E0B-EEA8-4B10-BF2F-AE92A1DD21A3}">
            <xm:f>'CALCULS Eaux usées'!K$329&gt;4</xm:f>
            <x14:dxf>
              <fill>
                <patternFill>
                  <bgColor theme="9"/>
                </patternFill>
              </fill>
            </x14:dxf>
          </x14:cfRule>
          <xm:sqref>AL147</xm:sqref>
        </x14:conditionalFormatting>
        <x14:conditionalFormatting xmlns:xm="http://schemas.microsoft.com/office/excel/2006/main">
          <x14:cfRule type="expression" priority="4964" id="{7D12BDD2-7819-4B87-9389-44F6A51F769A}">
            <xm:f>'CALCULS Eaux usées'!K$329&gt;3</xm:f>
            <x14:dxf>
              <fill>
                <patternFill>
                  <bgColor theme="9"/>
                </patternFill>
              </fill>
            </x14:dxf>
          </x14:cfRule>
          <xm:sqref>AL148</xm:sqref>
        </x14:conditionalFormatting>
        <x14:conditionalFormatting xmlns:xm="http://schemas.microsoft.com/office/excel/2006/main">
          <x14:cfRule type="expression" priority="4965" id="{CFDBA2D9-3F75-4A59-B769-59E6398B40AA}">
            <xm:f>'CALCULS Eaux usées'!K$329&gt;2</xm:f>
            <x14:dxf>
              <fill>
                <patternFill>
                  <bgColor theme="9"/>
                </patternFill>
              </fill>
            </x14:dxf>
          </x14:cfRule>
          <xm:sqref>AL149</xm:sqref>
        </x14:conditionalFormatting>
        <x14:conditionalFormatting xmlns:xm="http://schemas.microsoft.com/office/excel/2006/main">
          <x14:cfRule type="expression" priority="4966" id="{0461101E-CA29-4A01-9268-798A2662749E}">
            <xm:f>'CALCULS Eaux usées'!K$329&gt;1</xm:f>
            <x14:dxf>
              <fill>
                <patternFill>
                  <bgColor theme="9"/>
                </patternFill>
              </fill>
            </x14:dxf>
          </x14:cfRule>
          <xm:sqref>AL150</xm:sqref>
        </x14:conditionalFormatting>
        <x14:conditionalFormatting xmlns:xm="http://schemas.microsoft.com/office/excel/2006/main">
          <x14:cfRule type="expression" priority="4967" id="{D3388F58-6FBB-4F0C-9FE4-142BD6DCD812}">
            <xm:f>'CALCULS Eaux usées'!K$329&gt;0</xm:f>
            <x14:dxf>
              <fill>
                <patternFill>
                  <bgColor theme="9"/>
                </patternFill>
              </fill>
            </x14:dxf>
          </x14:cfRule>
          <xm:sqref>AL151</xm:sqref>
        </x14:conditionalFormatting>
        <x14:conditionalFormatting xmlns:xm="http://schemas.microsoft.com/office/excel/2006/main">
          <x14:cfRule type="expression" priority="4968" id="{69EE509F-CA81-4270-9ECF-AB23E669E4E6}">
            <xm:f>'CALCULS Eaux usées'!L$329&gt;4</xm:f>
            <x14:dxf>
              <fill>
                <patternFill>
                  <bgColor theme="9" tint="-0.499984740745262"/>
                </patternFill>
              </fill>
            </x14:dxf>
          </x14:cfRule>
          <xm:sqref>AN147</xm:sqref>
        </x14:conditionalFormatting>
        <x14:conditionalFormatting xmlns:xm="http://schemas.microsoft.com/office/excel/2006/main">
          <x14:cfRule type="expression" priority="4969" id="{0A475F59-D4CA-4167-BBA8-07EF602CFC77}">
            <xm:f>'CALCULS Eaux usées'!L$329&gt;3</xm:f>
            <x14:dxf>
              <fill>
                <patternFill>
                  <bgColor theme="9" tint="-0.499984740745262"/>
                </patternFill>
              </fill>
            </x14:dxf>
          </x14:cfRule>
          <xm:sqref>AN148</xm:sqref>
        </x14:conditionalFormatting>
        <x14:conditionalFormatting xmlns:xm="http://schemas.microsoft.com/office/excel/2006/main">
          <x14:cfRule type="expression" priority="4970" id="{85A294D7-AA93-4923-85A7-D9C621B46E43}">
            <xm:f>'CALCULS Eaux usées'!L$329&gt;2</xm:f>
            <x14:dxf>
              <fill>
                <patternFill>
                  <bgColor theme="9" tint="-0.499984740745262"/>
                </patternFill>
              </fill>
            </x14:dxf>
          </x14:cfRule>
          <xm:sqref>AN149</xm:sqref>
        </x14:conditionalFormatting>
        <x14:conditionalFormatting xmlns:xm="http://schemas.microsoft.com/office/excel/2006/main">
          <x14:cfRule type="expression" priority="4971" id="{861D8E38-1F40-4859-BB54-0357F49EC50D}">
            <xm:f>'CALCULS Eaux usées'!L$329&gt;1</xm:f>
            <x14:dxf>
              <fill>
                <patternFill>
                  <bgColor theme="9" tint="-0.499984740745262"/>
                </patternFill>
              </fill>
            </x14:dxf>
          </x14:cfRule>
          <xm:sqref>AN150</xm:sqref>
        </x14:conditionalFormatting>
        <x14:conditionalFormatting xmlns:xm="http://schemas.microsoft.com/office/excel/2006/main">
          <x14:cfRule type="expression" priority="4972" id="{120F16DB-0C06-4199-8748-90DA5F52AB1C}">
            <xm:f>'CALCULS Eaux usées'!L$329&gt;0</xm:f>
            <x14:dxf>
              <fill>
                <patternFill>
                  <bgColor theme="9" tint="-0.499984740745262"/>
                </patternFill>
              </fill>
            </x14:dxf>
          </x14:cfRule>
          <xm:sqref>AN151</xm:sqref>
        </x14:conditionalFormatting>
        <x14:conditionalFormatting xmlns:xm="http://schemas.microsoft.com/office/excel/2006/main">
          <x14:cfRule type="expression" priority="179" id="{A9A4660E-72FB-40A0-8797-4F06670298B3}">
            <xm:f>OR('CALCULS Eaux usées'!$I$105=1,'CALCULS Eaux usées'!$I$105=4)</xm:f>
            <x14:dxf>
              <fill>
                <patternFill>
                  <bgColor rgb="FF7030A0"/>
                </patternFill>
              </fill>
            </x14:dxf>
          </x14:cfRule>
          <xm:sqref>BA61:BM61</xm:sqref>
        </x14:conditionalFormatting>
        <x14:conditionalFormatting xmlns:xm="http://schemas.microsoft.com/office/excel/2006/main">
          <x14:cfRule type="expression" priority="180" id="{C41BA701-5884-4655-B219-6D469C1F9C29}">
            <xm:f>OR('CALCULS Eaux usées'!$I$106=1,'CALCULS Eaux usées'!$I$106=4)</xm:f>
            <x14:dxf>
              <fill>
                <patternFill>
                  <bgColor rgb="FF7030A0"/>
                </patternFill>
              </fill>
            </x14:dxf>
          </x14:cfRule>
          <xm:sqref>BA63:BM63</xm:sqref>
        </x14:conditionalFormatting>
        <x14:conditionalFormatting xmlns:xm="http://schemas.microsoft.com/office/excel/2006/main">
          <x14:cfRule type="expression" priority="178" id="{36B75C88-9A87-4393-A2E4-5E5BE3FC9C53}">
            <xm:f>OR('CALCULS Eaux usées'!$I$107=1,'CALCULS Eaux usées'!$I$107=4)</xm:f>
            <x14:dxf>
              <fill>
                <patternFill>
                  <bgColor rgb="FF7030A0"/>
                </patternFill>
              </fill>
            </x14:dxf>
          </x14:cfRule>
          <xm:sqref>BA65:BM65</xm:sqref>
        </x14:conditionalFormatting>
        <x14:conditionalFormatting xmlns:xm="http://schemas.microsoft.com/office/excel/2006/main">
          <x14:cfRule type="expression" priority="177" id="{2612B871-7DDB-4348-A9DE-793B65734E8A}">
            <xm:f>OR('CALCULS Eaux usées'!$I$108=1,'CALCULS Eaux usées'!$I$108=4)</xm:f>
            <x14:dxf>
              <fill>
                <patternFill>
                  <bgColor rgb="FF7030A0"/>
                </patternFill>
              </fill>
            </x14:dxf>
          </x14:cfRule>
          <xm:sqref>BA67:BM67</xm:sqref>
        </x14:conditionalFormatting>
        <x14:conditionalFormatting xmlns:xm="http://schemas.microsoft.com/office/excel/2006/main">
          <x14:cfRule type="expression" priority="176" id="{7B00CAAC-887E-42C6-9E1D-D5E721DED29D}">
            <xm:f>OR('CALCULS Eaux usées'!$I$109=1,'CALCULS Eaux usées'!$I$109=4)</xm:f>
            <x14:dxf>
              <fill>
                <patternFill>
                  <bgColor rgb="FF7030A0"/>
                </patternFill>
              </fill>
            </x14:dxf>
          </x14:cfRule>
          <xm:sqref>BA69:BM69</xm:sqref>
        </x14:conditionalFormatting>
        <x14:conditionalFormatting xmlns:xm="http://schemas.microsoft.com/office/excel/2006/main">
          <x14:cfRule type="expression" priority="175" id="{C8569A09-6BF7-45A3-A13F-4FABDAB066F3}">
            <xm:f>OR('CALCULS Eaux usées'!$I$110=1,'CALCULS Eaux usées'!$I$110=4)</xm:f>
            <x14:dxf>
              <fill>
                <patternFill>
                  <bgColor rgb="FF7030A0"/>
                </patternFill>
              </fill>
            </x14:dxf>
          </x14:cfRule>
          <xm:sqref>BA71:BM71</xm:sqref>
        </x14:conditionalFormatting>
        <x14:conditionalFormatting xmlns:xm="http://schemas.microsoft.com/office/excel/2006/main">
          <x14:cfRule type="expression" priority="5274" id="{D3502121-034E-4994-A29C-11A59B38C603}">
            <xm:f>'CALCULS Eaux usées'!E$339&gt;4</xm:f>
            <x14:dxf>
              <fill>
                <patternFill>
                  <bgColor rgb="FF428BCE"/>
                </patternFill>
              </fill>
            </x14:dxf>
          </x14:cfRule>
          <xm:sqref>BC147</xm:sqref>
        </x14:conditionalFormatting>
        <x14:conditionalFormatting xmlns:xm="http://schemas.microsoft.com/office/excel/2006/main">
          <x14:cfRule type="expression" priority="5275" id="{312F9510-F3E9-400A-B077-5DFE9FCED0E0}">
            <xm:f>'CALCULS Eaux usées'!E$339&gt;3</xm:f>
            <x14:dxf>
              <fill>
                <patternFill>
                  <bgColor rgb="FF428BCE"/>
                </patternFill>
              </fill>
            </x14:dxf>
          </x14:cfRule>
          <xm:sqref>BC148</xm:sqref>
        </x14:conditionalFormatting>
        <x14:conditionalFormatting xmlns:xm="http://schemas.microsoft.com/office/excel/2006/main">
          <x14:cfRule type="expression" priority="5276" id="{7418A38A-3F0E-4963-8FD2-4C93BC5DF51B}">
            <xm:f>'CALCULS Eaux usées'!E$339&gt;2</xm:f>
            <x14:dxf>
              <fill>
                <patternFill>
                  <bgColor rgb="FF428BCE"/>
                </patternFill>
              </fill>
            </x14:dxf>
          </x14:cfRule>
          <xm:sqref>BC149</xm:sqref>
        </x14:conditionalFormatting>
        <x14:conditionalFormatting xmlns:xm="http://schemas.microsoft.com/office/excel/2006/main">
          <x14:cfRule type="expression" priority="5277" id="{8C324178-4E06-416D-8448-D4853E51F338}">
            <xm:f>'CALCULS Eaux usées'!E$339&gt;1</xm:f>
            <x14:dxf>
              <fill>
                <patternFill>
                  <bgColor rgb="FF428BCE"/>
                </patternFill>
              </fill>
            </x14:dxf>
          </x14:cfRule>
          <xm:sqref>BC150</xm:sqref>
        </x14:conditionalFormatting>
        <x14:conditionalFormatting xmlns:xm="http://schemas.microsoft.com/office/excel/2006/main">
          <x14:cfRule type="expression" priority="5278" id="{7C5A1134-07C1-46BE-B907-A3388C05E629}">
            <xm:f>'CALCULS Eaux usées'!E$339&gt;0</xm:f>
            <x14:dxf>
              <fill>
                <patternFill>
                  <bgColor rgb="FF428BCE"/>
                </patternFill>
              </fill>
            </x14:dxf>
          </x14:cfRule>
          <xm:sqref>BC151</xm:sqref>
        </x14:conditionalFormatting>
        <x14:conditionalFormatting xmlns:xm="http://schemas.microsoft.com/office/excel/2006/main">
          <x14:cfRule type="expression" priority="5279" id="{E5AD0838-8784-4167-8816-EDEEDBFEBB35}">
            <xm:f>'CALCULS Eaux usées'!F$339&gt;4</xm:f>
            <x14:dxf>
              <fill>
                <patternFill>
                  <bgColor rgb="FF428BCE"/>
                </patternFill>
              </fill>
            </x14:dxf>
          </x14:cfRule>
          <xm:sqref>BE147</xm:sqref>
        </x14:conditionalFormatting>
        <x14:conditionalFormatting xmlns:xm="http://schemas.microsoft.com/office/excel/2006/main">
          <x14:cfRule type="expression" priority="5280" id="{CB745A02-7CD8-4B7A-862D-6A5C28D00D74}">
            <xm:f>'CALCULS Eaux usées'!F$339&gt;3</xm:f>
            <x14:dxf>
              <fill>
                <patternFill>
                  <bgColor rgb="FF428BCE"/>
                </patternFill>
              </fill>
            </x14:dxf>
          </x14:cfRule>
          <xm:sqref>BE148</xm:sqref>
        </x14:conditionalFormatting>
        <x14:conditionalFormatting xmlns:xm="http://schemas.microsoft.com/office/excel/2006/main">
          <x14:cfRule type="expression" priority="5281" id="{E16A4921-78B1-43DB-90A8-D2C0B5C587E8}">
            <xm:f>'CALCULS Eaux usées'!F$339&gt;2</xm:f>
            <x14:dxf>
              <fill>
                <patternFill>
                  <bgColor rgb="FF428BCE"/>
                </patternFill>
              </fill>
            </x14:dxf>
          </x14:cfRule>
          <xm:sqref>BE149</xm:sqref>
        </x14:conditionalFormatting>
        <x14:conditionalFormatting xmlns:xm="http://schemas.microsoft.com/office/excel/2006/main">
          <x14:cfRule type="expression" priority="5282" id="{7ADE4FC2-E500-4EC5-B769-838080E579E4}">
            <xm:f>'CALCULS Eaux usées'!F$339&gt;1</xm:f>
            <x14:dxf>
              <fill>
                <patternFill>
                  <bgColor rgb="FF428BCE"/>
                </patternFill>
              </fill>
            </x14:dxf>
          </x14:cfRule>
          <xm:sqref>BE150</xm:sqref>
        </x14:conditionalFormatting>
        <x14:conditionalFormatting xmlns:xm="http://schemas.microsoft.com/office/excel/2006/main">
          <x14:cfRule type="expression" priority="5283" id="{16956F3F-E173-4F24-A0B3-13741DF4D6EE}">
            <xm:f>'CALCULS Eaux usées'!F$339&gt;0</xm:f>
            <x14:dxf>
              <fill>
                <patternFill>
                  <bgColor rgb="FF428BCE"/>
                </patternFill>
              </fill>
            </x14:dxf>
          </x14:cfRule>
          <xm:sqref>BE151</xm:sqref>
        </x14:conditionalFormatting>
        <x14:conditionalFormatting xmlns:xm="http://schemas.microsoft.com/office/excel/2006/main">
          <x14:cfRule type="expression" priority="5284" id="{BFCE43DE-F7E7-4D5B-BB4C-6E493BA4C293}">
            <xm:f>'CALCULS Eaux usées'!G$339&gt;4</xm:f>
            <x14:dxf>
              <fill>
                <patternFill>
                  <bgColor rgb="FF428BCE"/>
                </patternFill>
              </fill>
            </x14:dxf>
          </x14:cfRule>
          <xm:sqref>BG147</xm:sqref>
        </x14:conditionalFormatting>
        <x14:conditionalFormatting xmlns:xm="http://schemas.microsoft.com/office/excel/2006/main">
          <x14:cfRule type="expression" priority="5285" id="{4C7EF489-16CA-4B13-897C-0667B4EC78B9}">
            <xm:f>'CALCULS Eaux usées'!G$339&gt;3</xm:f>
            <x14:dxf>
              <fill>
                <patternFill>
                  <bgColor rgb="FF428BCE"/>
                </patternFill>
              </fill>
            </x14:dxf>
          </x14:cfRule>
          <xm:sqref>BG148</xm:sqref>
        </x14:conditionalFormatting>
        <x14:conditionalFormatting xmlns:xm="http://schemas.microsoft.com/office/excel/2006/main">
          <x14:cfRule type="expression" priority="5286" id="{4E26A0BC-7EC4-4EA3-A4A6-749BD9AB4D50}">
            <xm:f>'CALCULS Eaux usées'!G$339&gt;2</xm:f>
            <x14:dxf>
              <fill>
                <patternFill>
                  <bgColor rgb="FF428BCE"/>
                </patternFill>
              </fill>
            </x14:dxf>
          </x14:cfRule>
          <xm:sqref>BG149</xm:sqref>
        </x14:conditionalFormatting>
        <x14:conditionalFormatting xmlns:xm="http://schemas.microsoft.com/office/excel/2006/main">
          <x14:cfRule type="expression" priority="5287" id="{588719BC-FCBC-465E-887B-6F2758734D36}">
            <xm:f>'CALCULS Eaux usées'!G$339&gt;1</xm:f>
            <x14:dxf>
              <fill>
                <patternFill>
                  <bgColor rgb="FF428BCE"/>
                </patternFill>
              </fill>
            </x14:dxf>
          </x14:cfRule>
          <xm:sqref>BG150</xm:sqref>
        </x14:conditionalFormatting>
        <x14:conditionalFormatting xmlns:xm="http://schemas.microsoft.com/office/excel/2006/main">
          <x14:cfRule type="expression" priority="5288" id="{C2AA1571-F1B3-4DAD-AD6E-1A14B392FD66}">
            <xm:f>'CALCULS Eaux usées'!G$339&gt;0</xm:f>
            <x14:dxf>
              <fill>
                <patternFill>
                  <bgColor rgb="FF428BCE"/>
                </patternFill>
              </fill>
            </x14:dxf>
          </x14:cfRule>
          <xm:sqref>BG151</xm:sqref>
        </x14:conditionalFormatting>
        <x14:conditionalFormatting xmlns:xm="http://schemas.microsoft.com/office/excel/2006/main">
          <x14:cfRule type="expression" priority="5289" id="{FBB8AB99-39A6-44D1-82D1-77CFA79E6CC2}">
            <xm:f>'CALCULS Eaux usées'!H$339&gt;4</xm:f>
            <x14:dxf>
              <fill>
                <patternFill>
                  <bgColor rgb="FF428BCE"/>
                </patternFill>
              </fill>
            </x14:dxf>
          </x14:cfRule>
          <xm:sqref>BI147</xm:sqref>
        </x14:conditionalFormatting>
        <x14:conditionalFormatting xmlns:xm="http://schemas.microsoft.com/office/excel/2006/main">
          <x14:cfRule type="expression" priority="5290" id="{96E859A1-8909-425F-A2AB-042F5D1EA317}">
            <xm:f>'CALCULS Eaux usées'!H$339&gt;3</xm:f>
            <x14:dxf>
              <fill>
                <patternFill>
                  <bgColor rgb="FF428BCE"/>
                </patternFill>
              </fill>
            </x14:dxf>
          </x14:cfRule>
          <xm:sqref>BI148</xm:sqref>
        </x14:conditionalFormatting>
        <x14:conditionalFormatting xmlns:xm="http://schemas.microsoft.com/office/excel/2006/main">
          <x14:cfRule type="expression" priority="5291" id="{EE64B6A6-677C-4696-BCA8-D6E8DC45723B}">
            <xm:f>'CALCULS Eaux usées'!H$339&gt;2</xm:f>
            <x14:dxf>
              <fill>
                <patternFill>
                  <bgColor rgb="FF428BCE"/>
                </patternFill>
              </fill>
            </x14:dxf>
          </x14:cfRule>
          <xm:sqref>BI149</xm:sqref>
        </x14:conditionalFormatting>
        <x14:conditionalFormatting xmlns:xm="http://schemas.microsoft.com/office/excel/2006/main">
          <x14:cfRule type="expression" priority="5292" id="{B1CFD147-3AB5-4E94-893C-9584DA5D8507}">
            <xm:f>'CALCULS Eaux usées'!H$339&gt;1</xm:f>
            <x14:dxf>
              <fill>
                <patternFill>
                  <bgColor rgb="FF428BCE"/>
                </patternFill>
              </fill>
            </x14:dxf>
          </x14:cfRule>
          <xm:sqref>BI150</xm:sqref>
        </x14:conditionalFormatting>
        <x14:conditionalFormatting xmlns:xm="http://schemas.microsoft.com/office/excel/2006/main">
          <x14:cfRule type="expression" priority="5293" id="{BD37CD9E-DC93-4336-90EE-AD938BF9851E}">
            <xm:f>'CALCULS Eaux usées'!H$339&gt;0</xm:f>
            <x14:dxf>
              <fill>
                <patternFill>
                  <bgColor rgb="FF428BCE"/>
                </patternFill>
              </fill>
            </x14:dxf>
          </x14:cfRule>
          <xm:sqref>BI151</xm:sqref>
        </x14:conditionalFormatting>
        <x14:conditionalFormatting xmlns:xm="http://schemas.microsoft.com/office/excel/2006/main">
          <x14:cfRule type="expression" priority="5294" id="{7D272EEE-147D-413A-9483-E571CB548799}">
            <xm:f>'CALCULS Eaux usées'!I$339&gt;4</xm:f>
            <x14:dxf>
              <fill>
                <patternFill>
                  <bgColor rgb="FF428BCE"/>
                </patternFill>
              </fill>
            </x14:dxf>
          </x14:cfRule>
          <xm:sqref>BK147</xm:sqref>
        </x14:conditionalFormatting>
        <x14:conditionalFormatting xmlns:xm="http://schemas.microsoft.com/office/excel/2006/main">
          <x14:cfRule type="expression" priority="5295" id="{11943A14-F63C-4382-959B-A87BE7DAA00A}">
            <xm:f>'CALCULS Eaux usées'!I$339&gt;3</xm:f>
            <x14:dxf>
              <fill>
                <patternFill>
                  <bgColor rgb="FF428BCE"/>
                </patternFill>
              </fill>
            </x14:dxf>
          </x14:cfRule>
          <xm:sqref>BK148</xm:sqref>
        </x14:conditionalFormatting>
        <x14:conditionalFormatting xmlns:xm="http://schemas.microsoft.com/office/excel/2006/main">
          <x14:cfRule type="expression" priority="5296" id="{236F706C-C2C1-41D7-94D2-7EEF188610DF}">
            <xm:f>'CALCULS Eaux usées'!I$339&gt;2</xm:f>
            <x14:dxf>
              <fill>
                <patternFill>
                  <bgColor rgb="FF428BCE"/>
                </patternFill>
              </fill>
            </x14:dxf>
          </x14:cfRule>
          <xm:sqref>BK149</xm:sqref>
        </x14:conditionalFormatting>
        <x14:conditionalFormatting xmlns:xm="http://schemas.microsoft.com/office/excel/2006/main">
          <x14:cfRule type="expression" priority="5297" id="{DEAAE813-CA9F-4F44-9911-CA7E1B153A31}">
            <xm:f>'CALCULS Eaux usées'!I$339&gt;1</xm:f>
            <x14:dxf>
              <fill>
                <patternFill>
                  <bgColor rgb="FF428BCE"/>
                </patternFill>
              </fill>
            </x14:dxf>
          </x14:cfRule>
          <xm:sqref>BK150</xm:sqref>
        </x14:conditionalFormatting>
        <x14:conditionalFormatting xmlns:xm="http://schemas.microsoft.com/office/excel/2006/main">
          <x14:cfRule type="expression" priority="5298" id="{206B0408-623A-498F-9F83-2D131E4243BC}">
            <xm:f>'CALCULS Eaux usées'!I$339&gt;0</xm:f>
            <x14:dxf>
              <fill>
                <patternFill>
                  <bgColor rgb="FF428BCE"/>
                </patternFill>
              </fill>
            </x14:dxf>
          </x14:cfRule>
          <xm:sqref>BK151</xm:sqref>
        </x14:conditionalFormatting>
        <x14:conditionalFormatting xmlns:xm="http://schemas.microsoft.com/office/excel/2006/main">
          <x14:cfRule type="expression" priority="5299" id="{BE5C1984-5D72-4346-A66E-7155C05A74E2}">
            <xm:f>'CALCULS Eaux usées'!J$339&gt;4</xm:f>
            <x14:dxf>
              <fill>
                <patternFill>
                  <bgColor rgb="FF428BCE"/>
                </patternFill>
              </fill>
            </x14:dxf>
          </x14:cfRule>
          <xm:sqref>BM147</xm:sqref>
        </x14:conditionalFormatting>
        <x14:conditionalFormatting xmlns:xm="http://schemas.microsoft.com/office/excel/2006/main">
          <x14:cfRule type="expression" priority="5300" id="{D41A74FB-E185-4CF5-89DA-9B6C06A31663}">
            <xm:f>'CALCULS Eaux usées'!J$339&gt;3</xm:f>
            <x14:dxf>
              <fill>
                <patternFill>
                  <bgColor rgb="FF428BCE"/>
                </patternFill>
              </fill>
            </x14:dxf>
          </x14:cfRule>
          <xm:sqref>BM148</xm:sqref>
        </x14:conditionalFormatting>
        <x14:conditionalFormatting xmlns:xm="http://schemas.microsoft.com/office/excel/2006/main">
          <x14:cfRule type="expression" priority="5301" id="{C5C02DC8-B7E0-44C4-A967-33301330FAA7}">
            <xm:f>'CALCULS Eaux usées'!J$339&gt;2</xm:f>
            <x14:dxf>
              <fill>
                <patternFill>
                  <bgColor rgb="FF428BCE"/>
                </patternFill>
              </fill>
            </x14:dxf>
          </x14:cfRule>
          <xm:sqref>BM149</xm:sqref>
        </x14:conditionalFormatting>
        <x14:conditionalFormatting xmlns:xm="http://schemas.microsoft.com/office/excel/2006/main">
          <x14:cfRule type="expression" priority="5302" id="{30FF927C-C9F6-4E28-B136-F56970FEB779}">
            <xm:f>'CALCULS Eaux usées'!J$339&gt;1</xm:f>
            <x14:dxf>
              <fill>
                <patternFill>
                  <bgColor rgb="FF428BCE"/>
                </patternFill>
              </fill>
            </x14:dxf>
          </x14:cfRule>
          <xm:sqref>BM150</xm:sqref>
        </x14:conditionalFormatting>
        <x14:conditionalFormatting xmlns:xm="http://schemas.microsoft.com/office/excel/2006/main">
          <x14:cfRule type="expression" priority="5303" id="{77DBF5E8-1FCD-4FD7-8311-8C384CB8D44F}">
            <xm:f>'CALCULS Eaux usées'!J$339&gt;0</xm:f>
            <x14:dxf>
              <fill>
                <patternFill>
                  <bgColor rgb="FF428BCE"/>
                </patternFill>
              </fill>
            </x14:dxf>
          </x14:cfRule>
          <xm:sqref>BM151</xm:sqref>
        </x14:conditionalFormatting>
        <x14:conditionalFormatting xmlns:xm="http://schemas.microsoft.com/office/excel/2006/main">
          <x14:cfRule type="expression" priority="174" id="{453DE1C3-345A-474B-A28F-045D52F7299E}">
            <xm:f>OR('CALCULS Eaux usées'!$I$105=2,'CALCULS Eaux usées'!$I$105=4)</xm:f>
            <x14:dxf>
              <fill>
                <patternFill>
                  <bgColor rgb="FF7030A0"/>
                </patternFill>
              </fill>
            </x14:dxf>
          </x14:cfRule>
          <xm:sqref>BN61:BX61</xm:sqref>
        </x14:conditionalFormatting>
        <x14:conditionalFormatting xmlns:xm="http://schemas.microsoft.com/office/excel/2006/main">
          <x14:cfRule type="expression" priority="173" id="{8AAB18A9-70E9-4B23-9D73-770A08CCF485}">
            <xm:f>OR('CALCULS Eaux usées'!$I$106=2,'CALCULS Eaux usées'!$I$106=4)</xm:f>
            <x14:dxf>
              <fill>
                <patternFill>
                  <bgColor rgb="FF7030A0"/>
                </patternFill>
              </fill>
            </x14:dxf>
          </x14:cfRule>
          <xm:sqref>BN63:BX63</xm:sqref>
        </x14:conditionalFormatting>
        <x14:conditionalFormatting xmlns:xm="http://schemas.microsoft.com/office/excel/2006/main">
          <x14:cfRule type="expression" priority="172" id="{19C55210-8E74-45C4-B7C6-716815F3DAE8}">
            <xm:f>OR('CALCULS Eaux usées'!$I$107=2,'CALCULS Eaux usées'!$I$107=4)</xm:f>
            <x14:dxf>
              <fill>
                <patternFill>
                  <bgColor rgb="FF7030A0"/>
                </patternFill>
              </fill>
            </x14:dxf>
          </x14:cfRule>
          <xm:sqref>BN65:BX65</xm:sqref>
        </x14:conditionalFormatting>
        <x14:conditionalFormatting xmlns:xm="http://schemas.microsoft.com/office/excel/2006/main">
          <x14:cfRule type="expression" priority="171" id="{22F4B0D8-F8A8-4B4D-ABE9-F259942855A4}">
            <xm:f>OR('CALCULS Eaux usées'!$I$108=2,'CALCULS Eaux usées'!$I$108=4)</xm:f>
            <x14:dxf>
              <fill>
                <patternFill>
                  <bgColor rgb="FF7030A0"/>
                </patternFill>
              </fill>
            </x14:dxf>
          </x14:cfRule>
          <xm:sqref>BN67:BX67</xm:sqref>
        </x14:conditionalFormatting>
        <x14:conditionalFormatting xmlns:xm="http://schemas.microsoft.com/office/excel/2006/main">
          <x14:cfRule type="expression" priority="170" id="{B2607F30-0E66-4288-BF7D-409BA8DC5C79}">
            <xm:f>OR('CALCULS Eaux usées'!$I$109=2,'CALCULS Eaux usées'!$I$109=4)</xm:f>
            <x14:dxf>
              <fill>
                <patternFill>
                  <bgColor rgb="FF7030A0"/>
                </patternFill>
              </fill>
            </x14:dxf>
          </x14:cfRule>
          <xm:sqref>BN69:BX69</xm:sqref>
        </x14:conditionalFormatting>
        <x14:conditionalFormatting xmlns:xm="http://schemas.microsoft.com/office/excel/2006/main">
          <x14:cfRule type="expression" priority="169" id="{ABA7A2AA-D420-4359-AE27-0A6570F6E6B1}">
            <xm:f>OR('CALCULS Eaux usées'!$I$110=2,'CALCULS Eaux usées'!$I$110=4)</xm:f>
            <x14:dxf>
              <fill>
                <patternFill>
                  <bgColor rgb="FF7030A0"/>
                </patternFill>
              </fill>
            </x14:dxf>
          </x14:cfRule>
          <xm:sqref>BN71:BX71</xm:sqref>
        </x14:conditionalFormatting>
        <x14:conditionalFormatting xmlns:xm="http://schemas.microsoft.com/office/excel/2006/main">
          <x14:cfRule type="expression" priority="5304" id="{D74C417C-1F5D-4DC9-8627-CB88B32A9CE6}">
            <xm:f>'CALCULS Eaux usées'!K$339&gt;4</xm:f>
            <x14:dxf>
              <fill>
                <patternFill>
                  <bgColor rgb="FF428BCE"/>
                </patternFill>
              </fill>
            </x14:dxf>
          </x14:cfRule>
          <xm:sqref>BO147</xm:sqref>
        </x14:conditionalFormatting>
        <x14:conditionalFormatting xmlns:xm="http://schemas.microsoft.com/office/excel/2006/main">
          <x14:cfRule type="expression" priority="5305" id="{965525D6-68D0-4C6D-A147-63F46684B08E}">
            <xm:f>'CALCULS Eaux usées'!K$339&gt;3</xm:f>
            <x14:dxf>
              <fill>
                <patternFill>
                  <bgColor rgb="FF428BCE"/>
                </patternFill>
              </fill>
            </x14:dxf>
          </x14:cfRule>
          <xm:sqref>BO148</xm:sqref>
        </x14:conditionalFormatting>
        <x14:conditionalFormatting xmlns:xm="http://schemas.microsoft.com/office/excel/2006/main">
          <x14:cfRule type="expression" priority="5306" id="{E69FED54-A128-4EEE-97E7-D3E5AD2E399C}">
            <xm:f>'CALCULS Eaux usées'!K$339&gt;2</xm:f>
            <x14:dxf>
              <fill>
                <patternFill>
                  <bgColor rgb="FF428BCE"/>
                </patternFill>
              </fill>
            </x14:dxf>
          </x14:cfRule>
          <xm:sqref>BO149</xm:sqref>
        </x14:conditionalFormatting>
        <x14:conditionalFormatting xmlns:xm="http://schemas.microsoft.com/office/excel/2006/main">
          <x14:cfRule type="expression" priority="5307" id="{6AF778F7-FF6E-40E6-9CB9-89A7A59C9DA0}">
            <xm:f>'CALCULS Eaux usées'!K$339&gt;1</xm:f>
            <x14:dxf>
              <fill>
                <patternFill>
                  <bgColor rgb="FF428BCE"/>
                </patternFill>
              </fill>
            </x14:dxf>
          </x14:cfRule>
          <xm:sqref>BO150</xm:sqref>
        </x14:conditionalFormatting>
        <x14:conditionalFormatting xmlns:xm="http://schemas.microsoft.com/office/excel/2006/main">
          <x14:cfRule type="expression" priority="5308" id="{E34EF76E-93A8-44D5-8C54-FFF6DF0FA505}">
            <xm:f>'CALCULS Eaux usées'!K$339&gt;0</xm:f>
            <x14:dxf>
              <fill>
                <patternFill>
                  <bgColor rgb="FF428BCE"/>
                </patternFill>
              </fill>
            </x14:dxf>
          </x14:cfRule>
          <xm:sqref>BO151</xm:sqref>
        </x14:conditionalFormatting>
        <x14:conditionalFormatting xmlns:xm="http://schemas.microsoft.com/office/excel/2006/main">
          <x14:cfRule type="expression" priority="5309" id="{76689145-42A4-4AB2-9E59-2813507EB3F1}">
            <xm:f>'CALCULS Eaux usées'!L$339&gt;4</xm:f>
            <x14:dxf>
              <fill>
                <patternFill>
                  <bgColor theme="8" tint="-0.499984740745262"/>
                </patternFill>
              </fill>
            </x14:dxf>
          </x14:cfRule>
          <xm:sqref>BQ147</xm:sqref>
        </x14:conditionalFormatting>
        <x14:conditionalFormatting xmlns:xm="http://schemas.microsoft.com/office/excel/2006/main">
          <x14:cfRule type="expression" priority="5310" id="{9BC5DFF7-1D36-4D1A-9B64-4DF6A0E15D74}">
            <xm:f>'CALCULS Eaux usées'!L$339&gt;3</xm:f>
            <x14:dxf>
              <fill>
                <patternFill>
                  <bgColor theme="8" tint="-0.499984740745262"/>
                </patternFill>
              </fill>
            </x14:dxf>
          </x14:cfRule>
          <xm:sqref>BQ148</xm:sqref>
        </x14:conditionalFormatting>
        <x14:conditionalFormatting xmlns:xm="http://schemas.microsoft.com/office/excel/2006/main">
          <x14:cfRule type="expression" priority="5311" id="{807BEC2A-5868-4486-B98A-B013E93EE3BF}">
            <xm:f>'CALCULS Eaux usées'!L$339&gt;2</xm:f>
            <x14:dxf>
              <fill>
                <patternFill>
                  <bgColor theme="8" tint="-0.499984740745262"/>
                </patternFill>
              </fill>
            </x14:dxf>
          </x14:cfRule>
          <xm:sqref>BQ149</xm:sqref>
        </x14:conditionalFormatting>
        <x14:conditionalFormatting xmlns:xm="http://schemas.microsoft.com/office/excel/2006/main">
          <x14:cfRule type="expression" priority="5312" id="{111868DA-EC4F-4DDE-A12B-03C75B8F0EEF}">
            <xm:f>'CALCULS Eaux usées'!L$339&gt;1</xm:f>
            <x14:dxf>
              <fill>
                <patternFill>
                  <bgColor theme="8" tint="-0.499984740745262"/>
                </patternFill>
              </fill>
            </x14:dxf>
          </x14:cfRule>
          <xm:sqref>BQ150</xm:sqref>
        </x14:conditionalFormatting>
        <x14:conditionalFormatting xmlns:xm="http://schemas.microsoft.com/office/excel/2006/main">
          <x14:cfRule type="expression" priority="5313" id="{B5AF457B-B25C-4B99-A774-1E9552026BBF}">
            <xm:f>'CALCULS Eaux usées'!L$339&gt;0</xm:f>
            <x14:dxf>
              <fill>
                <patternFill>
                  <bgColor theme="8" tint="-0.499984740745262"/>
                </patternFill>
              </fill>
            </x14:dxf>
          </x14:cfRule>
          <xm:sqref>BQ151</xm:sqref>
        </x14:conditionalFormatting>
        <x14:conditionalFormatting xmlns:xm="http://schemas.microsoft.com/office/excel/2006/main">
          <x14:cfRule type="expression" priority="351" id="{13D57385-2079-4A80-BB58-E7FB63834557}">
            <xm:f>'CALCULS Eau potable'!M$339&gt;4</xm:f>
            <x14:dxf>
              <fill>
                <patternFill>
                  <bgColor theme="8" tint="-0.499984740745262"/>
                </patternFill>
              </fill>
            </x14:dxf>
          </x14:cfRule>
          <xm:sqref>BR147</xm:sqref>
        </x14:conditionalFormatting>
        <x14:conditionalFormatting xmlns:xm="http://schemas.microsoft.com/office/excel/2006/main">
          <x14:cfRule type="expression" priority="350" id="{4FF01DA0-4EDC-4DD7-AF89-F7CA167CCCD5}">
            <xm:f>'CALCULS Eau potable'!M$339&gt;3</xm:f>
            <x14:dxf>
              <fill>
                <patternFill>
                  <bgColor theme="8" tint="-0.499984740745262"/>
                </patternFill>
              </fill>
            </x14:dxf>
          </x14:cfRule>
          <xm:sqref>BR148</xm:sqref>
        </x14:conditionalFormatting>
        <x14:conditionalFormatting xmlns:xm="http://schemas.microsoft.com/office/excel/2006/main">
          <x14:cfRule type="expression" priority="349" id="{5D21434C-5F4A-40F4-804E-6B0A2331783C}">
            <xm:f>'CALCULS Eau potable'!M$339&gt;2</xm:f>
            <x14:dxf>
              <fill>
                <patternFill>
                  <bgColor theme="8" tint="-0.499984740745262"/>
                </patternFill>
              </fill>
            </x14:dxf>
          </x14:cfRule>
          <xm:sqref>BR149</xm:sqref>
        </x14:conditionalFormatting>
        <x14:conditionalFormatting xmlns:xm="http://schemas.microsoft.com/office/excel/2006/main">
          <x14:cfRule type="expression" priority="348" id="{67EF00FD-CE6D-4D1C-99A3-05E50B978B06}">
            <xm:f>'CALCULS Eau potable'!M$339&gt;1</xm:f>
            <x14:dxf>
              <fill>
                <patternFill>
                  <bgColor theme="8" tint="-0.499984740745262"/>
                </patternFill>
              </fill>
            </x14:dxf>
          </x14:cfRule>
          <xm:sqref>BR150</xm:sqref>
        </x14:conditionalFormatting>
        <x14:conditionalFormatting xmlns:xm="http://schemas.microsoft.com/office/excel/2006/main">
          <x14:cfRule type="expression" priority="347" id="{D3039459-D194-4945-BEF0-8C6993DAFA20}">
            <xm:f>'CALCULS Eau potable'!M$339&gt;0</xm:f>
            <x14:dxf>
              <fill>
                <patternFill>
                  <bgColor theme="8" tint="-0.499984740745262"/>
                </patternFill>
              </fill>
            </x14:dxf>
          </x14:cfRule>
          <xm:sqref>BR151</xm:sqref>
        </x14:conditionalFormatting>
        <x14:conditionalFormatting xmlns:xm="http://schemas.microsoft.com/office/excel/2006/main">
          <x14:cfRule type="expression" priority="5615" id="{6914F3E6-9DD2-4C70-9B75-FBA5857F76D9}">
            <xm:f>'CALCULS Eaux usées'!E$341&gt;4</xm:f>
            <x14:dxf>
              <fill>
                <patternFill>
                  <bgColor rgb="FF428BCE"/>
                </patternFill>
              </fill>
            </x14:dxf>
          </x14:cfRule>
          <xm:sqref>BT147</xm:sqref>
        </x14:conditionalFormatting>
        <x14:conditionalFormatting xmlns:xm="http://schemas.microsoft.com/office/excel/2006/main">
          <x14:cfRule type="expression" priority="5616" id="{72F0E59F-5C1D-4221-831A-BD0444379E77}">
            <xm:f>'CALCULS Eaux usées'!E$341&gt;3</xm:f>
            <x14:dxf>
              <fill>
                <patternFill>
                  <bgColor rgb="FF428BCE"/>
                </patternFill>
              </fill>
            </x14:dxf>
          </x14:cfRule>
          <xm:sqref>BT148</xm:sqref>
        </x14:conditionalFormatting>
        <x14:conditionalFormatting xmlns:xm="http://schemas.microsoft.com/office/excel/2006/main">
          <x14:cfRule type="expression" priority="5617" id="{90358A8C-DB7B-4731-945E-AC7404727776}">
            <xm:f>'CALCULS Eaux usées'!E$341&gt;2</xm:f>
            <x14:dxf>
              <fill>
                <patternFill>
                  <bgColor rgb="FF428BCE"/>
                </patternFill>
              </fill>
            </x14:dxf>
          </x14:cfRule>
          <xm:sqref>BT149</xm:sqref>
        </x14:conditionalFormatting>
        <x14:conditionalFormatting xmlns:xm="http://schemas.microsoft.com/office/excel/2006/main">
          <x14:cfRule type="expression" priority="5618" id="{E35C8966-854F-4450-933B-384CA9CA74F4}">
            <xm:f>'CALCULS Eaux usées'!E$341&gt;1</xm:f>
            <x14:dxf>
              <fill>
                <patternFill>
                  <bgColor rgb="FF428BCE"/>
                </patternFill>
              </fill>
            </x14:dxf>
          </x14:cfRule>
          <xm:sqref>BT150</xm:sqref>
        </x14:conditionalFormatting>
        <x14:conditionalFormatting xmlns:xm="http://schemas.microsoft.com/office/excel/2006/main">
          <x14:cfRule type="expression" priority="5619" id="{C98939F3-6FBE-4A18-BA2F-39AC1EE58222}">
            <xm:f>'CALCULS Eaux usées'!E$341&gt;0</xm:f>
            <x14:dxf>
              <fill>
                <patternFill>
                  <bgColor rgb="FF428BCE"/>
                </patternFill>
              </fill>
            </x14:dxf>
          </x14:cfRule>
          <xm:sqref>BT151</xm:sqref>
        </x14:conditionalFormatting>
        <x14:conditionalFormatting xmlns:xm="http://schemas.microsoft.com/office/excel/2006/main">
          <x14:cfRule type="expression" priority="5620" id="{6D0EBFC3-F91A-4704-8B8C-A0AD9EF335A0}">
            <xm:f>'CALCULS Eaux usées'!F$341&gt;4</xm:f>
            <x14:dxf>
              <fill>
                <patternFill>
                  <bgColor rgb="FF428BCE"/>
                </patternFill>
              </fill>
            </x14:dxf>
          </x14:cfRule>
          <xm:sqref>BV147</xm:sqref>
        </x14:conditionalFormatting>
        <x14:conditionalFormatting xmlns:xm="http://schemas.microsoft.com/office/excel/2006/main">
          <x14:cfRule type="expression" priority="5621" id="{4A8EF434-26A1-4B72-B07B-104F63BDF638}">
            <xm:f>'CALCULS Eaux usées'!F$341&gt;3</xm:f>
            <x14:dxf>
              <fill>
                <patternFill>
                  <bgColor rgb="FF428BCE"/>
                </patternFill>
              </fill>
            </x14:dxf>
          </x14:cfRule>
          <xm:sqref>BV148</xm:sqref>
        </x14:conditionalFormatting>
        <x14:conditionalFormatting xmlns:xm="http://schemas.microsoft.com/office/excel/2006/main">
          <x14:cfRule type="expression" priority="5622" id="{8C888253-5FE6-4EEC-9265-0E1C3465929F}">
            <xm:f>'CALCULS Eaux usées'!F$341&gt;2</xm:f>
            <x14:dxf>
              <fill>
                <patternFill>
                  <bgColor rgb="FF428BCE"/>
                </patternFill>
              </fill>
            </x14:dxf>
          </x14:cfRule>
          <xm:sqref>BV149</xm:sqref>
        </x14:conditionalFormatting>
        <x14:conditionalFormatting xmlns:xm="http://schemas.microsoft.com/office/excel/2006/main">
          <x14:cfRule type="expression" priority="5623" id="{A5DEC66D-9BE7-4279-BAA0-6FD0DA8EC418}">
            <xm:f>'CALCULS Eaux usées'!F$341&gt;1</xm:f>
            <x14:dxf>
              <fill>
                <patternFill>
                  <bgColor rgb="FF428BCE"/>
                </patternFill>
              </fill>
            </x14:dxf>
          </x14:cfRule>
          <xm:sqref>BV150</xm:sqref>
        </x14:conditionalFormatting>
        <x14:conditionalFormatting xmlns:xm="http://schemas.microsoft.com/office/excel/2006/main">
          <x14:cfRule type="expression" priority="5624" id="{7675DFBA-8520-4D44-BE4D-45FC3A86F678}">
            <xm:f>'CALCULS Eaux usées'!F$341&gt;0</xm:f>
            <x14:dxf>
              <fill>
                <patternFill>
                  <bgColor rgb="FF428BCE"/>
                </patternFill>
              </fill>
            </x14:dxf>
          </x14:cfRule>
          <xm:sqref>BV151</xm:sqref>
        </x14:conditionalFormatting>
        <x14:conditionalFormatting xmlns:xm="http://schemas.microsoft.com/office/excel/2006/main">
          <x14:cfRule type="expression" priority="5625" id="{B1B208F8-B2E8-46A8-9E9D-D6A1A4EDDD5B}">
            <xm:f>'CALCULS Eaux usées'!G$341&gt;4</xm:f>
            <x14:dxf>
              <fill>
                <patternFill>
                  <bgColor rgb="FF428BCE"/>
                </patternFill>
              </fill>
            </x14:dxf>
          </x14:cfRule>
          <xm:sqref>BX147</xm:sqref>
        </x14:conditionalFormatting>
        <x14:conditionalFormatting xmlns:xm="http://schemas.microsoft.com/office/excel/2006/main">
          <x14:cfRule type="expression" priority="5626" id="{4B0B4ECA-6790-42D5-B27E-E80033D408B7}">
            <xm:f>'CALCULS Eaux usées'!G$341&gt;3</xm:f>
            <x14:dxf>
              <fill>
                <patternFill>
                  <bgColor rgb="FF428BCE"/>
                </patternFill>
              </fill>
            </x14:dxf>
          </x14:cfRule>
          <xm:sqref>BX148</xm:sqref>
        </x14:conditionalFormatting>
        <x14:conditionalFormatting xmlns:xm="http://schemas.microsoft.com/office/excel/2006/main">
          <x14:cfRule type="expression" priority="5627" id="{BA1CD4F5-E890-4FF2-8155-75FEC64EE74A}">
            <xm:f>'CALCULS Eaux usées'!G$341&gt;2</xm:f>
            <x14:dxf>
              <fill>
                <patternFill>
                  <bgColor rgb="FF428BCE"/>
                </patternFill>
              </fill>
            </x14:dxf>
          </x14:cfRule>
          <xm:sqref>BX149</xm:sqref>
        </x14:conditionalFormatting>
        <x14:conditionalFormatting xmlns:xm="http://schemas.microsoft.com/office/excel/2006/main">
          <x14:cfRule type="expression" priority="5628" id="{C48383D1-1AFA-4BA7-82D4-C69BAFFFA830}">
            <xm:f>'CALCULS Eaux usées'!G$341&gt;1</xm:f>
            <x14:dxf>
              <fill>
                <patternFill>
                  <bgColor rgb="FF428BCE"/>
                </patternFill>
              </fill>
            </x14:dxf>
          </x14:cfRule>
          <xm:sqref>BX150</xm:sqref>
        </x14:conditionalFormatting>
        <x14:conditionalFormatting xmlns:xm="http://schemas.microsoft.com/office/excel/2006/main">
          <x14:cfRule type="expression" priority="5629" id="{546102DD-481F-4C94-9FB9-0C53092B6B23}">
            <xm:f>'CALCULS Eaux usées'!G$341&gt;0</xm:f>
            <x14:dxf>
              <fill>
                <patternFill>
                  <bgColor rgb="FF428BCE"/>
                </patternFill>
              </fill>
            </x14:dxf>
          </x14:cfRule>
          <xm:sqref>BX151</xm:sqref>
        </x14:conditionalFormatting>
        <x14:conditionalFormatting xmlns:xm="http://schemas.microsoft.com/office/excel/2006/main">
          <x14:cfRule type="expression" priority="163" id="{74B0A752-463F-45AD-AE04-899FC638279A}">
            <xm:f>OR('CALCULS Eaux usées'!$I$105=3,'CALCULS Eaux usées'!$I$105=4)</xm:f>
            <x14:dxf>
              <fill>
                <patternFill>
                  <bgColor rgb="FF7030A0"/>
                </patternFill>
              </fill>
            </x14:dxf>
          </x14:cfRule>
          <xm:sqref>BY61:CJ61</xm:sqref>
        </x14:conditionalFormatting>
        <x14:conditionalFormatting xmlns:xm="http://schemas.microsoft.com/office/excel/2006/main">
          <x14:cfRule type="expression" priority="164" id="{74453F5D-56F5-4E02-9E4B-4FC3AB51B18C}">
            <xm:f>OR('CALCULS Eaux usées'!$I$106=3,'CALCULS Eaux usées'!$I$106=4)</xm:f>
            <x14:dxf>
              <fill>
                <patternFill>
                  <bgColor rgb="FF7030A0"/>
                </patternFill>
              </fill>
            </x14:dxf>
          </x14:cfRule>
          <xm:sqref>BY63:CJ63</xm:sqref>
        </x14:conditionalFormatting>
        <x14:conditionalFormatting xmlns:xm="http://schemas.microsoft.com/office/excel/2006/main">
          <x14:cfRule type="expression" priority="165" id="{64D36BBA-CAC5-41AE-BBE1-ABF2A84E42AD}">
            <xm:f>OR('CALCULS Eaux usées'!$I$107=3,'CALCULS Eaux usées'!$I$107=4)</xm:f>
            <x14:dxf>
              <fill>
                <patternFill>
                  <bgColor rgb="FF7030A0"/>
                </patternFill>
              </fill>
            </x14:dxf>
          </x14:cfRule>
          <xm:sqref>BY65:CJ65</xm:sqref>
        </x14:conditionalFormatting>
        <x14:conditionalFormatting xmlns:xm="http://schemas.microsoft.com/office/excel/2006/main">
          <x14:cfRule type="expression" priority="166" id="{719EEF91-76C8-4E53-82B0-152F6B80EC0E}">
            <xm:f>OR('CALCULS Eaux usées'!$I$108=3,'CALCULS Eaux usées'!$I$108=4)</xm:f>
            <x14:dxf>
              <fill>
                <patternFill>
                  <bgColor rgb="FF7030A0"/>
                </patternFill>
              </fill>
            </x14:dxf>
          </x14:cfRule>
          <xm:sqref>BY67:CJ67</xm:sqref>
        </x14:conditionalFormatting>
        <x14:conditionalFormatting xmlns:xm="http://schemas.microsoft.com/office/excel/2006/main">
          <x14:cfRule type="expression" priority="167" id="{532AD251-7907-40B8-A39C-ECFBAD523764}">
            <xm:f>OR('CALCULS Eaux usées'!$I$109=3,'CALCULS Eaux usées'!$I$109=4)</xm:f>
            <x14:dxf>
              <fill>
                <patternFill>
                  <bgColor rgb="FF7030A0"/>
                </patternFill>
              </fill>
            </x14:dxf>
          </x14:cfRule>
          <xm:sqref>BY69:CJ69</xm:sqref>
        </x14:conditionalFormatting>
        <x14:conditionalFormatting xmlns:xm="http://schemas.microsoft.com/office/excel/2006/main">
          <x14:cfRule type="expression" priority="168" id="{50942CF0-50B5-48DE-A761-251BC1AC3CA3}">
            <xm:f>OR('CALCULS Eaux usées'!$I$110=3,'CALCULS Eaux usées'!$I$110=4)</xm:f>
            <x14:dxf>
              <fill>
                <patternFill>
                  <bgColor rgb="FF7030A0"/>
                </patternFill>
              </fill>
            </x14:dxf>
          </x14:cfRule>
          <xm:sqref>BY71:CJ71</xm:sqref>
        </x14:conditionalFormatting>
        <x14:conditionalFormatting xmlns:xm="http://schemas.microsoft.com/office/excel/2006/main">
          <x14:cfRule type="expression" priority="5630" id="{D149957B-525C-4890-A08B-F1CFAC44C7B3}">
            <xm:f>'CALCULS Eaux usées'!H$341&gt;4</xm:f>
            <x14:dxf>
              <fill>
                <patternFill>
                  <bgColor rgb="FF428BCE"/>
                </patternFill>
              </fill>
            </x14:dxf>
          </x14:cfRule>
          <xm:sqref>BZ147</xm:sqref>
        </x14:conditionalFormatting>
        <x14:conditionalFormatting xmlns:xm="http://schemas.microsoft.com/office/excel/2006/main">
          <x14:cfRule type="expression" priority="5631" id="{F4E253D7-8034-40CC-B88D-F86E7011FF7A}">
            <xm:f>'CALCULS Eaux usées'!H$341&gt;3</xm:f>
            <x14:dxf>
              <fill>
                <patternFill>
                  <bgColor rgb="FF428BCE"/>
                </patternFill>
              </fill>
            </x14:dxf>
          </x14:cfRule>
          <xm:sqref>BZ148</xm:sqref>
        </x14:conditionalFormatting>
        <x14:conditionalFormatting xmlns:xm="http://schemas.microsoft.com/office/excel/2006/main">
          <x14:cfRule type="expression" priority="5632" id="{E0420C0A-1741-484F-86D9-3DA725AECDD7}">
            <xm:f>'CALCULS Eaux usées'!H$341&gt;2</xm:f>
            <x14:dxf>
              <fill>
                <patternFill>
                  <bgColor rgb="FF428BCE"/>
                </patternFill>
              </fill>
            </x14:dxf>
          </x14:cfRule>
          <xm:sqref>BZ149</xm:sqref>
        </x14:conditionalFormatting>
        <x14:conditionalFormatting xmlns:xm="http://schemas.microsoft.com/office/excel/2006/main">
          <x14:cfRule type="expression" priority="5633" id="{78D166B6-5472-4585-9DC4-0DE38CEBDCAC}">
            <xm:f>'CALCULS Eaux usées'!H$341&gt;1</xm:f>
            <x14:dxf>
              <fill>
                <patternFill>
                  <bgColor rgb="FF428BCE"/>
                </patternFill>
              </fill>
            </x14:dxf>
          </x14:cfRule>
          <xm:sqref>BZ150</xm:sqref>
        </x14:conditionalFormatting>
        <x14:conditionalFormatting xmlns:xm="http://schemas.microsoft.com/office/excel/2006/main">
          <x14:cfRule type="expression" priority="5634" id="{BEC84C48-F3BF-4D90-B19F-3CEBA96B3DC4}">
            <xm:f>'CALCULS Eaux usées'!H$341&gt;0</xm:f>
            <x14:dxf>
              <fill>
                <patternFill>
                  <bgColor rgb="FF428BCE"/>
                </patternFill>
              </fill>
            </x14:dxf>
          </x14:cfRule>
          <xm:sqref>BZ151</xm:sqref>
        </x14:conditionalFormatting>
        <x14:conditionalFormatting xmlns:xm="http://schemas.microsoft.com/office/excel/2006/main">
          <x14:cfRule type="expression" priority="5635" id="{2B59DA92-43F1-4DAA-B33D-67FBCE74D6A5}">
            <xm:f>'CALCULS Eaux usées'!I$341&gt;4</xm:f>
            <x14:dxf>
              <fill>
                <patternFill>
                  <bgColor rgb="FF428BCE"/>
                </patternFill>
              </fill>
            </x14:dxf>
          </x14:cfRule>
          <xm:sqref>CB147</xm:sqref>
        </x14:conditionalFormatting>
        <x14:conditionalFormatting xmlns:xm="http://schemas.microsoft.com/office/excel/2006/main">
          <x14:cfRule type="expression" priority="5636" id="{3EE77A44-7F98-4721-9C2E-5AE93A9BF282}">
            <xm:f>'CALCULS Eaux usées'!I$341&gt;3</xm:f>
            <x14:dxf>
              <fill>
                <patternFill>
                  <bgColor rgb="FF428BCE"/>
                </patternFill>
              </fill>
            </x14:dxf>
          </x14:cfRule>
          <xm:sqref>CB148</xm:sqref>
        </x14:conditionalFormatting>
        <x14:conditionalFormatting xmlns:xm="http://schemas.microsoft.com/office/excel/2006/main">
          <x14:cfRule type="expression" priority="5637" id="{4A600897-BCEE-4F20-92D9-6D0DDBF46313}">
            <xm:f>'CALCULS Eaux usées'!I$341&gt;2</xm:f>
            <x14:dxf>
              <fill>
                <patternFill>
                  <bgColor rgb="FF428BCE"/>
                </patternFill>
              </fill>
            </x14:dxf>
          </x14:cfRule>
          <xm:sqref>CB149</xm:sqref>
        </x14:conditionalFormatting>
        <x14:conditionalFormatting xmlns:xm="http://schemas.microsoft.com/office/excel/2006/main">
          <x14:cfRule type="expression" priority="5638" id="{8A9160BD-AFB1-4B9C-A11D-3F6F9D75964E}">
            <xm:f>'CALCULS Eaux usées'!I$341&gt;1</xm:f>
            <x14:dxf>
              <fill>
                <patternFill>
                  <bgColor rgb="FF428BCE"/>
                </patternFill>
              </fill>
            </x14:dxf>
          </x14:cfRule>
          <xm:sqref>CB150</xm:sqref>
        </x14:conditionalFormatting>
        <x14:conditionalFormatting xmlns:xm="http://schemas.microsoft.com/office/excel/2006/main">
          <x14:cfRule type="expression" priority="5639" id="{2F378ACA-2935-46C2-8958-E446E2CF1F84}">
            <xm:f>'CALCULS Eaux usées'!I$341&gt;0</xm:f>
            <x14:dxf>
              <fill>
                <patternFill>
                  <bgColor rgb="FF428BCE"/>
                </patternFill>
              </fill>
            </x14:dxf>
          </x14:cfRule>
          <xm:sqref>CB151</xm:sqref>
        </x14:conditionalFormatting>
        <x14:conditionalFormatting xmlns:xm="http://schemas.microsoft.com/office/excel/2006/main">
          <x14:cfRule type="expression" priority="5640" id="{58C4101D-8B33-48BF-AEF2-2CB36C732AC6}">
            <xm:f>'CALCULS Eaux usées'!J$341&gt;4</xm:f>
            <x14:dxf>
              <fill>
                <patternFill>
                  <bgColor rgb="FF428BCE"/>
                </patternFill>
              </fill>
            </x14:dxf>
          </x14:cfRule>
          <xm:sqref>CD147</xm:sqref>
        </x14:conditionalFormatting>
        <x14:conditionalFormatting xmlns:xm="http://schemas.microsoft.com/office/excel/2006/main">
          <x14:cfRule type="expression" priority="5641" id="{7E1DD609-7EAC-4967-9067-4D73BA14F86A}">
            <xm:f>'CALCULS Eaux usées'!J$341&gt;3</xm:f>
            <x14:dxf>
              <fill>
                <patternFill>
                  <bgColor rgb="FF428BCE"/>
                </patternFill>
              </fill>
            </x14:dxf>
          </x14:cfRule>
          <xm:sqref>CD148</xm:sqref>
        </x14:conditionalFormatting>
        <x14:conditionalFormatting xmlns:xm="http://schemas.microsoft.com/office/excel/2006/main">
          <x14:cfRule type="expression" priority="5642" id="{B37086AE-9585-4CA2-A450-279D547B9B3A}">
            <xm:f>'CALCULS Eaux usées'!J$341&gt;2</xm:f>
            <x14:dxf>
              <fill>
                <patternFill>
                  <bgColor rgb="FF428BCE"/>
                </patternFill>
              </fill>
            </x14:dxf>
          </x14:cfRule>
          <xm:sqref>CD149</xm:sqref>
        </x14:conditionalFormatting>
        <x14:conditionalFormatting xmlns:xm="http://schemas.microsoft.com/office/excel/2006/main">
          <x14:cfRule type="expression" priority="5643" id="{9CD6758D-3753-49D7-B520-A83F1361DE64}">
            <xm:f>'CALCULS Eaux usées'!J$341&gt;1</xm:f>
            <x14:dxf>
              <fill>
                <patternFill>
                  <bgColor rgb="FF428BCE"/>
                </patternFill>
              </fill>
            </x14:dxf>
          </x14:cfRule>
          <xm:sqref>CD150</xm:sqref>
        </x14:conditionalFormatting>
        <x14:conditionalFormatting xmlns:xm="http://schemas.microsoft.com/office/excel/2006/main">
          <x14:cfRule type="expression" priority="5644" id="{55B316D7-D19E-4F5F-ADBD-44B52928668D}">
            <xm:f>'CALCULS Eaux usées'!J$341&gt;0</xm:f>
            <x14:dxf>
              <fill>
                <patternFill>
                  <bgColor rgb="FF428BCE"/>
                </patternFill>
              </fill>
            </x14:dxf>
          </x14:cfRule>
          <xm:sqref>CD151</xm:sqref>
        </x14:conditionalFormatting>
        <x14:conditionalFormatting xmlns:xm="http://schemas.microsoft.com/office/excel/2006/main">
          <x14:cfRule type="expression" priority="5645" id="{01F06683-3BCC-4464-9809-BD8BB2FCB7E8}">
            <xm:f>'CALCULS Eaux usées'!K$341&gt;4</xm:f>
            <x14:dxf>
              <fill>
                <patternFill>
                  <bgColor rgb="FF428BCE"/>
                </patternFill>
              </fill>
            </x14:dxf>
          </x14:cfRule>
          <xm:sqref>CF147</xm:sqref>
        </x14:conditionalFormatting>
        <x14:conditionalFormatting xmlns:xm="http://schemas.microsoft.com/office/excel/2006/main">
          <x14:cfRule type="expression" priority="5646" id="{F940A277-8033-4508-BF81-D06CD44953A9}">
            <xm:f>'CALCULS Eaux usées'!K$341&gt;3</xm:f>
            <x14:dxf>
              <fill>
                <patternFill>
                  <bgColor rgb="FF428BCE"/>
                </patternFill>
              </fill>
            </x14:dxf>
          </x14:cfRule>
          <xm:sqref>CF148</xm:sqref>
        </x14:conditionalFormatting>
        <x14:conditionalFormatting xmlns:xm="http://schemas.microsoft.com/office/excel/2006/main">
          <x14:cfRule type="expression" priority="5647" id="{44980274-F95E-48A0-9D5F-53FF17DEC561}">
            <xm:f>'CALCULS Eaux usées'!K$341&gt;2</xm:f>
            <x14:dxf>
              <fill>
                <patternFill>
                  <bgColor rgb="FF428BCE"/>
                </patternFill>
              </fill>
            </x14:dxf>
          </x14:cfRule>
          <xm:sqref>CF149</xm:sqref>
        </x14:conditionalFormatting>
        <x14:conditionalFormatting xmlns:xm="http://schemas.microsoft.com/office/excel/2006/main">
          <x14:cfRule type="expression" priority="5648" id="{08E2A514-8BF1-4507-A0DE-5FD010997683}">
            <xm:f>'CALCULS Eaux usées'!K$341&gt;1</xm:f>
            <x14:dxf>
              <fill>
                <patternFill>
                  <bgColor rgb="FF428BCE"/>
                </patternFill>
              </fill>
            </x14:dxf>
          </x14:cfRule>
          <xm:sqref>CF150</xm:sqref>
        </x14:conditionalFormatting>
        <x14:conditionalFormatting xmlns:xm="http://schemas.microsoft.com/office/excel/2006/main">
          <x14:cfRule type="expression" priority="5649" id="{9807C660-C000-423E-94A5-098C19CF3D7F}">
            <xm:f>'CALCULS Eaux usées'!K$341&gt;0</xm:f>
            <x14:dxf>
              <fill>
                <patternFill>
                  <bgColor rgb="FF428BCE"/>
                </patternFill>
              </fill>
            </x14:dxf>
          </x14:cfRule>
          <xm:sqref>CF151</xm:sqref>
        </x14:conditionalFormatting>
        <x14:conditionalFormatting xmlns:xm="http://schemas.microsoft.com/office/excel/2006/main">
          <x14:cfRule type="expression" priority="5650" id="{45998DFB-2180-47AE-B75F-E767A0518C97}">
            <xm:f>'CALCULS Eaux usées'!L$341&gt;4</xm:f>
            <x14:dxf>
              <fill>
                <patternFill>
                  <bgColor theme="8" tint="-0.499984740745262"/>
                </patternFill>
              </fill>
            </x14:dxf>
          </x14:cfRule>
          <xm:sqref>CH147</xm:sqref>
        </x14:conditionalFormatting>
        <x14:conditionalFormatting xmlns:xm="http://schemas.microsoft.com/office/excel/2006/main">
          <x14:cfRule type="expression" priority="5651" id="{E2611041-9C08-494A-8D40-98B4BA269280}">
            <xm:f>'CALCULS Eaux usées'!L$341&gt;3</xm:f>
            <x14:dxf>
              <fill>
                <patternFill>
                  <bgColor theme="8" tint="-0.499984740745262"/>
                </patternFill>
              </fill>
            </x14:dxf>
          </x14:cfRule>
          <xm:sqref>CH148</xm:sqref>
        </x14:conditionalFormatting>
        <x14:conditionalFormatting xmlns:xm="http://schemas.microsoft.com/office/excel/2006/main">
          <x14:cfRule type="expression" priority="5652" id="{6AB62F08-AE12-4165-BF13-70B5E1967C1D}">
            <xm:f>'CALCULS Eaux usées'!L$341&gt;2</xm:f>
            <x14:dxf>
              <fill>
                <patternFill>
                  <bgColor theme="8" tint="-0.499984740745262"/>
                </patternFill>
              </fill>
            </x14:dxf>
          </x14:cfRule>
          <xm:sqref>CH149</xm:sqref>
        </x14:conditionalFormatting>
        <x14:conditionalFormatting xmlns:xm="http://schemas.microsoft.com/office/excel/2006/main">
          <x14:cfRule type="expression" priority="5653" id="{E762092A-7B26-44F5-8583-8593038387C8}">
            <xm:f>'CALCULS Eaux usées'!L$341&gt;1</xm:f>
            <x14:dxf>
              <fill>
                <patternFill>
                  <bgColor theme="8" tint="-0.499984740745262"/>
                </patternFill>
              </fill>
            </x14:dxf>
          </x14:cfRule>
          <xm:sqref>CH150</xm:sqref>
        </x14:conditionalFormatting>
        <x14:conditionalFormatting xmlns:xm="http://schemas.microsoft.com/office/excel/2006/main">
          <x14:cfRule type="expression" priority="5654" id="{A3950E93-9936-41D3-96B1-E5AFB2FC88ED}">
            <xm:f>'CALCULS Eaux usées'!L$341&gt;0</xm:f>
            <x14:dxf>
              <fill>
                <patternFill>
                  <bgColor theme="8" tint="-0.499984740745262"/>
                </patternFill>
              </fill>
            </x14:dxf>
          </x14:cfRule>
          <xm:sqref>CH151</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24988A"/>
    <pageSetUpPr fitToPage="1"/>
  </sheetPr>
  <dimension ref="A1:AJ729"/>
  <sheetViews>
    <sheetView showGridLines="0" zoomScaleNormal="100" workbookViewId="0">
      <selection activeCell="L3" sqref="L3"/>
    </sheetView>
  </sheetViews>
  <sheetFormatPr baseColWidth="10" defaultColWidth="11.44140625" defaultRowHeight="14.4"/>
  <cols>
    <col min="1" max="1" width="2" style="28" customWidth="1"/>
    <col min="2" max="2" width="3.44140625" style="28" customWidth="1"/>
    <col min="3" max="3" width="23.5546875" style="28" customWidth="1"/>
    <col min="4" max="4" width="15.44140625" style="28" customWidth="1"/>
    <col min="5" max="6" width="15" style="28" customWidth="1"/>
    <col min="7" max="7" width="16" style="28" customWidth="1"/>
    <col min="8" max="11" width="15" style="28" customWidth="1"/>
    <col min="12" max="12" width="16.109375" style="28" customWidth="1"/>
    <col min="13" max="15" width="15" style="28" customWidth="1"/>
    <col min="16" max="16" width="2.88671875" style="28" customWidth="1"/>
    <col min="17" max="17" width="3" style="28" customWidth="1"/>
    <col min="18" max="18" width="9.109375" style="28" customWidth="1"/>
    <col min="19" max="19" width="45.33203125" style="28" customWidth="1"/>
    <col min="20" max="20" width="26.44140625" style="28" customWidth="1"/>
    <col min="21" max="21" width="17.109375" style="28" customWidth="1"/>
    <col min="22" max="30" width="11.44140625" style="28"/>
    <col min="31" max="31" width="15.44140625" style="28" customWidth="1"/>
    <col min="32" max="33" width="16.88671875" style="28" customWidth="1"/>
    <col min="34" max="34" width="16.44140625" style="28" customWidth="1"/>
    <col min="35" max="16384" width="11.44140625" style="28"/>
  </cols>
  <sheetData>
    <row r="1" spans="2:19" ht="9" customHeight="1" thickBot="1">
      <c r="S1" s="614"/>
    </row>
    <row r="2" spans="2:19" ht="31.5" customHeight="1">
      <c r="B2" s="2094" t="s">
        <v>338</v>
      </c>
      <c r="C2" s="2095"/>
      <c r="D2" s="2095"/>
      <c r="E2" s="2095"/>
      <c r="F2" s="2095"/>
      <c r="G2" s="2095"/>
      <c r="H2" s="2095"/>
      <c r="I2" s="2095"/>
      <c r="J2" s="2095"/>
      <c r="K2" s="2095"/>
      <c r="L2" s="1902"/>
      <c r="M2" s="1902"/>
      <c r="N2" s="1902"/>
      <c r="O2" s="2096"/>
      <c r="P2" s="2096"/>
      <c r="Q2" s="2096"/>
      <c r="S2" s="3484" t="s">
        <v>3481</v>
      </c>
    </row>
    <row r="3" spans="2:19" ht="29.25" customHeight="1" thickBot="1">
      <c r="B3" s="2224" t="str">
        <f>IF((IDENTIFICATION!G142='MENU DÉROULANT'!C10),"Note: L'organisation a fait le choix d'intégrer sa gestion des infrastructures d'eaux pluviales avec celles des eaux usées. Le présent formulaire n'a donc pas besoin d'être complété.","")</f>
        <v/>
      </c>
      <c r="C3" s="587"/>
      <c r="M3" s="3070" t="s">
        <v>4042</v>
      </c>
      <c r="N3" s="3071"/>
      <c r="O3" s="3071"/>
      <c r="P3" s="3071"/>
      <c r="Q3" s="3071"/>
      <c r="S3" s="3485"/>
    </row>
    <row r="4" spans="2:19" ht="9.75" customHeight="1" thickBot="1">
      <c r="B4" s="475"/>
      <c r="C4" s="476"/>
      <c r="D4" s="476"/>
      <c r="E4" s="476"/>
      <c r="F4" s="476"/>
      <c r="G4" s="476"/>
      <c r="H4" s="476"/>
      <c r="I4" s="476"/>
      <c r="J4" s="476"/>
      <c r="K4" s="476"/>
      <c r="L4" s="35"/>
      <c r="M4" s="35"/>
      <c r="N4" s="35"/>
      <c r="O4" s="58"/>
      <c r="P4" s="58"/>
      <c r="Q4" s="58"/>
      <c r="S4" s="614"/>
    </row>
    <row r="5" spans="2:19" ht="9" customHeight="1">
      <c r="B5" s="2071"/>
      <c r="C5" s="2072"/>
      <c r="D5" s="2072"/>
      <c r="E5" s="2072"/>
      <c r="F5" s="2072"/>
      <c r="G5" s="2072"/>
      <c r="H5" s="2072"/>
      <c r="I5" s="2072"/>
      <c r="J5" s="2072"/>
      <c r="K5" s="2072"/>
      <c r="L5" s="2072"/>
      <c r="M5" s="2072"/>
      <c r="N5" s="2072"/>
      <c r="O5" s="2072"/>
      <c r="P5" s="2073"/>
      <c r="Q5" s="2074"/>
      <c r="S5" s="3486"/>
    </row>
    <row r="6" spans="2:19" ht="18.75" customHeight="1">
      <c r="B6" s="2075" t="s">
        <v>251</v>
      </c>
      <c r="C6" s="1938"/>
      <c r="D6" s="2076"/>
      <c r="E6" s="2076"/>
      <c r="F6" s="2076"/>
      <c r="G6" s="1938"/>
      <c r="H6" s="3729"/>
      <c r="I6" s="3729"/>
      <c r="J6" s="3729"/>
      <c r="K6" s="3729"/>
      <c r="L6" s="3729"/>
      <c r="M6" s="3729"/>
      <c r="N6" s="3729"/>
      <c r="O6" s="3729"/>
      <c r="P6" s="2077"/>
      <c r="Q6" s="2078"/>
      <c r="S6" s="3487"/>
    </row>
    <row r="7" spans="2:19" ht="18" customHeight="1">
      <c r="B7" s="2079"/>
      <c r="C7" s="2080"/>
      <c r="D7" s="2076"/>
      <c r="E7" s="2076"/>
      <c r="F7" s="2076"/>
      <c r="G7" s="1938"/>
      <c r="H7" s="2081"/>
      <c r="I7" s="2082" t="s">
        <v>496</v>
      </c>
      <c r="J7" s="1938"/>
      <c r="K7" s="2083" t="s">
        <v>497</v>
      </c>
      <c r="L7" s="1938"/>
      <c r="M7" s="2084"/>
      <c r="N7" s="2083" t="s">
        <v>498</v>
      </c>
      <c r="O7" s="2085"/>
      <c r="P7" s="2077"/>
      <c r="Q7" s="2078"/>
      <c r="S7" s="3487"/>
    </row>
    <row r="8" spans="2:19" s="72" customFormat="1" ht="18" customHeight="1">
      <c r="B8" s="2086"/>
      <c r="C8" s="2176" t="s">
        <v>499</v>
      </c>
      <c r="D8" s="2177" t="s">
        <v>500</v>
      </c>
      <c r="E8" s="2178"/>
      <c r="F8" s="2178"/>
      <c r="G8" s="2178"/>
      <c r="H8" s="2179"/>
      <c r="I8" s="2180" t="str">
        <f>IF(OR(O24="À compléter",O45="À compléter"),"À compléter","Complété")</f>
        <v>À compléter</v>
      </c>
      <c r="J8" s="2180"/>
      <c r="K8" s="2180" t="str">
        <f>"----"</f>
        <v>----</v>
      </c>
      <c r="L8" s="2180"/>
      <c r="M8" s="2180"/>
      <c r="N8" s="2180" t="str">
        <f>"----"</f>
        <v>----</v>
      </c>
      <c r="O8" s="2181"/>
      <c r="P8" s="2077"/>
      <c r="Q8" s="2078"/>
      <c r="S8" s="3487"/>
    </row>
    <row r="9" spans="2:19" s="72" customFormat="1" ht="18" customHeight="1">
      <c r="B9" s="2086"/>
      <c r="C9" s="2166" t="s">
        <v>501</v>
      </c>
      <c r="D9" s="2167" t="s">
        <v>502</v>
      </c>
      <c r="E9" s="2168"/>
      <c r="F9" s="2168"/>
      <c r="G9" s="2169"/>
      <c r="H9" s="2170"/>
      <c r="I9" s="2171" t="str">
        <f>O67</f>
        <v>À compléter</v>
      </c>
      <c r="J9" s="2172"/>
      <c r="K9" s="2172" t="str">
        <f>I169</f>
        <v>À compléter</v>
      </c>
      <c r="L9" s="2172"/>
      <c r="M9" s="2172"/>
      <c r="N9" s="2172" t="str">
        <f>I171</f>
        <v>À compléter</v>
      </c>
      <c r="O9" s="2169"/>
      <c r="P9" s="2077"/>
      <c r="Q9" s="2078"/>
      <c r="S9" s="3487"/>
    </row>
    <row r="10" spans="2:19" s="72" customFormat="1" ht="18" customHeight="1">
      <c r="B10" s="2086"/>
      <c r="C10" s="2166" t="s">
        <v>503</v>
      </c>
      <c r="D10" s="2167" t="s">
        <v>504</v>
      </c>
      <c r="E10" s="2168"/>
      <c r="F10" s="2168"/>
      <c r="G10" s="2173"/>
      <c r="H10" s="2170"/>
      <c r="I10" s="2171" t="str">
        <f>O179</f>
        <v>À compléter</v>
      </c>
      <c r="J10" s="2172"/>
      <c r="K10" s="2172" t="str">
        <f>I241</f>
        <v>À compléter</v>
      </c>
      <c r="L10" s="2172"/>
      <c r="M10" s="2172"/>
      <c r="N10" s="2172" t="str">
        <f>I243</f>
        <v>À compléter</v>
      </c>
      <c r="O10" s="2169"/>
      <c r="P10" s="2077"/>
      <c r="Q10" s="2078"/>
      <c r="S10" s="3487"/>
    </row>
    <row r="11" spans="2:19" s="72" customFormat="1" ht="18" customHeight="1">
      <c r="B11" s="2086"/>
      <c r="C11" s="2166" t="s">
        <v>505</v>
      </c>
      <c r="D11" s="2167" t="s">
        <v>89</v>
      </c>
      <c r="E11" s="2168"/>
      <c r="F11" s="2168"/>
      <c r="G11" s="2173"/>
      <c r="H11" s="2170"/>
      <c r="I11" s="2171" t="str">
        <f>O251</f>
        <v>À compléter</v>
      </c>
      <c r="J11" s="2172"/>
      <c r="K11" s="2172" t="str">
        <f>I285</f>
        <v>À compléter</v>
      </c>
      <c r="L11" s="2172"/>
      <c r="M11" s="2172"/>
      <c r="N11" s="2172" t="str">
        <f>I287</f>
        <v>À compléter</v>
      </c>
      <c r="O11" s="2169"/>
      <c r="P11" s="2077"/>
      <c r="Q11" s="2078"/>
      <c r="S11" s="3487"/>
    </row>
    <row r="12" spans="2:19" s="72" customFormat="1" ht="18" customHeight="1">
      <c r="B12" s="2086"/>
      <c r="C12" s="2166" t="s">
        <v>506</v>
      </c>
      <c r="D12" s="2167" t="s">
        <v>507</v>
      </c>
      <c r="E12" s="2168"/>
      <c r="F12" s="2168"/>
      <c r="G12" s="2173"/>
      <c r="H12" s="2174"/>
      <c r="I12" s="2171" t="str">
        <f>O295</f>
        <v>À compléter</v>
      </c>
      <c r="J12" s="2172"/>
      <c r="K12" s="2172" t="str">
        <f>I328</f>
        <v>À compléter</v>
      </c>
      <c r="L12" s="2172"/>
      <c r="M12" s="2172"/>
      <c r="N12" s="2172" t="str">
        <f>I330</f>
        <v>À compléter</v>
      </c>
      <c r="O12" s="2169"/>
      <c r="P12" s="2077"/>
      <c r="Q12" s="2078"/>
      <c r="S12" s="3487"/>
    </row>
    <row r="13" spans="2:19" s="72" customFormat="1" ht="18" customHeight="1">
      <c r="B13" s="2086"/>
      <c r="C13" s="2166" t="s">
        <v>508</v>
      </c>
      <c r="D13" s="2167" t="s">
        <v>509</v>
      </c>
      <c r="E13" s="2168"/>
      <c r="F13" s="2168"/>
      <c r="G13" s="2168"/>
      <c r="H13" s="2169"/>
      <c r="I13" s="2175" t="str">
        <f>O338</f>
        <v>À compléter</v>
      </c>
      <c r="J13" s="2172"/>
      <c r="K13" s="2172" t="str">
        <f>I369</f>
        <v>À compléter</v>
      </c>
      <c r="L13" s="2172"/>
      <c r="M13" s="2172"/>
      <c r="N13" s="2172" t="str">
        <f>I371</f>
        <v>À compléter</v>
      </c>
      <c r="O13" s="2169"/>
      <c r="P13" s="2077"/>
      <c r="Q13" s="2078"/>
      <c r="S13" s="3487"/>
    </row>
    <row r="14" spans="2:19" s="72" customFormat="1" ht="18" customHeight="1">
      <c r="B14" s="2086"/>
      <c r="C14" s="2166" t="s">
        <v>510</v>
      </c>
      <c r="D14" s="2167" t="s">
        <v>511</v>
      </c>
      <c r="E14" s="2168"/>
      <c r="F14" s="2168"/>
      <c r="G14" s="2168"/>
      <c r="H14" s="2169"/>
      <c r="I14" s="2175" t="str">
        <f>O375</f>
        <v>À compléter</v>
      </c>
      <c r="J14" s="2172"/>
      <c r="K14" s="2172" t="str">
        <f>I497</f>
        <v>À compléter</v>
      </c>
      <c r="L14" s="2172"/>
      <c r="M14" s="2172"/>
      <c r="N14" s="2172" t="str">
        <f>I499</f>
        <v>À compléter</v>
      </c>
      <c r="O14" s="2169"/>
      <c r="P14" s="2077"/>
      <c r="Q14" s="2078"/>
      <c r="S14" s="3487"/>
    </row>
    <row r="15" spans="2:19" s="72" customFormat="1" ht="18" customHeight="1">
      <c r="B15" s="2086"/>
      <c r="C15" s="2166" t="s">
        <v>512</v>
      </c>
      <c r="D15" s="2167" t="s">
        <v>513</v>
      </c>
      <c r="E15" s="2168"/>
      <c r="F15" s="2168"/>
      <c r="G15" s="2168"/>
      <c r="H15" s="2169"/>
      <c r="I15" s="2175" t="str">
        <f>O507</f>
        <v>À compléter</v>
      </c>
      <c r="J15" s="2172"/>
      <c r="K15" s="2172" t="str">
        <f>I570</f>
        <v>À compléter</v>
      </c>
      <c r="L15" s="2172"/>
      <c r="M15" s="2172"/>
      <c r="N15" s="2172" t="str">
        <f>I572</f>
        <v>À compléter</v>
      </c>
      <c r="O15" s="2169"/>
      <c r="P15" s="2077"/>
      <c r="Q15" s="2078"/>
      <c r="S15" s="3487"/>
    </row>
    <row r="16" spans="2:19" s="72" customFormat="1" ht="18" customHeight="1">
      <c r="B16" s="2086"/>
      <c r="C16" s="2166" t="s">
        <v>514</v>
      </c>
      <c r="D16" s="2167" t="s">
        <v>515</v>
      </c>
      <c r="E16" s="2168"/>
      <c r="F16" s="2168"/>
      <c r="G16" s="2168"/>
      <c r="H16" s="2169"/>
      <c r="I16" s="2175" t="str">
        <f>O580</f>
        <v>À compléter</v>
      </c>
      <c r="J16" s="2172"/>
      <c r="K16" s="2172" t="str">
        <f>"----"</f>
        <v>----</v>
      </c>
      <c r="L16" s="2172"/>
      <c r="M16" s="2172"/>
      <c r="N16" s="2172" t="str">
        <f>"----"</f>
        <v>----</v>
      </c>
      <c r="O16" s="2169"/>
      <c r="P16" s="2077"/>
      <c r="Q16" s="2078"/>
      <c r="S16" s="3487"/>
    </row>
    <row r="17" spans="1:36" s="72" customFormat="1" ht="18" customHeight="1">
      <c r="B17" s="2086"/>
      <c r="C17" s="2166" t="s">
        <v>516</v>
      </c>
      <c r="D17" s="2167" t="s">
        <v>517</v>
      </c>
      <c r="E17" s="2168"/>
      <c r="F17" s="2168"/>
      <c r="G17" s="2168"/>
      <c r="H17" s="2169"/>
      <c r="I17" s="2175" t="str">
        <f>O646</f>
        <v>À compléter</v>
      </c>
      <c r="J17" s="2172"/>
      <c r="K17" s="2172" t="str">
        <f>"----"</f>
        <v>----</v>
      </c>
      <c r="L17" s="2172"/>
      <c r="M17" s="2172"/>
      <c r="N17" s="2172" t="str">
        <f>"----"</f>
        <v>----</v>
      </c>
      <c r="O17" s="2169"/>
      <c r="P17" s="2077"/>
      <c r="Q17" s="2078"/>
      <c r="S17" s="3487"/>
    </row>
    <row r="18" spans="1:36" s="72" customFormat="1" ht="18" customHeight="1">
      <c r="B18" s="2086"/>
      <c r="C18" s="2182" t="s">
        <v>518</v>
      </c>
      <c r="D18" s="2183" t="s">
        <v>519</v>
      </c>
      <c r="E18" s="2184"/>
      <c r="F18" s="2184"/>
      <c r="G18" s="2184"/>
      <c r="H18" s="2185"/>
      <c r="I18" s="2186" t="str">
        <f>"----"</f>
        <v>----</v>
      </c>
      <c r="J18" s="2186"/>
      <c r="K18" s="2186" t="str">
        <f>"----"</f>
        <v>----</v>
      </c>
      <c r="L18" s="2186"/>
      <c r="M18" s="2186"/>
      <c r="N18" s="2186" t="str">
        <f>"----"</f>
        <v>----</v>
      </c>
      <c r="O18" s="2186"/>
      <c r="P18" s="2077"/>
      <c r="Q18" s="2078"/>
      <c r="S18" s="3487"/>
    </row>
    <row r="19" spans="1:36" ht="14.25" customHeight="1" thickBot="1">
      <c r="B19" s="2087"/>
      <c r="C19" s="2088"/>
      <c r="D19" s="2088"/>
      <c r="E19" s="2088"/>
      <c r="F19" s="2089"/>
      <c r="G19" s="2089"/>
      <c r="H19" s="2089"/>
      <c r="I19" s="2089"/>
      <c r="J19" s="2090"/>
      <c r="K19" s="2090"/>
      <c r="L19" s="2090"/>
      <c r="M19" s="2091"/>
      <c r="N19" s="2091"/>
      <c r="O19" s="2091"/>
      <c r="P19" s="2092"/>
      <c r="Q19" s="2093"/>
      <c r="S19" s="3488"/>
    </row>
    <row r="20" spans="1:36" ht="14.25" customHeight="1" thickBot="1">
      <c r="B20" s="475"/>
      <c r="C20" s="476"/>
      <c r="D20" s="476"/>
      <c r="E20" s="476"/>
      <c r="F20" s="476"/>
      <c r="G20" s="476"/>
      <c r="H20" s="476"/>
      <c r="I20" s="476"/>
      <c r="J20" s="476"/>
      <c r="K20" s="476"/>
      <c r="L20" s="35"/>
      <c r="M20" s="35"/>
      <c r="N20" s="35"/>
      <c r="O20" s="58"/>
      <c r="P20" s="58"/>
      <c r="Q20" s="58"/>
      <c r="S20" s="614"/>
    </row>
    <row r="21" spans="1:36" ht="22.5" customHeight="1" thickBot="1">
      <c r="A21" s="1187"/>
      <c r="B21" s="1926" t="s">
        <v>520</v>
      </c>
      <c r="C21" s="1926"/>
      <c r="D21" s="1926"/>
      <c r="E21" s="1926"/>
      <c r="F21" s="1926"/>
      <c r="G21" s="1926"/>
      <c r="H21" s="1926"/>
      <c r="I21" s="1926"/>
      <c r="J21" s="1926"/>
      <c r="K21" s="1926"/>
      <c r="L21" s="2097"/>
      <c r="M21" s="2097"/>
      <c r="N21" s="2097"/>
      <c r="O21" s="3726" t="s">
        <v>155</v>
      </c>
      <c r="P21" s="3726"/>
      <c r="Q21" s="3726"/>
      <c r="S21" s="615" t="s">
        <v>521</v>
      </c>
      <c r="AD21" s="239"/>
      <c r="AE21" s="240"/>
      <c r="AF21" s="240"/>
      <c r="AG21" s="240"/>
      <c r="AH21" s="55"/>
      <c r="AI21" s="55"/>
      <c r="AJ21" s="55"/>
    </row>
    <row r="22" spans="1:36" ht="9.75" customHeight="1" thickBot="1">
      <c r="S22" s="616"/>
    </row>
    <row r="23" spans="1:36" ht="12" customHeight="1">
      <c r="B23" s="2098"/>
      <c r="C23" s="2099"/>
      <c r="D23" s="2099"/>
      <c r="E23" s="2100"/>
      <c r="F23" s="2101"/>
      <c r="G23" s="2101"/>
      <c r="H23" s="2101"/>
      <c r="I23" s="2101"/>
      <c r="J23" s="2101"/>
      <c r="K23" s="2101"/>
      <c r="L23" s="2101"/>
      <c r="M23" s="2101"/>
      <c r="N23" s="2101"/>
      <c r="O23" s="2101"/>
      <c r="P23" s="2101"/>
      <c r="Q23" s="2102"/>
      <c r="S23" s="3486"/>
    </row>
    <row r="24" spans="1:36" ht="18" customHeight="1">
      <c r="B24" s="2160"/>
      <c r="C24" s="2104" t="s">
        <v>3449</v>
      </c>
      <c r="D24" s="2104"/>
      <c r="E24" s="2161"/>
      <c r="F24" s="1938"/>
      <c r="G24" s="1938"/>
      <c r="H24" s="1938"/>
      <c r="I24" s="1938"/>
      <c r="J24" s="1938"/>
      <c r="K24" s="1938"/>
      <c r="L24" s="1938"/>
      <c r="M24" s="1938"/>
      <c r="N24" s="2126" t="s">
        <v>219</v>
      </c>
      <c r="O24" s="353" t="str">
        <f>IF(AND(IDENTIFICATION!O56="Complété",IDENTIFICATION!O151="Complété"),"Complété","À compléter")</f>
        <v>À compléter</v>
      </c>
      <c r="P24" s="1938"/>
      <c r="Q24" s="2128"/>
      <c r="S24" s="3487"/>
    </row>
    <row r="25" spans="1:36" ht="6.75" customHeight="1">
      <c r="B25" s="2125"/>
      <c r="C25" s="2127"/>
      <c r="D25" s="2127"/>
      <c r="E25" s="2127"/>
      <c r="F25" s="1938"/>
      <c r="G25" s="1938"/>
      <c r="H25" s="1938"/>
      <c r="I25" s="1938"/>
      <c r="J25" s="1938"/>
      <c r="K25" s="1938"/>
      <c r="L25" s="1938"/>
      <c r="M25" s="1938"/>
      <c r="N25" s="1938"/>
      <c r="O25" s="1938"/>
      <c r="P25" s="1938"/>
      <c r="Q25" s="2128"/>
      <c r="S25" s="3487"/>
    </row>
    <row r="26" spans="1:36">
      <c r="B26" s="2086"/>
      <c r="C26" s="2116" t="s">
        <v>522</v>
      </c>
      <c r="D26" s="2109"/>
      <c r="E26" s="2077"/>
      <c r="F26" s="2077"/>
      <c r="G26" s="2077"/>
      <c r="H26" s="2077"/>
      <c r="I26" s="2077"/>
      <c r="J26" s="2077"/>
      <c r="K26" s="2077"/>
      <c r="L26" s="2077"/>
      <c r="M26" s="2077"/>
      <c r="N26" s="2077"/>
      <c r="O26" s="2077"/>
      <c r="P26" s="2077"/>
      <c r="Q26" s="2078"/>
      <c r="S26" s="3487"/>
    </row>
    <row r="27" spans="1:36" ht="19.5" customHeight="1">
      <c r="B27" s="2086"/>
      <c r="C27" s="2124" t="s">
        <v>523</v>
      </c>
      <c r="D27" s="2110"/>
      <c r="E27" s="2077"/>
      <c r="F27" s="2077"/>
      <c r="G27" s="2077"/>
      <c r="H27" s="2077"/>
      <c r="I27" s="2077"/>
      <c r="J27" s="2077"/>
      <c r="K27" s="2077"/>
      <c r="L27" s="2077"/>
      <c r="M27" s="2077"/>
      <c r="N27" s="2077"/>
      <c r="O27" s="2077"/>
      <c r="P27" s="2077"/>
      <c r="Q27" s="2078"/>
      <c r="S27" s="3487"/>
    </row>
    <row r="28" spans="1:36" ht="12.75" customHeight="1">
      <c r="B28" s="2086"/>
      <c r="C28" s="2109"/>
      <c r="D28" s="2109"/>
      <c r="E28" s="2077"/>
      <c r="F28" s="2077"/>
      <c r="G28" s="2077"/>
      <c r="H28" s="2077"/>
      <c r="I28" s="2077"/>
      <c r="J28" s="2077"/>
      <c r="K28" s="2077"/>
      <c r="L28" s="2077"/>
      <c r="M28" s="2077"/>
      <c r="N28" s="2077"/>
      <c r="O28" s="2077"/>
      <c r="P28" s="2077"/>
      <c r="Q28" s="2078"/>
      <c r="S28" s="3487"/>
    </row>
    <row r="29" spans="1:36" ht="18" customHeight="1">
      <c r="B29" s="2086"/>
      <c r="C29" s="258"/>
      <c r="D29" s="474" t="str">
        <f>IF(ISNA(#REF!)=TRUE,"Attention vérifier code géographique","")</f>
        <v/>
      </c>
      <c r="E29" s="260"/>
      <c r="F29" s="260"/>
      <c r="G29" s="260"/>
      <c r="H29" s="260"/>
      <c r="I29" s="260"/>
      <c r="J29" s="260"/>
      <c r="K29" s="260"/>
      <c r="L29" s="260"/>
      <c r="M29" s="260"/>
      <c r="N29" s="260"/>
      <c r="O29" s="260"/>
      <c r="P29" s="261"/>
      <c r="Q29" s="2078"/>
      <c r="S29" s="3487"/>
    </row>
    <row r="30" spans="1:36" ht="25.5" customHeight="1">
      <c r="B30" s="2123"/>
      <c r="C30" s="957" t="str">
        <f>'CALCULS Eaux pluviales'!D8</f>
        <v xml:space="preserve">ORGANISATION :  </v>
      </c>
      <c r="D30" s="3113" t="str">
        <f>'CALCULS Eaux pluviales'!G8</f>
        <v>##</v>
      </c>
      <c r="E30" s="3114"/>
      <c r="F30" s="3115"/>
      <c r="G30" s="2951" t="str">
        <f>'CALCULS Eaux pluviales'!D9</f>
        <v xml:space="preserve">CODE DE L'ORGANISATION :  </v>
      </c>
      <c r="H30" s="3113" t="str">
        <f>'CALCULS Eaux pluviales'!G9</f>
        <v>##</v>
      </c>
      <c r="I30" s="3114"/>
      <c r="J30" s="3114"/>
      <c r="K30" s="3115"/>
      <c r="L30" s="2883" t="str">
        <f>'CALCULS Eaux pluviales'!D10</f>
        <v xml:space="preserve">RÉGION ADMINISTRATIVE :  </v>
      </c>
      <c r="M30" s="3113" t="str">
        <f>'CALCULS Eaux pluviales'!G10</f>
        <v>##</v>
      </c>
      <c r="N30" s="3114"/>
      <c r="O30" s="3115"/>
      <c r="P30" s="604"/>
      <c r="Q30" s="2078"/>
      <c r="S30" s="3487"/>
    </row>
    <row r="31" spans="1:36" ht="8.25" customHeight="1">
      <c r="B31" s="2086"/>
      <c r="C31" s="964"/>
      <c r="D31" s="264"/>
      <c r="F31" s="264"/>
      <c r="H31" s="264"/>
      <c r="I31" s="264"/>
      <c r="J31" s="264"/>
      <c r="K31" s="264"/>
      <c r="L31" s="265"/>
      <c r="P31" s="266"/>
      <c r="Q31" s="2078"/>
      <c r="S31" s="3487"/>
    </row>
    <row r="32" spans="1:36" ht="8.25" customHeight="1">
      <c r="B32" s="2086"/>
      <c r="C32" s="964"/>
      <c r="D32" s="264"/>
      <c r="F32" s="264"/>
      <c r="H32" s="264"/>
      <c r="I32" s="264"/>
      <c r="J32" s="264"/>
      <c r="K32" s="264"/>
      <c r="L32" s="265"/>
      <c r="P32" s="266"/>
      <c r="Q32" s="2078"/>
      <c r="S32" s="3487"/>
    </row>
    <row r="33" spans="2:19" ht="14.25" customHeight="1">
      <c r="B33" s="2123"/>
      <c r="C33" s="104"/>
      <c r="D33" s="906" t="s">
        <v>320</v>
      </c>
      <c r="E33" s="905"/>
      <c r="F33" s="906" t="s">
        <v>321</v>
      </c>
      <c r="G33" s="905"/>
      <c r="H33" s="906" t="s">
        <v>322</v>
      </c>
      <c r="I33" s="906"/>
      <c r="J33" s="906" t="s">
        <v>323</v>
      </c>
      <c r="K33" s="906"/>
      <c r="L33" s="907" t="s">
        <v>324</v>
      </c>
      <c r="M33" s="907" t="s">
        <v>325</v>
      </c>
      <c r="N33" s="903" t="s">
        <v>326</v>
      </c>
      <c r="P33" s="604"/>
      <c r="Q33" s="2078"/>
      <c r="S33" s="3487"/>
    </row>
    <row r="34" spans="2:19" ht="4.5" customHeight="1">
      <c r="B34" s="2086"/>
      <c r="C34" s="3494" t="s">
        <v>327</v>
      </c>
      <c r="D34" s="264"/>
      <c r="F34" s="264"/>
      <c r="H34" s="264"/>
      <c r="I34" s="264"/>
      <c r="J34" s="264"/>
      <c r="K34" s="264"/>
      <c r="L34" s="265"/>
      <c r="P34" s="266"/>
      <c r="Q34" s="2078"/>
      <c r="S34" s="3487"/>
    </row>
    <row r="35" spans="2:19" ht="19.5" customHeight="1">
      <c r="B35" s="2123"/>
      <c r="C35" s="3494"/>
      <c r="D35" s="3187" t="str">
        <f>IF(ISBLANK(IDENTIFICATION!D158),"",IDENTIFICATION!D158)</f>
        <v/>
      </c>
      <c r="E35" s="3188"/>
      <c r="F35" s="3189" t="str">
        <f>IF(ISBLANK(IDENTIFICATION!F158),"",IDENTIFICATION!F158)</f>
        <v/>
      </c>
      <c r="G35" s="3190"/>
      <c r="H35" s="3189" t="str">
        <f>IF(ISBLANK(IDENTIFICATION!H158),"",IDENTIFICATION!H158)</f>
        <v/>
      </c>
      <c r="I35" s="3190"/>
      <c r="J35" s="3189" t="str">
        <f>IF(ISBLANK(IDENTIFICATION!J158),"",IDENTIFICATION!J158)</f>
        <v/>
      </c>
      <c r="K35" s="3190"/>
      <c r="L35" s="966" t="str">
        <f>IF(ISBLANK(IDENTIFICATION!L158),"",IDENTIFICATION!L158)</f>
        <v/>
      </c>
      <c r="M35" s="966" t="str">
        <f>IF(ISBLANK(IDENTIFICATION!M158),"",IDENTIFICATION!M158)</f>
        <v/>
      </c>
      <c r="N35" s="3189" t="str">
        <f>IF(ISBLANK(IDENTIFICATION!N158),"",IDENTIFICATION!N158)</f>
        <v/>
      </c>
      <c r="O35" s="3190"/>
      <c r="P35" s="931">
        <v>6</v>
      </c>
      <c r="Q35" s="2078"/>
      <c r="S35" s="3487"/>
    </row>
    <row r="36" spans="2:19" ht="14.25" customHeight="1">
      <c r="B36" s="2086"/>
      <c r="C36" s="3494"/>
      <c r="D36" s="3544"/>
      <c r="E36" s="3544"/>
      <c r="F36" s="3545"/>
      <c r="G36" s="3545"/>
      <c r="H36" s="3545"/>
      <c r="I36" s="3545"/>
      <c r="J36" s="3545"/>
      <c r="K36" s="3545"/>
      <c r="L36" s="965"/>
      <c r="M36" s="965"/>
      <c r="N36" s="3545"/>
      <c r="O36" s="3545"/>
      <c r="P36" s="930"/>
      <c r="Q36" s="2078"/>
      <c r="S36" s="3487"/>
    </row>
    <row r="37" spans="2:19" ht="19.5" customHeight="1">
      <c r="B37" s="2086"/>
      <c r="C37" s="902" t="s">
        <v>524</v>
      </c>
      <c r="D37" s="3187" t="str">
        <f>IF(OR(IDENTIFICATION!N160='MENU DÉROULANT'!$E$12,IDENTIFICATION!N160='MENU DÉROULANT'!$E$15,IDENTIFICATION!N160='MENU DÉROULANT'!$E$16),IF(ISBLANK(IDENTIFICATION!D160),"",IDENTIFICATION!D160),"")</f>
        <v/>
      </c>
      <c r="E37" s="3188"/>
      <c r="F37" s="3189" t="str">
        <f>IF(($D37=""),"",IDENTIFICATION!F160)</f>
        <v/>
      </c>
      <c r="G37" s="3190"/>
      <c r="H37" s="3189" t="str">
        <f>IF(($D37=""),"",IDENTIFICATION!H160)</f>
        <v/>
      </c>
      <c r="I37" s="3190"/>
      <c r="J37" s="3189" t="str">
        <f>IF(($D37=""),"",IDENTIFICATION!J160)</f>
        <v/>
      </c>
      <c r="K37" s="3190"/>
      <c r="L37" s="966" t="str">
        <f>IF(($D37=""),"",IDENTIFICATION!L160)</f>
        <v/>
      </c>
      <c r="M37" s="966" t="str">
        <f>IF(($D37=""),"",IDENTIFICATION!M160)</f>
        <v/>
      </c>
      <c r="N37" s="3189" t="str">
        <f>IF(($D37=""),"",IDENTIFICATION!N160)</f>
        <v/>
      </c>
      <c r="O37" s="3190"/>
      <c r="P37" s="931">
        <v>6</v>
      </c>
      <c r="Q37" s="2078"/>
      <c r="S37" s="3487"/>
    </row>
    <row r="38" spans="2:19" ht="19.5" customHeight="1">
      <c r="B38" s="2086"/>
      <c r="C38" s="908"/>
      <c r="D38" s="3187" t="str">
        <f>IF(OR(IDENTIFICATION!N162='MENU DÉROULANT'!$E$12,IDENTIFICATION!N162='MENU DÉROULANT'!$E$15,IDENTIFICATION!N162='MENU DÉROULANT'!$E$16),IF(ISBLANK(IDENTIFICATION!D162),"",IDENTIFICATION!D162),"")</f>
        <v/>
      </c>
      <c r="E38" s="3188"/>
      <c r="F38" s="3189" t="str">
        <f>IF(($D38=""),"",IDENTIFICATION!F162)</f>
        <v/>
      </c>
      <c r="G38" s="3190"/>
      <c r="H38" s="3189" t="str">
        <f>IF(($D38=""),"",IDENTIFICATION!H162)</f>
        <v/>
      </c>
      <c r="I38" s="3190"/>
      <c r="J38" s="3189" t="str">
        <f>IF(($D38=""),"",IDENTIFICATION!J162)</f>
        <v/>
      </c>
      <c r="K38" s="3190"/>
      <c r="L38" s="966" t="str">
        <f>IF(($D38=""),"",IDENTIFICATION!L162)</f>
        <v/>
      </c>
      <c r="M38" s="966" t="str">
        <f>IF(($D38=""),"",IDENTIFICATION!M162)</f>
        <v/>
      </c>
      <c r="N38" s="3189" t="str">
        <f>IF(($D38=""),"",IDENTIFICATION!N162)</f>
        <v/>
      </c>
      <c r="O38" s="3190"/>
      <c r="P38" s="930"/>
      <c r="Q38" s="2078"/>
      <c r="S38" s="3487"/>
    </row>
    <row r="39" spans="2:19" ht="19.5" customHeight="1">
      <c r="B39" s="2086"/>
      <c r="C39" s="902"/>
      <c r="D39" s="3187" t="str">
        <f>IF(OR(IDENTIFICATION!N164='MENU DÉROULANT'!$E$12,IDENTIFICATION!N164='MENU DÉROULANT'!$E$15,IDENTIFICATION!N164='MENU DÉROULANT'!$E$16),IF(ISBLANK(IDENTIFICATION!D164),"",IDENTIFICATION!D164),"")</f>
        <v/>
      </c>
      <c r="E39" s="3188"/>
      <c r="F39" s="3189" t="str">
        <f>IF(($D39=""),"",IDENTIFICATION!F164)</f>
        <v/>
      </c>
      <c r="G39" s="3190"/>
      <c r="H39" s="3189" t="str">
        <f>IF(($D39=""),"",IDENTIFICATION!H164)</f>
        <v/>
      </c>
      <c r="I39" s="3190"/>
      <c r="J39" s="3189" t="str">
        <f>IF(($D39=""),"",IDENTIFICATION!J164)</f>
        <v/>
      </c>
      <c r="K39" s="3190"/>
      <c r="L39" s="966" t="str">
        <f>IF(($D39=""),"",IDENTIFICATION!L164)</f>
        <v/>
      </c>
      <c r="M39" s="966" t="str">
        <f>IF(($D39=""),"",IDENTIFICATION!M164)</f>
        <v/>
      </c>
      <c r="N39" s="3189" t="str">
        <f>IF(($D39=""),"",IDENTIFICATION!N164)</f>
        <v/>
      </c>
      <c r="O39" s="3190"/>
      <c r="P39" s="931">
        <v>6</v>
      </c>
      <c r="Q39" s="2078"/>
      <c r="S39" s="3487"/>
    </row>
    <row r="40" spans="2:19" ht="19.5" customHeight="1">
      <c r="B40" s="2086"/>
      <c r="C40" s="908"/>
      <c r="D40" s="3187" t="str">
        <f>IF(OR(IDENTIFICATION!N166='MENU DÉROULANT'!$E$12,IDENTIFICATION!N166='MENU DÉROULANT'!$E$15,IDENTIFICATION!N166='MENU DÉROULANT'!$E$16),IF(ISBLANK(IDENTIFICATION!D166),"",IDENTIFICATION!D166),"")</f>
        <v/>
      </c>
      <c r="E40" s="3188"/>
      <c r="F40" s="3189" t="str">
        <f>IF(($D40=""),"",IDENTIFICATION!F166)</f>
        <v/>
      </c>
      <c r="G40" s="3190"/>
      <c r="H40" s="3189" t="str">
        <f>IF(($D40=""),"",IDENTIFICATION!H166)</f>
        <v/>
      </c>
      <c r="I40" s="3190"/>
      <c r="J40" s="3189" t="str">
        <f>IF(($D40=""),"",IDENTIFICATION!J166)</f>
        <v/>
      </c>
      <c r="K40" s="3190"/>
      <c r="L40" s="966" t="str">
        <f>IF(($D40=""),"",IDENTIFICATION!L166)</f>
        <v/>
      </c>
      <c r="M40" s="966" t="str">
        <f>IF(($D40=""),"",IDENTIFICATION!M166)</f>
        <v/>
      </c>
      <c r="N40" s="3189" t="str">
        <f>IF(($D40=""),"",IDENTIFICATION!N166)</f>
        <v/>
      </c>
      <c r="O40" s="3190"/>
      <c r="P40" s="930"/>
      <c r="Q40" s="2078"/>
      <c r="S40" s="3487"/>
    </row>
    <row r="41" spans="2:19" ht="16.5" customHeight="1">
      <c r="B41" s="2086"/>
      <c r="C41" s="268"/>
      <c r="D41" s="269"/>
      <c r="E41" s="270"/>
      <c r="F41" s="270"/>
      <c r="G41" s="270"/>
      <c r="H41" s="270"/>
      <c r="I41" s="271"/>
      <c r="J41" s="272"/>
      <c r="K41" s="272"/>
      <c r="L41" s="272"/>
      <c r="M41" s="272"/>
      <c r="N41" s="272"/>
      <c r="O41" s="272"/>
      <c r="P41" s="273"/>
      <c r="Q41" s="2078"/>
      <c r="S41" s="3487"/>
    </row>
    <row r="42" spans="2:19" ht="13.5" customHeight="1" thickBot="1">
      <c r="B42" s="2158"/>
      <c r="C42" s="2090"/>
      <c r="D42" s="2090"/>
      <c r="E42" s="2090"/>
      <c r="F42" s="2090"/>
      <c r="G42" s="2090"/>
      <c r="H42" s="2090"/>
      <c r="I42" s="2090"/>
      <c r="J42" s="2090"/>
      <c r="K42" s="2090"/>
      <c r="L42" s="2090"/>
      <c r="M42" s="2090"/>
      <c r="N42" s="2090"/>
      <c r="O42" s="2090"/>
      <c r="P42" s="2090"/>
      <c r="Q42" s="2157"/>
      <c r="S42" s="3487"/>
    </row>
    <row r="43" spans="2:19" ht="10.5" customHeight="1" thickBot="1">
      <c r="S43" s="3487"/>
    </row>
    <row r="44" spans="2:19" ht="12" customHeight="1">
      <c r="B44" s="2098"/>
      <c r="C44" s="2099"/>
      <c r="D44" s="2099"/>
      <c r="E44" s="2100"/>
      <c r="F44" s="2101"/>
      <c r="G44" s="2101"/>
      <c r="H44" s="2101"/>
      <c r="I44" s="2101"/>
      <c r="J44" s="2101"/>
      <c r="K44" s="2101"/>
      <c r="L44" s="2101"/>
      <c r="M44" s="2101"/>
      <c r="N44" s="2101"/>
      <c r="O44" s="2101"/>
      <c r="P44" s="2101"/>
      <c r="Q44" s="2102"/>
      <c r="S44" s="3487"/>
    </row>
    <row r="45" spans="2:19" ht="18" customHeight="1">
      <c r="B45" s="2160"/>
      <c r="C45" s="2104" t="s">
        <v>301</v>
      </c>
      <c r="D45" s="2104"/>
      <c r="E45" s="2161"/>
      <c r="F45" s="1938"/>
      <c r="G45" s="1938"/>
      <c r="H45" s="1938"/>
      <c r="I45" s="1938"/>
      <c r="J45" s="1938"/>
      <c r="K45" s="1938"/>
      <c r="L45" s="1938"/>
      <c r="M45" s="1938"/>
      <c r="N45" s="2126" t="s">
        <v>219</v>
      </c>
      <c r="O45" s="353" t="str">
        <f>IF(AND(IDENTIFICATION!O111="Complété",IDENTIFICATION!O173="Complété"),"Complété","À compléter")</f>
        <v>À compléter</v>
      </c>
      <c r="P45" s="1938"/>
      <c r="Q45" s="2128"/>
      <c r="S45" s="3487"/>
    </row>
    <row r="46" spans="2:19" ht="7.5" customHeight="1">
      <c r="B46" s="2125"/>
      <c r="C46" s="2127"/>
      <c r="D46" s="2127"/>
      <c r="E46" s="2127"/>
      <c r="F46" s="1938"/>
      <c r="G46" s="1938"/>
      <c r="H46" s="1938"/>
      <c r="I46" s="1938"/>
      <c r="J46" s="1938"/>
      <c r="K46" s="1938"/>
      <c r="L46" s="1938"/>
      <c r="M46" s="1938"/>
      <c r="N46" s="1938"/>
      <c r="O46" s="1938"/>
      <c r="P46" s="1938"/>
      <c r="Q46" s="2128"/>
      <c r="S46" s="3487"/>
    </row>
    <row r="47" spans="2:19">
      <c r="B47" s="2086"/>
      <c r="C47" s="2116" t="s">
        <v>522</v>
      </c>
      <c r="D47" s="2109"/>
      <c r="E47" s="2077"/>
      <c r="F47" s="2077"/>
      <c r="G47" s="2077"/>
      <c r="H47" s="2077"/>
      <c r="I47" s="2077"/>
      <c r="J47" s="2077"/>
      <c r="K47" s="2077"/>
      <c r="L47" s="2077"/>
      <c r="M47" s="2077"/>
      <c r="N47" s="2077"/>
      <c r="O47" s="2077"/>
      <c r="P47" s="2077"/>
      <c r="Q47" s="2078"/>
      <c r="S47" s="3487"/>
    </row>
    <row r="48" spans="2:19" ht="19.5" customHeight="1">
      <c r="B48" s="2086"/>
      <c r="C48" s="2124" t="s">
        <v>523</v>
      </c>
      <c r="D48" s="2110"/>
      <c r="E48" s="2077"/>
      <c r="F48" s="2077"/>
      <c r="G48" s="2077"/>
      <c r="H48" s="2077"/>
      <c r="I48" s="2077"/>
      <c r="J48" s="2077"/>
      <c r="K48" s="2077"/>
      <c r="L48" s="2077"/>
      <c r="M48" s="2077"/>
      <c r="N48" s="2077"/>
      <c r="O48" s="2077"/>
      <c r="P48" s="2077"/>
      <c r="Q48" s="2078"/>
      <c r="S48" s="3487"/>
    </row>
    <row r="49" spans="1:19" ht="12" customHeight="1">
      <c r="B49" s="2086"/>
      <c r="C49" s="2109"/>
      <c r="D49" s="2109"/>
      <c r="E49" s="2165"/>
      <c r="F49" s="2165"/>
      <c r="G49" s="2165"/>
      <c r="H49" s="2165"/>
      <c r="I49" s="2165"/>
      <c r="J49" s="2165"/>
      <c r="K49" s="2165"/>
      <c r="L49" s="2165"/>
      <c r="M49" s="2165"/>
      <c r="N49" s="2165"/>
      <c r="O49" s="2165"/>
      <c r="P49" s="2077"/>
      <c r="Q49" s="2078"/>
      <c r="S49" s="3487"/>
    </row>
    <row r="50" spans="1:19" ht="15" customHeight="1">
      <c r="B50" s="2086"/>
      <c r="C50" s="258"/>
      <c r="D50" s="259"/>
      <c r="E50" s="275"/>
      <c r="F50" s="275"/>
      <c r="G50" s="275"/>
      <c r="H50" s="275"/>
      <c r="I50" s="275"/>
      <c r="J50" s="275"/>
      <c r="K50" s="275"/>
      <c r="L50" s="275"/>
      <c r="M50" s="275"/>
      <c r="N50" s="275"/>
      <c r="O50" s="275"/>
      <c r="P50" s="261"/>
      <c r="Q50" s="2078"/>
      <c r="S50" s="3487"/>
    </row>
    <row r="51" spans="1:19" ht="18" customHeight="1">
      <c r="B51" s="2123"/>
      <c r="C51" s="104"/>
      <c r="D51" s="925" t="s">
        <v>303</v>
      </c>
      <c r="E51" s="967" t="str">
        <f>IF(ISBLANK(IDENTIFICATION!E116),"",IDENTIFICATION!E116)</f>
        <v/>
      </c>
      <c r="F51" s="928" t="s">
        <v>525</v>
      </c>
      <c r="G51" s="929"/>
      <c r="H51" s="929"/>
      <c r="I51" s="929"/>
      <c r="J51" s="929"/>
      <c r="K51" s="929"/>
      <c r="L51" s="265"/>
      <c r="M51" s="265"/>
      <c r="N51" s="265"/>
      <c r="O51" s="265"/>
      <c r="P51" s="266"/>
      <c r="Q51" s="2078"/>
      <c r="S51" s="3487"/>
    </row>
    <row r="52" spans="1:19" ht="10.5" customHeight="1">
      <c r="B52" s="2086"/>
      <c r="C52" s="104"/>
      <c r="D52" s="303"/>
      <c r="E52" s="303"/>
      <c r="F52" s="265"/>
      <c r="G52" s="265"/>
      <c r="H52" s="265"/>
      <c r="I52" s="265"/>
      <c r="J52" s="265"/>
      <c r="K52" s="265"/>
      <c r="L52" s="265"/>
      <c r="M52" s="265"/>
      <c r="N52" s="265"/>
      <c r="O52" s="265"/>
      <c r="P52" s="266"/>
      <c r="Q52" s="2078"/>
      <c r="S52" s="3487"/>
    </row>
    <row r="53" spans="1:19" ht="18" customHeight="1">
      <c r="B53" s="2123"/>
      <c r="C53" s="104"/>
      <c r="D53" s="927" t="s">
        <v>305</v>
      </c>
      <c r="E53" s="967" t="str">
        <f>IF(ISBLANK(IDENTIFICATION!E118),"",IDENTIFICATION!E118)</f>
        <v/>
      </c>
      <c r="F53" s="926" t="s">
        <v>3482</v>
      </c>
      <c r="H53" s="265"/>
      <c r="I53" s="265"/>
      <c r="J53" s="265"/>
      <c r="K53" s="265"/>
      <c r="L53" s="265"/>
      <c r="M53" s="265"/>
      <c r="N53" s="265"/>
      <c r="O53" s="265"/>
      <c r="P53" s="266"/>
      <c r="Q53" s="2078"/>
      <c r="S53" s="3487"/>
    </row>
    <row r="54" spans="1:19" ht="15.75" customHeight="1">
      <c r="B54" s="2086"/>
      <c r="C54" s="302"/>
      <c r="D54" s="303"/>
      <c r="E54" s="265"/>
      <c r="F54" s="265"/>
      <c r="G54" s="265"/>
      <c r="H54" s="265"/>
      <c r="I54" s="265"/>
      <c r="J54" s="265"/>
      <c r="K54" s="265"/>
      <c r="L54" s="265"/>
      <c r="M54" s="265"/>
      <c r="N54" s="265"/>
      <c r="O54" s="265"/>
      <c r="P54" s="266"/>
      <c r="Q54" s="2078"/>
      <c r="S54" s="3487"/>
    </row>
    <row r="55" spans="1:19" ht="19.5" customHeight="1">
      <c r="B55" s="2123"/>
      <c r="C55" s="3119" t="s">
        <v>526</v>
      </c>
      <c r="D55" s="3120"/>
      <c r="E55" s="3325" t="str">
        <f>IF(ISBLANK(IDENTIFICATION!J180),"",IDENTIFICATION!J180)</f>
        <v/>
      </c>
      <c r="F55" s="3326"/>
      <c r="G55" s="3318" t="s">
        <v>845</v>
      </c>
      <c r="H55" s="3318"/>
      <c r="I55" s="3319"/>
      <c r="J55" s="3320"/>
      <c r="K55" s="3320"/>
      <c r="L55" s="3320"/>
      <c r="M55" s="3320"/>
      <c r="N55" s="3320"/>
      <c r="O55" s="3321"/>
      <c r="P55" s="604"/>
      <c r="Q55" s="2078"/>
      <c r="S55" s="3487"/>
    </row>
    <row r="56" spans="1:19" ht="14.25" customHeight="1">
      <c r="B56" s="2086"/>
      <c r="C56" s="919"/>
      <c r="D56" s="920"/>
      <c r="E56" s="267"/>
      <c r="F56" s="267"/>
      <c r="G56" s="3318"/>
      <c r="H56" s="3318"/>
      <c r="I56" s="3322"/>
      <c r="J56" s="3323"/>
      <c r="K56" s="3323"/>
      <c r="L56" s="3323"/>
      <c r="M56" s="3323"/>
      <c r="N56" s="3323"/>
      <c r="O56" s="3324"/>
      <c r="P56" s="266"/>
      <c r="Q56" s="2078"/>
      <c r="S56" s="3487"/>
    </row>
    <row r="57" spans="1:19" ht="19.5" customHeight="1">
      <c r="B57" s="2086"/>
      <c r="C57" s="3119" t="s">
        <v>528</v>
      </c>
      <c r="D57" s="3120"/>
      <c r="E57" s="3325" t="str">
        <f>IF(ISBLANK(IDENTIFICATION!J182),"",IDENTIFICATION!J182)</f>
        <v/>
      </c>
      <c r="F57" s="3326"/>
      <c r="G57" s="3318"/>
      <c r="H57" s="3318"/>
      <c r="I57" s="3322"/>
      <c r="J57" s="3323"/>
      <c r="K57" s="3323"/>
      <c r="L57" s="3323"/>
      <c r="M57" s="3323"/>
      <c r="N57" s="3323"/>
      <c r="O57" s="3324"/>
      <c r="P57" s="266"/>
      <c r="Q57" s="2078"/>
      <c r="S57" s="3487"/>
    </row>
    <row r="58" spans="1:19" ht="19.5" customHeight="1">
      <c r="B58" s="2086"/>
      <c r="C58" s="922"/>
      <c r="D58" s="920"/>
      <c r="E58" s="3325" t="str">
        <f>IF(ISBLANK(IDENTIFICATION!J183),"",IDENTIFICATION!J183)</f>
        <v/>
      </c>
      <c r="F58" s="3326"/>
      <c r="G58" s="282"/>
      <c r="H58" s="968"/>
      <c r="I58" s="3322"/>
      <c r="J58" s="3323"/>
      <c r="K58" s="3323"/>
      <c r="L58" s="3323"/>
      <c r="M58" s="3323"/>
      <c r="N58" s="3323"/>
      <c r="O58" s="3324"/>
      <c r="P58" s="266"/>
      <c r="Q58" s="2078"/>
      <c r="S58" s="3487"/>
    </row>
    <row r="59" spans="1:19" ht="19.5" customHeight="1">
      <c r="B59" s="2086"/>
      <c r="C59" s="902"/>
      <c r="D59" s="958"/>
      <c r="E59" s="3325" t="str">
        <f>IF(ISBLANK(IDENTIFICATION!J184),"",IDENTIFICATION!J184)</f>
        <v/>
      </c>
      <c r="F59" s="3326"/>
      <c r="G59" s="282"/>
      <c r="H59" s="968"/>
      <c r="I59" s="3322"/>
      <c r="J59" s="3323"/>
      <c r="K59" s="3323"/>
      <c r="L59" s="3323"/>
      <c r="M59" s="3323"/>
      <c r="N59" s="3323"/>
      <c r="O59" s="3324"/>
      <c r="P59" s="604"/>
      <c r="Q59" s="2078"/>
      <c r="S59" s="3487"/>
    </row>
    <row r="60" spans="1:19" ht="17.25" customHeight="1">
      <c r="B60" s="2086"/>
      <c r="C60" s="902"/>
      <c r="D60" s="923"/>
      <c r="E60" s="3325" t="str">
        <f>IF(ISBLANK(IDENTIFICATION!J185),"",IDENTIFICATION!J185)</f>
        <v/>
      </c>
      <c r="F60" s="3326"/>
      <c r="G60" s="282"/>
      <c r="H60" s="968"/>
      <c r="I60" s="3251"/>
      <c r="J60" s="3252"/>
      <c r="K60" s="3252"/>
      <c r="L60" s="3252"/>
      <c r="M60" s="3252"/>
      <c r="N60" s="3252"/>
      <c r="O60" s="3253"/>
      <c r="P60" s="604"/>
      <c r="Q60" s="2078"/>
      <c r="S60" s="3487"/>
    </row>
    <row r="61" spans="1:19" ht="17.25" customHeight="1">
      <c r="B61" s="2086"/>
      <c r="C61" s="276"/>
      <c r="D61" s="277"/>
      <c r="E61" s="272"/>
      <c r="F61" s="283"/>
      <c r="G61" s="272"/>
      <c r="H61" s="283"/>
      <c r="I61" s="271"/>
      <c r="J61" s="272"/>
      <c r="K61" s="283"/>
      <c r="L61" s="272"/>
      <c r="M61" s="283"/>
      <c r="N61" s="272"/>
      <c r="O61" s="283"/>
      <c r="P61" s="273"/>
      <c r="Q61" s="2078"/>
      <c r="S61" s="3487"/>
    </row>
    <row r="62" spans="1:19" ht="13.5" customHeight="1" thickBot="1">
      <c r="B62" s="2158"/>
      <c r="C62" s="2090"/>
      <c r="D62" s="2090"/>
      <c r="E62" s="2090"/>
      <c r="F62" s="2090"/>
      <c r="G62" s="2090"/>
      <c r="H62" s="2090"/>
      <c r="I62" s="2090"/>
      <c r="J62" s="2090"/>
      <c r="K62" s="2090"/>
      <c r="L62" s="2090"/>
      <c r="M62" s="2090"/>
      <c r="N62" s="2090"/>
      <c r="O62" s="2090"/>
      <c r="P62" s="2090"/>
      <c r="Q62" s="2157"/>
      <c r="S62" s="3488"/>
    </row>
    <row r="63" spans="1:19" ht="10.5" customHeight="1" thickBot="1">
      <c r="B63" s="683"/>
      <c r="S63" s="614"/>
    </row>
    <row r="64" spans="1:19" ht="22.5" customHeight="1" thickBot="1">
      <c r="A64" s="1187"/>
      <c r="B64" s="1926" t="s">
        <v>529</v>
      </c>
      <c r="C64" s="1926"/>
      <c r="D64" s="1926"/>
      <c r="E64" s="1926"/>
      <c r="F64" s="1926"/>
      <c r="G64" s="1926"/>
      <c r="H64" s="1926"/>
      <c r="I64" s="1926"/>
      <c r="J64" s="1926"/>
      <c r="K64" s="1926"/>
      <c r="L64" s="2097"/>
      <c r="M64" s="2097"/>
      <c r="N64" s="2097"/>
      <c r="O64" s="3726" t="s">
        <v>155</v>
      </c>
      <c r="P64" s="3726"/>
      <c r="Q64" s="3726"/>
      <c r="S64" s="615" t="s">
        <v>521</v>
      </c>
    </row>
    <row r="65" spans="2:19" ht="9.75" customHeight="1" thickBot="1">
      <c r="S65" s="616"/>
    </row>
    <row r="66" spans="2:19" ht="8.25" customHeight="1">
      <c r="B66" s="2098"/>
      <c r="C66" s="2099"/>
      <c r="D66" s="2099"/>
      <c r="E66" s="2100"/>
      <c r="F66" s="2101"/>
      <c r="G66" s="2101"/>
      <c r="H66" s="2101"/>
      <c r="I66" s="2101"/>
      <c r="J66" s="2101"/>
      <c r="K66" s="2101"/>
      <c r="L66" s="2101"/>
      <c r="M66" s="2101"/>
      <c r="N66" s="2101"/>
      <c r="O66" s="2101"/>
      <c r="P66" s="2101"/>
      <c r="Q66" s="2102"/>
      <c r="S66" s="3486"/>
    </row>
    <row r="67" spans="2:19" ht="18" customHeight="1">
      <c r="B67" s="2103"/>
      <c r="C67" s="2104" t="s">
        <v>530</v>
      </c>
      <c r="D67" s="2104"/>
      <c r="E67" s="2148"/>
      <c r="F67" s="2105"/>
      <c r="G67" s="2106"/>
      <c r="H67" s="2106"/>
      <c r="I67" s="2106"/>
      <c r="J67" s="2106"/>
      <c r="K67" s="2106"/>
      <c r="L67" s="2405" t="str">
        <f>IF(AND((COUNTBLANK(B72:B115)=ROWS(B72:B115)),(COUNTBLANK(B156:B166)=ROWS(B156:B166))),"Complété","À compléter")</f>
        <v>À compléter</v>
      </c>
      <c r="M67" s="2405" t="str">
        <f>IF((COUNTBLANK(B72:B166)=ROWS(B72:B166)),"Complété","À compléter")</f>
        <v>À compléter</v>
      </c>
      <c r="N67" s="2126" t="s">
        <v>219</v>
      </c>
      <c r="O67" s="353" t="str">
        <f>IF($M$73='MENU DÉROULANT'!$C$66,'FORMULAIRE PGA Eaux pluviales'!L67,'FORMULAIRE PGA Eaux pluviales'!M67)</f>
        <v>À compléter</v>
      </c>
      <c r="P67" s="2106"/>
      <c r="Q67" s="2107"/>
      <c r="S67" s="3487"/>
    </row>
    <row r="68" spans="2:19" ht="6.75" customHeight="1">
      <c r="B68" s="2103"/>
      <c r="C68" s="2105"/>
      <c r="D68" s="2105"/>
      <c r="E68" s="2105"/>
      <c r="F68" s="2106"/>
      <c r="G68" s="2106"/>
      <c r="H68" s="2106"/>
      <c r="I68" s="2106"/>
      <c r="J68" s="2106"/>
      <c r="K68" s="2106"/>
      <c r="L68" s="2106"/>
      <c r="M68" s="2106"/>
      <c r="N68" s="2106"/>
      <c r="O68" s="2106"/>
      <c r="P68" s="2106"/>
      <c r="Q68" s="2107"/>
      <c r="S68" s="3487"/>
    </row>
    <row r="69" spans="2:19" ht="17.25" customHeight="1">
      <c r="B69" s="2125"/>
      <c r="C69" s="3728" t="s">
        <v>531</v>
      </c>
      <c r="D69" s="3728"/>
      <c r="E69" s="3728"/>
      <c r="F69" s="3728"/>
      <c r="G69" s="3728"/>
      <c r="H69" s="3728"/>
      <c r="I69" s="3728"/>
      <c r="J69" s="3728"/>
      <c r="K69" s="3728"/>
      <c r="L69" s="3728"/>
      <c r="M69" s="3728"/>
      <c r="N69" s="1938"/>
      <c r="O69" s="1938"/>
      <c r="P69" s="1938"/>
      <c r="Q69" s="2128"/>
      <c r="S69" s="3487"/>
    </row>
    <row r="70" spans="2:19" ht="9.75" customHeight="1">
      <c r="B70" s="2125"/>
      <c r="C70" s="2127"/>
      <c r="D70" s="2127"/>
      <c r="E70" s="2127"/>
      <c r="F70" s="1938"/>
      <c r="G70" s="1938"/>
      <c r="H70" s="1938"/>
      <c r="I70" s="1938"/>
      <c r="J70" s="1938"/>
      <c r="K70" s="1938"/>
      <c r="L70" s="1938"/>
      <c r="M70" s="1938"/>
      <c r="N70" s="1938"/>
      <c r="O70" s="1938"/>
      <c r="P70" s="1938"/>
      <c r="Q70" s="2128"/>
      <c r="S70" s="3487"/>
    </row>
    <row r="71" spans="2:19" ht="18.75" customHeight="1">
      <c r="B71" s="2086"/>
      <c r="C71" s="2162" t="s">
        <v>3483</v>
      </c>
      <c r="D71" s="2109"/>
      <c r="E71" s="2077"/>
      <c r="F71" s="2077"/>
      <c r="G71" s="2077"/>
      <c r="H71" s="2077"/>
      <c r="I71" s="2077"/>
      <c r="J71" s="2077"/>
      <c r="K71" s="2077"/>
      <c r="L71" s="2077"/>
      <c r="M71" s="2077"/>
      <c r="N71" s="2077"/>
      <c r="O71" s="2077"/>
      <c r="P71" s="2077"/>
      <c r="Q71" s="2078"/>
      <c r="S71" s="3487"/>
    </row>
    <row r="72" spans="2:19" ht="42" customHeight="1">
      <c r="B72" s="2086"/>
      <c r="C72" s="3731" t="s">
        <v>846</v>
      </c>
      <c r="D72" s="3731"/>
      <c r="E72" s="3731"/>
      <c r="F72" s="3731"/>
      <c r="G72" s="3731"/>
      <c r="H72" s="3731"/>
      <c r="I72" s="3731"/>
      <c r="J72" s="3731"/>
      <c r="K72" s="3731"/>
      <c r="L72" s="3732" t="s">
        <v>4047</v>
      </c>
      <c r="M72" s="3733"/>
      <c r="N72" s="3733"/>
      <c r="O72" s="3733"/>
      <c r="P72" s="2226"/>
      <c r="Q72" s="2078"/>
      <c r="S72" s="3487"/>
    </row>
    <row r="73" spans="2:19" ht="45.75" customHeight="1">
      <c r="B73" s="2113" t="str">
        <f>IF(ISBLANK(M73)=FALSE,"","u")</f>
        <v>u</v>
      </c>
      <c r="C73" s="3731"/>
      <c r="D73" s="3731"/>
      <c r="E73" s="3731"/>
      <c r="F73" s="3731"/>
      <c r="G73" s="3731"/>
      <c r="H73" s="3731"/>
      <c r="I73" s="3731"/>
      <c r="J73" s="3731"/>
      <c r="K73" s="3731"/>
      <c r="L73" s="2227"/>
      <c r="M73" s="3734"/>
      <c r="N73" s="3735"/>
      <c r="O73" s="3736"/>
      <c r="P73" s="2228"/>
      <c r="Q73" s="2078"/>
      <c r="S73" s="3487"/>
    </row>
    <row r="74" spans="2:19" ht="15.75" customHeight="1">
      <c r="B74" s="2086"/>
      <c r="C74" s="3730" t="s">
        <v>534</v>
      </c>
      <c r="D74" s="3730"/>
      <c r="E74" s="2229" t="s">
        <v>535</v>
      </c>
      <c r="F74" s="2230"/>
      <c r="G74" s="2230"/>
      <c r="H74" s="2230"/>
      <c r="I74" s="2230"/>
      <c r="J74" s="2230"/>
      <c r="K74" s="2230"/>
      <c r="L74" s="3737" t="str">
        <f>IF((M73='MENU DÉROULANT'!C66),"Notez que dans ce cas vous n'avez pas à remplir les parties du formulaire associées au sous-service Traitement et n'obtiendrai pas non plus de visuels dans le sommaire pour ce sous-service.","")</f>
        <v/>
      </c>
      <c r="M74" s="3738"/>
      <c r="N74" s="3738"/>
      <c r="O74" s="3738"/>
      <c r="P74" s="3739"/>
      <c r="Q74" s="2078"/>
      <c r="S74" s="3487"/>
    </row>
    <row r="75" spans="2:19" ht="15.75" customHeight="1">
      <c r="B75" s="2086"/>
      <c r="C75" s="2231"/>
      <c r="D75" s="2232"/>
      <c r="E75" s="2229" t="s">
        <v>536</v>
      </c>
      <c r="F75" s="2230"/>
      <c r="G75" s="2230"/>
      <c r="H75" s="2230"/>
      <c r="I75" s="2230"/>
      <c r="J75" s="2230"/>
      <c r="K75" s="2230"/>
      <c r="L75" s="3737"/>
      <c r="M75" s="3738"/>
      <c r="N75" s="3738"/>
      <c r="O75" s="3738"/>
      <c r="P75" s="3739"/>
      <c r="Q75" s="2078"/>
      <c r="S75" s="3487"/>
    </row>
    <row r="76" spans="2:19" ht="15.75" customHeight="1">
      <c r="B76" s="2086"/>
      <c r="C76" s="2231"/>
      <c r="D76" s="2232"/>
      <c r="E76" s="2229" t="s">
        <v>537</v>
      </c>
      <c r="F76" s="2230"/>
      <c r="G76" s="2230"/>
      <c r="H76" s="2230"/>
      <c r="I76" s="2230"/>
      <c r="J76" s="2230"/>
      <c r="K76" s="2230"/>
      <c r="L76" s="3740"/>
      <c r="M76" s="3741"/>
      <c r="N76" s="3741"/>
      <c r="O76" s="3741"/>
      <c r="P76" s="3742"/>
      <c r="Q76" s="2078"/>
      <c r="S76" s="3487"/>
    </row>
    <row r="77" spans="2:19" ht="12.75" customHeight="1">
      <c r="B77" s="2086"/>
      <c r="C77" s="2233"/>
      <c r="D77" s="2233"/>
      <c r="E77" s="2230"/>
      <c r="F77" s="2230"/>
      <c r="G77" s="2230"/>
      <c r="H77" s="2230"/>
      <c r="I77" s="2230"/>
      <c r="J77" s="2230"/>
      <c r="K77" s="2230"/>
      <c r="L77" s="2077"/>
      <c r="M77" s="2077"/>
      <c r="N77" s="2077"/>
      <c r="O77" s="2077"/>
      <c r="P77" s="2077"/>
      <c r="Q77" s="2078"/>
      <c r="S77" s="3487"/>
    </row>
    <row r="78" spans="2:19" ht="12.75" customHeight="1">
      <c r="B78" s="2086"/>
      <c r="C78" s="258"/>
      <c r="D78" s="259"/>
      <c r="E78" s="260"/>
      <c r="F78" s="260"/>
      <c r="G78" s="260"/>
      <c r="H78" s="260"/>
      <c r="I78" s="260"/>
      <c r="J78" s="260"/>
      <c r="K78" s="260"/>
      <c r="L78" s="260"/>
      <c r="M78" s="260"/>
      <c r="N78" s="260"/>
      <c r="O78" s="260"/>
      <c r="P78" s="261"/>
      <c r="Q78" s="2078"/>
      <c r="S78" s="3487"/>
    </row>
    <row r="79" spans="2:19" ht="3.75" customHeight="1">
      <c r="B79" s="2086"/>
      <c r="C79" s="3511" t="s">
        <v>807</v>
      </c>
      <c r="P79" s="266"/>
      <c r="Q79" s="2078"/>
      <c r="S79" s="3487"/>
    </row>
    <row r="80" spans="2:19" ht="9" customHeight="1">
      <c r="B80" s="2086"/>
      <c r="C80" s="3511"/>
      <c r="D80" s="3489" t="s">
        <v>3484</v>
      </c>
      <c r="E80" s="3489"/>
      <c r="F80" s="3489"/>
      <c r="G80" s="3489"/>
      <c r="P80" s="266"/>
      <c r="Q80" s="2078"/>
      <c r="S80" s="3487"/>
    </row>
    <row r="81" spans="2:20" ht="18" customHeight="1">
      <c r="B81" s="2123" t="str">
        <f>IF(ISBLANK(H81)=FALSE,"","u")</f>
        <v>u</v>
      </c>
      <c r="C81" s="3511"/>
      <c r="D81" s="3489"/>
      <c r="E81" s="3489"/>
      <c r="F81" s="3489"/>
      <c r="G81" s="3489"/>
      <c r="H81" s="3490"/>
      <c r="I81" s="3491"/>
      <c r="J81" s="3491"/>
      <c r="K81" s="3491"/>
      <c r="L81" s="3491"/>
      <c r="M81" s="3492"/>
      <c r="O81" s="1029" t="str">
        <f>IF(ISNA(VLOOKUP(H81,'MENU DÉROULANT'!C57:H61,6,FALSE)),"",VLOOKUP(H81,'MENU DÉROULANT'!C57:H61,6,FALSE))</f>
        <v/>
      </c>
      <c r="P81" s="266"/>
      <c r="Q81" s="2078"/>
      <c r="S81" s="3487"/>
    </row>
    <row r="82" spans="2:20" ht="30.75" customHeight="1">
      <c r="B82" s="2086"/>
      <c r="C82" s="3511"/>
      <c r="D82" s="646"/>
      <c r="E82" s="646"/>
      <c r="F82" s="646"/>
      <c r="G82" s="646"/>
      <c r="H82" s="3493" t="str">
        <f>IF(H81='MENU DÉROULANT'!C57,"Notez que toutes les sections concernant ce sous-service ne seront donc pas remplies et qu'il n'y aura donc pas de visuel dans le sommaire pour ce sous-service. Une note apparaitra toutefois à ce sujet sur le sommaire.","")</f>
        <v/>
      </c>
      <c r="I82" s="3493"/>
      <c r="J82" s="3493"/>
      <c r="K82" s="3493"/>
      <c r="L82" s="3493"/>
      <c r="M82" s="3493"/>
      <c r="P82" s="266"/>
      <c r="Q82" s="2078"/>
      <c r="S82" s="3487"/>
    </row>
    <row r="83" spans="2:20" ht="9.75" customHeight="1">
      <c r="B83" s="2086"/>
      <c r="C83" s="3511"/>
      <c r="P83" s="266"/>
      <c r="Q83" s="2078"/>
      <c r="S83" s="3487"/>
    </row>
    <row r="84" spans="2:20" ht="27" customHeight="1">
      <c r="B84" s="2086"/>
      <c r="C84" s="3511"/>
      <c r="F84" s="3179" t="s">
        <v>539</v>
      </c>
      <c r="G84" s="3179"/>
      <c r="H84" s="3090"/>
      <c r="I84" s="3091"/>
      <c r="J84" s="3091"/>
      <c r="K84" s="3091"/>
      <c r="L84" s="3091"/>
      <c r="M84" s="3092"/>
      <c r="P84" s="266"/>
      <c r="Q84" s="2078"/>
      <c r="S84" s="3487"/>
    </row>
    <row r="85" spans="2:20" ht="15" customHeight="1">
      <c r="B85" s="2086"/>
      <c r="C85" s="3511"/>
      <c r="D85" s="509"/>
      <c r="E85" s="509"/>
      <c r="F85" s="509"/>
      <c r="G85" s="509"/>
      <c r="H85" s="509"/>
      <c r="I85" s="509"/>
      <c r="J85" s="509"/>
      <c r="K85" s="509"/>
      <c r="L85" s="509"/>
      <c r="M85" s="509"/>
      <c r="N85" s="509"/>
      <c r="O85" s="509"/>
      <c r="P85" s="266"/>
      <c r="Q85" s="2078"/>
      <c r="S85" s="3487"/>
    </row>
    <row r="86" spans="2:20" ht="12.75" customHeight="1">
      <c r="B86" s="2086"/>
      <c r="C86" s="379"/>
      <c r="P86" s="266"/>
      <c r="Q86" s="2078"/>
      <c r="S86" s="3487"/>
    </row>
    <row r="87" spans="2:20" ht="27" customHeight="1">
      <c r="B87" s="2086"/>
      <c r="C87" s="379"/>
      <c r="D87" s="662" t="s">
        <v>34</v>
      </c>
      <c r="E87" s="449" t="s">
        <v>847</v>
      </c>
      <c r="F87" s="85"/>
      <c r="G87" s="85"/>
      <c r="H87" s="85"/>
      <c r="I87" s="85"/>
      <c r="J87" s="3179" t="s">
        <v>541</v>
      </c>
      <c r="K87" s="3179"/>
      <c r="L87" s="3280"/>
      <c r="M87" s="3090"/>
      <c r="N87" s="3091"/>
      <c r="O87" s="3092"/>
      <c r="P87" s="266"/>
      <c r="Q87" s="2078"/>
      <c r="S87" s="3487"/>
    </row>
    <row r="88" spans="2:20" ht="17.25" customHeight="1">
      <c r="B88" s="2086"/>
      <c r="C88" s="379"/>
      <c r="D88" s="376"/>
      <c r="E88" s="448"/>
      <c r="F88" s="85"/>
      <c r="G88" s="85"/>
      <c r="H88" s="85"/>
      <c r="I88" s="85"/>
      <c r="J88" s="85"/>
      <c r="K88" s="85"/>
      <c r="L88" s="85"/>
      <c r="M88" s="85"/>
      <c r="N88" s="85"/>
      <c r="O88" s="443" t="str">
        <f>IF(SUM(J89:N89)&gt;1,"Attention: La somme de ces % d'état est de plus de 100%.","")</f>
        <v/>
      </c>
      <c r="P88" s="266"/>
      <c r="Q88" s="2078"/>
      <c r="S88" s="3487"/>
    </row>
    <row r="89" spans="2:20" ht="18" customHeight="1">
      <c r="B89" s="2123" t="str">
        <f>IF(OR(O81=1,O81=3),"",IF(OR(ISBLANK(G89),ISBLANK(J89),ISBLANK(K89),ISBLANK(L89),ISBLANK(M89),ISBLANK(N89))=FALSE,"","u"))</f>
        <v>u</v>
      </c>
      <c r="C89" s="379"/>
      <c r="D89" s="291"/>
      <c r="F89" s="292" t="s">
        <v>542</v>
      </c>
      <c r="G89" s="565"/>
      <c r="H89" s="3179" t="s">
        <v>543</v>
      </c>
      <c r="I89" s="3179"/>
      <c r="J89" s="569"/>
      <c r="K89" s="569"/>
      <c r="L89" s="569"/>
      <c r="M89" s="569"/>
      <c r="N89" s="569"/>
      <c r="O89" s="714" t="str">
        <f>IF(AND(ISBLANK(J89),ISBLANK(K89),ISBLANK(L89),ISBLANK(M89),ISBLANK(N89)),"",IF((1-J89-K89-L89-M89-N89)&lt;0,0,(1-J89-K89-L89-M89-N89)))</f>
        <v/>
      </c>
      <c r="P89" s="604"/>
      <c r="Q89" s="2078"/>
      <c r="S89" s="3487"/>
    </row>
    <row r="90" spans="2:20" ht="6.75" customHeight="1">
      <c r="B90" s="2086"/>
      <c r="C90" s="379"/>
      <c r="D90" s="291"/>
      <c r="E90" s="85"/>
      <c r="F90" s="85"/>
      <c r="G90" s="85"/>
      <c r="H90" s="3179"/>
      <c r="I90" s="3179"/>
      <c r="J90" s="85"/>
      <c r="K90" s="85"/>
      <c r="L90" s="85"/>
      <c r="M90" s="85"/>
      <c r="N90" s="85"/>
      <c r="O90" s="85"/>
      <c r="P90" s="266"/>
      <c r="Q90" s="2078"/>
      <c r="S90" s="3487"/>
    </row>
    <row r="91" spans="2:20" ht="17.25" customHeight="1">
      <c r="B91" s="2123" t="str">
        <f>IF(OR(O81=1,O81=3),"",IF(ISBLANK(G91)=FALSE,"","u"))</f>
        <v>u</v>
      </c>
      <c r="C91" s="379"/>
      <c r="D91" s="291"/>
      <c r="E91" s="645"/>
      <c r="F91" s="293" t="s">
        <v>22</v>
      </c>
      <c r="G91" s="566"/>
      <c r="H91" s="265"/>
      <c r="I91" s="265"/>
      <c r="J91" s="294" t="s">
        <v>544</v>
      </c>
      <c r="K91" s="294" t="s">
        <v>545</v>
      </c>
      <c r="L91" s="294" t="s">
        <v>3493</v>
      </c>
      <c r="M91" s="294" t="s">
        <v>546</v>
      </c>
      <c r="N91" s="87" t="s">
        <v>547</v>
      </c>
      <c r="O91" s="87" t="s">
        <v>66</v>
      </c>
      <c r="P91" s="604"/>
      <c r="Q91" s="2078"/>
      <c r="S91" s="3487"/>
    </row>
    <row r="92" spans="2:20" ht="9" customHeight="1">
      <c r="B92" s="2123"/>
      <c r="C92" s="379"/>
      <c r="D92" s="291"/>
      <c r="E92" s="645"/>
      <c r="F92" s="293"/>
      <c r="G92" s="672"/>
      <c r="H92" s="265"/>
      <c r="I92" s="265"/>
      <c r="J92" s="294"/>
      <c r="K92" s="294"/>
      <c r="L92" s="294"/>
      <c r="M92" s="294"/>
      <c r="N92" s="87"/>
      <c r="O92" s="87"/>
      <c r="P92" s="604"/>
      <c r="Q92" s="2078"/>
      <c r="S92" s="3487"/>
    </row>
    <row r="93" spans="2:20" ht="27" customHeight="1">
      <c r="B93" s="2123"/>
      <c r="C93" s="379"/>
      <c r="D93" s="291"/>
      <c r="E93" s="645"/>
      <c r="F93" s="293"/>
      <c r="G93" s="493"/>
      <c r="H93" s="3179" t="s">
        <v>539</v>
      </c>
      <c r="I93" s="3179"/>
      <c r="J93" s="3090"/>
      <c r="K93" s="3091"/>
      <c r="L93" s="3091"/>
      <c r="M93" s="3091"/>
      <c r="N93" s="3091"/>
      <c r="O93" s="3092"/>
      <c r="P93" s="604"/>
      <c r="Q93" s="2078"/>
      <c r="S93" s="3487"/>
    </row>
    <row r="94" spans="2:20" ht="15" customHeight="1">
      <c r="B94" s="2086"/>
      <c r="C94" s="379"/>
      <c r="D94" s="295"/>
      <c r="E94" s="272"/>
      <c r="F94" s="283"/>
      <c r="G94" s="272"/>
      <c r="H94" s="283"/>
      <c r="I94" s="271"/>
      <c r="J94" s="272"/>
      <c r="K94" s="283"/>
      <c r="L94" s="272"/>
      <c r="M94" s="283"/>
      <c r="N94" s="272"/>
      <c r="O94" s="283"/>
      <c r="P94" s="604"/>
      <c r="Q94" s="2078"/>
      <c r="S94" s="3487"/>
    </row>
    <row r="95" spans="2:20" ht="12.75" customHeight="1">
      <c r="B95" s="2086"/>
      <c r="C95" s="626"/>
      <c r="D95" s="291"/>
      <c r="E95" s="645"/>
      <c r="F95" s="602"/>
      <c r="G95" s="645"/>
      <c r="H95" s="602"/>
      <c r="I95" s="55"/>
      <c r="J95" s="645"/>
      <c r="K95" s="602"/>
      <c r="L95" s="645"/>
      <c r="M95" s="602"/>
      <c r="N95" s="645"/>
      <c r="O95" s="602"/>
      <c r="P95" s="604"/>
      <c r="Q95" s="2078"/>
      <c r="S95" s="3487"/>
    </row>
    <row r="96" spans="2:20" ht="27" customHeight="1">
      <c r="B96" s="2086"/>
      <c r="C96" s="379"/>
      <c r="D96" s="662" t="s">
        <v>35</v>
      </c>
      <c r="E96" s="449" t="s">
        <v>848</v>
      </c>
      <c r="F96" s="85"/>
      <c r="G96" s="85"/>
      <c r="H96" s="85"/>
      <c r="I96" s="85"/>
      <c r="J96" s="3179" t="s">
        <v>541</v>
      </c>
      <c r="K96" s="3179"/>
      <c r="L96" s="3280"/>
      <c r="M96" s="3090"/>
      <c r="N96" s="3091"/>
      <c r="O96" s="3092"/>
      <c r="P96" s="266"/>
      <c r="Q96" s="2078"/>
      <c r="S96" s="3487"/>
      <c r="T96" s="296"/>
    </row>
    <row r="97" spans="2:21" ht="17.25" customHeight="1">
      <c r="B97" s="2086"/>
      <c r="C97" s="379"/>
      <c r="D97" s="375"/>
      <c r="E97" s="378"/>
      <c r="F97" s="85"/>
      <c r="G97" s="85"/>
      <c r="H97" s="85"/>
      <c r="I97" s="85"/>
      <c r="J97" s="85"/>
      <c r="K97" s="85"/>
      <c r="L97" s="85"/>
      <c r="M97" s="85"/>
      <c r="N97" s="85"/>
      <c r="O97" s="443" t="str">
        <f>IF(SUM(J98:N98)&gt;1,"Attention: La somme de ces % d'état est de plus de 100%.","")</f>
        <v/>
      </c>
      <c r="P97" s="266"/>
      <c r="Q97" s="2078"/>
      <c r="S97" s="3487"/>
      <c r="T97" s="296"/>
    </row>
    <row r="98" spans="2:21" ht="18" customHeight="1">
      <c r="B98" s="2123" t="str">
        <f>IF(OR(O81=1,O81=2),"",IF(OR(ISBLANK(G98),ISBLANK(J98),ISBLANK(K98),ISBLANK(L98),ISBLANK(M98),ISBLANK(N98))=FALSE,"","u"))</f>
        <v>u</v>
      </c>
      <c r="C98" s="379"/>
      <c r="D98" s="291"/>
      <c r="F98" s="292" t="s">
        <v>549</v>
      </c>
      <c r="G98" s="565"/>
      <c r="H98" s="3179" t="s">
        <v>543</v>
      </c>
      <c r="I98" s="3179"/>
      <c r="J98" s="569"/>
      <c r="K98" s="569"/>
      <c r="L98" s="569"/>
      <c r="M98" s="569"/>
      <c r="N98" s="569"/>
      <c r="O98" s="714" t="str">
        <f>IF(AND(ISBLANK(J98),ISBLANK(K98),ISBLANK(L98),ISBLANK(M98),ISBLANK(N98)),"",IF((1-J98-K98-L98-M98-N98)&lt;0,0,(1-J98-K98-L98-M98-N98)))</f>
        <v/>
      </c>
      <c r="P98" s="604"/>
      <c r="Q98" s="2078"/>
      <c r="S98" s="3487"/>
    </row>
    <row r="99" spans="2:21" ht="6.75" customHeight="1">
      <c r="B99" s="2086"/>
      <c r="C99" s="379"/>
      <c r="D99" s="291"/>
      <c r="E99" s="85"/>
      <c r="F99" s="85"/>
      <c r="G99" s="85"/>
      <c r="H99" s="3179"/>
      <c r="I99" s="3179"/>
      <c r="J99" s="85"/>
      <c r="K99" s="85"/>
      <c r="L99" s="85"/>
      <c r="M99" s="85"/>
      <c r="N99" s="85"/>
      <c r="O99" s="85"/>
      <c r="P99" s="266"/>
      <c r="Q99" s="2078"/>
      <c r="S99" s="3487"/>
    </row>
    <row r="100" spans="2:21" ht="17.25" customHeight="1">
      <c r="B100" s="2123" t="str">
        <f>IF(OR(O81=1,O81=2),"",IF(ISBLANK(G100)=FALSE,"","u"))</f>
        <v>u</v>
      </c>
      <c r="C100" s="379"/>
      <c r="D100" s="291"/>
      <c r="E100" s="645"/>
      <c r="F100" s="293" t="s">
        <v>22</v>
      </c>
      <c r="G100" s="566"/>
      <c r="H100" s="265"/>
      <c r="I100" s="265"/>
      <c r="J100" s="294" t="s">
        <v>544</v>
      </c>
      <c r="K100" s="294" t="s">
        <v>545</v>
      </c>
      <c r="L100" s="294" t="s">
        <v>3493</v>
      </c>
      <c r="M100" s="294" t="s">
        <v>546</v>
      </c>
      <c r="N100" s="87" t="s">
        <v>547</v>
      </c>
      <c r="O100" s="294" t="s">
        <v>66</v>
      </c>
      <c r="P100" s="604"/>
      <c r="Q100" s="2078"/>
      <c r="S100" s="3487"/>
    </row>
    <row r="101" spans="2:21" ht="9" customHeight="1">
      <c r="B101" s="2123"/>
      <c r="C101" s="379"/>
      <c r="D101" s="291"/>
      <c r="E101" s="645"/>
      <c r="F101" s="293"/>
      <c r="G101" s="672"/>
      <c r="H101" s="265"/>
      <c r="I101" s="265"/>
      <c r="J101" s="294"/>
      <c r="K101" s="294"/>
      <c r="L101" s="294"/>
      <c r="M101" s="294"/>
      <c r="N101" s="87"/>
      <c r="O101" s="87"/>
      <c r="P101" s="604"/>
      <c r="Q101" s="2078"/>
      <c r="S101" s="3487"/>
    </row>
    <row r="102" spans="2:21" ht="27" customHeight="1">
      <c r="B102" s="2123"/>
      <c r="C102" s="379"/>
      <c r="D102" s="291"/>
      <c r="E102" s="645"/>
      <c r="F102" s="293"/>
      <c r="G102" s="493"/>
      <c r="H102" s="3179" t="s">
        <v>539</v>
      </c>
      <c r="I102" s="3179"/>
      <c r="J102" s="3090"/>
      <c r="K102" s="3091"/>
      <c r="L102" s="3091"/>
      <c r="M102" s="3091"/>
      <c r="N102" s="3091"/>
      <c r="O102" s="3092"/>
      <c r="P102" s="604"/>
      <c r="Q102" s="2078"/>
      <c r="S102" s="3487"/>
    </row>
    <row r="103" spans="2:21" ht="15" customHeight="1">
      <c r="B103" s="2086"/>
      <c r="C103" s="664"/>
      <c r="D103" s="291"/>
      <c r="E103" s="645"/>
      <c r="F103" s="602"/>
      <c r="G103" s="645"/>
      <c r="H103" s="602"/>
      <c r="I103" s="55"/>
      <c r="J103" s="645"/>
      <c r="K103" s="602"/>
      <c r="L103" s="645"/>
      <c r="M103" s="602"/>
      <c r="N103" s="645"/>
      <c r="O103" s="602"/>
      <c r="P103" s="604"/>
      <c r="Q103" s="2078"/>
      <c r="S103" s="3487"/>
    </row>
    <row r="104" spans="2:21" ht="12.75" customHeight="1">
      <c r="B104" s="2086"/>
      <c r="C104" s="664"/>
      <c r="D104" s="381"/>
      <c r="E104" s="360"/>
      <c r="F104" s="361"/>
      <c r="G104" s="360"/>
      <c r="H104" s="361"/>
      <c r="I104" s="368"/>
      <c r="J104" s="360"/>
      <c r="K104" s="361"/>
      <c r="L104" s="360"/>
      <c r="M104" s="361"/>
      <c r="N104" s="360"/>
      <c r="O104" s="361"/>
      <c r="P104" s="604"/>
      <c r="Q104" s="2078"/>
      <c r="S104" s="3487"/>
    </row>
    <row r="105" spans="2:21" ht="27" customHeight="1">
      <c r="B105" s="2086"/>
      <c r="C105" s="444"/>
      <c r="D105" s="632" t="s">
        <v>550</v>
      </c>
      <c r="E105" s="633" t="s">
        <v>551</v>
      </c>
      <c r="F105" s="502"/>
      <c r="G105" s="502"/>
      <c r="H105" s="502"/>
      <c r="I105" s="502"/>
      <c r="J105" s="3179" t="s">
        <v>541</v>
      </c>
      <c r="K105" s="3179"/>
      <c r="L105" s="3280"/>
      <c r="M105" s="3090"/>
      <c r="N105" s="3091"/>
      <c r="O105" s="3092"/>
      <c r="P105" s="604"/>
      <c r="Q105" s="2078"/>
      <c r="S105" s="3487"/>
      <c r="U105" s="28" t="s">
        <v>552</v>
      </c>
    </row>
    <row r="106" spans="2:21" ht="27" customHeight="1">
      <c r="B106" s="2086"/>
      <c r="C106" s="444"/>
      <c r="D106" s="455"/>
      <c r="E106" s="3474" t="s">
        <v>553</v>
      </c>
      <c r="F106" s="3474"/>
      <c r="G106" s="3474"/>
      <c r="H106" s="3474"/>
      <c r="I106" s="3474"/>
      <c r="J106" s="3474"/>
      <c r="K106" s="3474"/>
      <c r="L106" s="3474"/>
      <c r="M106" s="3474"/>
      <c r="N106" s="3474"/>
      <c r="O106" s="3474"/>
      <c r="P106" s="604"/>
      <c r="Q106" s="2078"/>
      <c r="S106" s="3487"/>
    </row>
    <row r="107" spans="2:21" ht="13.5" customHeight="1">
      <c r="B107" s="2086"/>
      <c r="C107" s="444"/>
      <c r="D107" s="451"/>
      <c r="E107" s="453"/>
      <c r="F107" s="453"/>
      <c r="G107" s="453"/>
      <c r="H107" s="453"/>
      <c r="I107" s="453"/>
      <c r="J107" s="453"/>
      <c r="K107" s="453"/>
      <c r="L107" s="453"/>
      <c r="M107" s="453"/>
      <c r="N107" s="453"/>
      <c r="O107" s="453"/>
      <c r="P107" s="604"/>
      <c r="Q107" s="2078"/>
      <c r="S107" s="3487"/>
    </row>
    <row r="108" spans="2:21" ht="18" customHeight="1">
      <c r="B108" s="2086"/>
      <c r="C108" s="444"/>
      <c r="D108" s="451"/>
      <c r="E108" s="452"/>
      <c r="F108" s="292" t="s">
        <v>542</v>
      </c>
      <c r="G108" s="567"/>
      <c r="H108" s="3180" t="s">
        <v>554</v>
      </c>
      <c r="I108" s="3181"/>
      <c r="J108" s="3169"/>
      <c r="K108" s="3170"/>
      <c r="L108" s="3170"/>
      <c r="M108" s="3170"/>
      <c r="N108" s="3170"/>
      <c r="O108" s="3171"/>
      <c r="P108" s="604"/>
      <c r="Q108" s="2078"/>
      <c r="S108" s="3487"/>
    </row>
    <row r="109" spans="2:21" ht="9.75" customHeight="1">
      <c r="B109" s="2086"/>
      <c r="C109" s="664"/>
      <c r="D109" s="290"/>
      <c r="E109" s="380"/>
      <c r="F109" s="380"/>
      <c r="G109" s="380"/>
      <c r="H109" s="456"/>
      <c r="I109" s="456"/>
      <c r="J109" s="380"/>
      <c r="K109" s="380"/>
      <c r="L109" s="380"/>
      <c r="M109" s="380"/>
      <c r="N109" s="380"/>
      <c r="O109" s="380"/>
      <c r="P109" s="604"/>
      <c r="Q109" s="2078"/>
      <c r="S109" s="3487"/>
    </row>
    <row r="110" spans="2:21" ht="18" customHeight="1">
      <c r="B110" s="2086"/>
      <c r="C110" s="444"/>
      <c r="D110" s="451"/>
      <c r="E110" s="452"/>
      <c r="F110" s="292" t="s">
        <v>549</v>
      </c>
      <c r="G110" s="567"/>
      <c r="H110" s="3180" t="s">
        <v>554</v>
      </c>
      <c r="I110" s="3181"/>
      <c r="J110" s="3169"/>
      <c r="K110" s="3170"/>
      <c r="L110" s="3170"/>
      <c r="M110" s="3170"/>
      <c r="N110" s="3170"/>
      <c r="O110" s="3171"/>
      <c r="P110" s="604"/>
      <c r="Q110" s="2078"/>
      <c r="S110" s="3487"/>
    </row>
    <row r="111" spans="2:21" ht="9.75" customHeight="1">
      <c r="B111" s="2086"/>
      <c r="C111" s="664"/>
      <c r="D111" s="290"/>
      <c r="E111" s="380"/>
      <c r="F111" s="380"/>
      <c r="G111" s="380"/>
      <c r="H111" s="380"/>
      <c r="I111" s="380"/>
      <c r="J111" s="380"/>
      <c r="K111" s="380"/>
      <c r="L111" s="380"/>
      <c r="M111" s="380"/>
      <c r="N111" s="380"/>
      <c r="O111" s="380"/>
      <c r="P111" s="604"/>
      <c r="Q111" s="2078"/>
      <c r="S111" s="3487"/>
    </row>
    <row r="112" spans="2:21" ht="17.25" customHeight="1">
      <c r="B112" s="2086"/>
      <c r="C112" s="664"/>
      <c r="D112" s="290"/>
      <c r="E112" s="645"/>
      <c r="F112" s="454" t="s">
        <v>22</v>
      </c>
      <c r="G112" s="568"/>
      <c r="H112" s="602"/>
      <c r="I112" s="383"/>
      <c r="P112" s="604"/>
      <c r="Q112" s="2078"/>
      <c r="S112" s="3487"/>
    </row>
    <row r="113" spans="2:19" ht="9" customHeight="1">
      <c r="B113" s="2123"/>
      <c r="C113" s="379"/>
      <c r="D113" s="291"/>
      <c r="E113" s="645"/>
      <c r="F113" s="293"/>
      <c r="G113" s="672"/>
      <c r="H113" s="265"/>
      <c r="I113" s="265"/>
      <c r="J113" s="294"/>
      <c r="K113" s="294"/>
      <c r="L113" s="294"/>
      <c r="M113" s="294"/>
      <c r="N113" s="87"/>
      <c r="O113" s="87"/>
      <c r="P113" s="604"/>
      <c r="Q113" s="2078"/>
      <c r="S113" s="3487"/>
    </row>
    <row r="114" spans="2:19" ht="27" customHeight="1">
      <c r="B114" s="2123"/>
      <c r="C114" s="379"/>
      <c r="D114" s="291"/>
      <c r="E114" s="645"/>
      <c r="F114" s="293"/>
      <c r="G114" s="493"/>
      <c r="H114" s="3179" t="s">
        <v>539</v>
      </c>
      <c r="I114" s="3179"/>
      <c r="J114" s="3090"/>
      <c r="K114" s="3091"/>
      <c r="L114" s="3091"/>
      <c r="M114" s="3091"/>
      <c r="N114" s="3091"/>
      <c r="O114" s="3092"/>
      <c r="P114" s="604"/>
      <c r="Q114" s="2078"/>
      <c r="S114" s="3487"/>
    </row>
    <row r="115" spans="2:19" ht="15" customHeight="1">
      <c r="B115" s="2086"/>
      <c r="C115" s="664"/>
      <c r="D115" s="291"/>
      <c r="E115" s="645"/>
      <c r="F115" s="602"/>
      <c r="G115" s="645"/>
      <c r="H115" s="602"/>
      <c r="I115" s="55"/>
      <c r="J115" s="645"/>
      <c r="K115" s="602"/>
      <c r="L115" s="645"/>
      <c r="M115" s="602"/>
      <c r="N115" s="645"/>
      <c r="O115" s="602"/>
      <c r="P115" s="604"/>
      <c r="Q115" s="2078"/>
      <c r="S115" s="3487"/>
    </row>
    <row r="116" spans="2:19" ht="14.25" customHeight="1">
      <c r="B116" s="2086"/>
      <c r="C116" s="2163"/>
      <c r="D116" s="2164"/>
      <c r="E116" s="2163"/>
      <c r="F116" s="2163"/>
      <c r="G116" s="2163"/>
      <c r="H116" s="2163"/>
      <c r="I116" s="2163"/>
      <c r="J116" s="2163"/>
      <c r="K116" s="2163"/>
      <c r="L116" s="2163"/>
      <c r="M116" s="2163"/>
      <c r="N116" s="2163"/>
      <c r="O116" s="2163"/>
      <c r="P116" s="2163"/>
      <c r="Q116" s="2078"/>
      <c r="S116" s="3487"/>
    </row>
    <row r="117" spans="2:19" ht="13.5" customHeight="1">
      <c r="B117" s="2086"/>
      <c r="C117" s="258"/>
      <c r="D117" s="297"/>
      <c r="E117" s="260"/>
      <c r="F117" s="260"/>
      <c r="G117" s="260"/>
      <c r="H117" s="260"/>
      <c r="I117" s="260"/>
      <c r="J117" s="260"/>
      <c r="K117" s="260"/>
      <c r="L117" s="260"/>
      <c r="M117" s="260"/>
      <c r="N117" s="260"/>
      <c r="O117" s="260"/>
      <c r="P117" s="261"/>
      <c r="Q117" s="2078"/>
      <c r="S117" s="3487"/>
    </row>
    <row r="118" spans="2:19" ht="3.75" customHeight="1">
      <c r="B118" s="2086"/>
      <c r="C118" s="3511" t="s">
        <v>810</v>
      </c>
      <c r="P118" s="266"/>
      <c r="Q118" s="2078"/>
      <c r="S118" s="3487"/>
    </row>
    <row r="119" spans="2:19" ht="9" customHeight="1">
      <c r="B119" s="2086"/>
      <c r="C119" s="3511"/>
      <c r="D119" s="3489" t="s">
        <v>3485</v>
      </c>
      <c r="E119" s="3489"/>
      <c r="F119" s="3489"/>
      <c r="G119" s="3489"/>
      <c r="P119" s="266"/>
      <c r="Q119" s="2078"/>
      <c r="S119" s="3487"/>
    </row>
    <row r="120" spans="2:19" ht="18" customHeight="1">
      <c r="B120" s="2123" t="str">
        <f>IF(ISBLANK(H120)=FALSE,"","u")</f>
        <v>u</v>
      </c>
      <c r="C120" s="3511"/>
      <c r="D120" s="3489"/>
      <c r="E120" s="3489"/>
      <c r="F120" s="3489"/>
      <c r="G120" s="3489"/>
      <c r="H120" s="3490"/>
      <c r="I120" s="3491"/>
      <c r="J120" s="3491"/>
      <c r="K120" s="3491"/>
      <c r="L120" s="3491"/>
      <c r="M120" s="3492"/>
      <c r="O120" s="1029" t="str">
        <f>IF(ISNA(VLOOKUP('FORMULAIRE PGA Eaux pluviales'!H120,'MENU DÉROULANT'!F57:H61,3,FALSE)),"",VLOOKUP('FORMULAIRE PGA Eaux pluviales'!H120,'MENU DÉROULANT'!F57:H61,3,FALSE))</f>
        <v/>
      </c>
      <c r="P120" s="266"/>
      <c r="Q120" s="2078"/>
      <c r="S120" s="3487"/>
    </row>
    <row r="121" spans="2:19" ht="30.75" customHeight="1">
      <c r="B121" s="2086"/>
      <c r="C121" s="3511"/>
      <c r="D121" s="646"/>
      <c r="E121" s="646"/>
      <c r="F121" s="646"/>
      <c r="G121" s="646"/>
      <c r="H121" s="3493" t="str">
        <f>IF(H120='MENU DÉROULANT'!F57,"Notez que toutes les sections concernant ce sous-service ne seront donc pas remplies et qu'il n'y aura donc pas de visuel dans le sommaire pour ce sous-service. Une note apparaitra toutefois à ce sujet sur le sommaire.","")</f>
        <v/>
      </c>
      <c r="I121" s="3493"/>
      <c r="J121" s="3493"/>
      <c r="K121" s="3493"/>
      <c r="L121" s="3493"/>
      <c r="M121" s="3493"/>
      <c r="P121" s="266"/>
      <c r="Q121" s="2078"/>
      <c r="S121" s="3487"/>
    </row>
    <row r="122" spans="2:19" ht="9.75" customHeight="1">
      <c r="B122" s="2086"/>
      <c r="C122" s="3511"/>
      <c r="P122" s="266"/>
      <c r="Q122" s="2078"/>
      <c r="S122" s="3487"/>
    </row>
    <row r="123" spans="2:19" ht="27" customHeight="1">
      <c r="B123" s="2086"/>
      <c r="C123" s="3511"/>
      <c r="F123" s="3179" t="s">
        <v>539</v>
      </c>
      <c r="G123" s="3179"/>
      <c r="H123" s="3090"/>
      <c r="I123" s="3091"/>
      <c r="J123" s="3091"/>
      <c r="K123" s="3091"/>
      <c r="L123" s="3091"/>
      <c r="M123" s="3092"/>
      <c r="P123" s="266"/>
      <c r="Q123" s="2078"/>
      <c r="S123" s="3487"/>
    </row>
    <row r="124" spans="2:19" ht="15" customHeight="1">
      <c r="B124" s="2086"/>
      <c r="C124" s="3511"/>
      <c r="D124" s="509"/>
      <c r="E124" s="509"/>
      <c r="F124" s="509"/>
      <c r="G124" s="509"/>
      <c r="H124" s="509"/>
      <c r="I124" s="509"/>
      <c r="J124" s="509"/>
      <c r="K124" s="509"/>
      <c r="L124" s="509"/>
      <c r="M124" s="509"/>
      <c r="N124" s="509"/>
      <c r="O124" s="509"/>
      <c r="P124" s="266"/>
      <c r="Q124" s="2078"/>
      <c r="S124" s="3487"/>
    </row>
    <row r="125" spans="2:19" ht="12.75" customHeight="1">
      <c r="B125" s="2086"/>
      <c r="C125" s="379"/>
      <c r="P125" s="266"/>
      <c r="Q125" s="2078"/>
      <c r="S125" s="3487"/>
    </row>
    <row r="126" spans="2:19" ht="27" customHeight="1">
      <c r="B126" s="2086"/>
      <c r="C126" s="379"/>
      <c r="D126" s="662" t="s">
        <v>34</v>
      </c>
      <c r="E126" s="449" t="s">
        <v>811</v>
      </c>
      <c r="F126" s="85"/>
      <c r="G126" s="85"/>
      <c r="H126" s="85"/>
      <c r="I126" s="85"/>
      <c r="J126" s="3179" t="s">
        <v>541</v>
      </c>
      <c r="K126" s="3179"/>
      <c r="L126" s="3280"/>
      <c r="M126" s="3090"/>
      <c r="N126" s="3091"/>
      <c r="O126" s="3092"/>
      <c r="P126" s="266"/>
      <c r="Q126" s="2078"/>
      <c r="R126" s="415"/>
      <c r="S126" s="3487"/>
    </row>
    <row r="127" spans="2:19" ht="17.25" customHeight="1">
      <c r="B127" s="2086"/>
      <c r="C127" s="379"/>
      <c r="D127" s="376"/>
      <c r="E127" s="377"/>
      <c r="F127" s="85"/>
      <c r="G127" s="85"/>
      <c r="H127" s="85"/>
      <c r="I127" s="85"/>
      <c r="J127" s="85"/>
      <c r="K127" s="85"/>
      <c r="L127" s="85"/>
      <c r="M127" s="85"/>
      <c r="N127" s="85"/>
      <c r="O127" s="443" t="str">
        <f>IF(SUM(J128:N128)&gt;1,"Attention: La somme de ces % d'état est de plus de 100%.","")</f>
        <v/>
      </c>
      <c r="P127" s="266"/>
      <c r="Q127" s="2078"/>
      <c r="S127" s="3487"/>
    </row>
    <row r="128" spans="2:19" ht="18" customHeight="1">
      <c r="B128" s="2123" t="str">
        <f>IF(OR(O120=1,O120=3),"",IF(OR(ISBLANK(G128),ISBLANK(J128),ISBLANK(K128),ISBLANK(L128),ISBLANK(M128),ISBLANK(N128))=FALSE,"","u"))</f>
        <v>u</v>
      </c>
      <c r="C128" s="379"/>
      <c r="D128" s="291"/>
      <c r="F128" s="292" t="s">
        <v>542</v>
      </c>
      <c r="G128" s="565"/>
      <c r="H128" s="3179" t="s">
        <v>543</v>
      </c>
      <c r="I128" s="3179"/>
      <c r="J128" s="569"/>
      <c r="K128" s="569"/>
      <c r="L128" s="569"/>
      <c r="M128" s="569"/>
      <c r="N128" s="569"/>
      <c r="O128" s="714" t="str">
        <f>IF(AND(ISBLANK(J128),ISBLANK(K128),ISBLANK(L128),ISBLANK(M128),ISBLANK(N128)),"",IF((1-J128-K128-L128-M128-N128)&lt;0,0,(1-J128-K128-L128-M128-N128)))</f>
        <v/>
      </c>
      <c r="P128" s="604"/>
      <c r="Q128" s="2078"/>
      <c r="S128" s="3487"/>
    </row>
    <row r="129" spans="2:20" ht="6.75" customHeight="1">
      <c r="B129" s="2086"/>
      <c r="C129" s="379"/>
      <c r="D129" s="291"/>
      <c r="E129" s="85"/>
      <c r="F129" s="85"/>
      <c r="G129" s="85"/>
      <c r="H129" s="3179"/>
      <c r="I129" s="3179"/>
      <c r="J129" s="85"/>
      <c r="K129" s="85"/>
      <c r="L129" s="85"/>
      <c r="M129" s="85"/>
      <c r="N129" s="85"/>
      <c r="O129" s="85"/>
      <c r="P129" s="266"/>
      <c r="Q129" s="2078"/>
      <c r="S129" s="3487"/>
    </row>
    <row r="130" spans="2:20" ht="17.25" customHeight="1">
      <c r="B130" s="2123" t="str">
        <f>IF(OR(O120=1,O120=3),"",IF(ISBLANK(G130)=FALSE,"","u"))</f>
        <v>u</v>
      </c>
      <c r="C130" s="379"/>
      <c r="D130" s="291"/>
      <c r="E130" s="645"/>
      <c r="F130" s="293" t="s">
        <v>22</v>
      </c>
      <c r="G130" s="566"/>
      <c r="H130" s="265"/>
      <c r="I130" s="265"/>
      <c r="J130" s="294" t="s">
        <v>544</v>
      </c>
      <c r="K130" s="294" t="s">
        <v>545</v>
      </c>
      <c r="L130" s="294" t="s">
        <v>3493</v>
      </c>
      <c r="M130" s="294" t="s">
        <v>546</v>
      </c>
      <c r="N130" s="87" t="s">
        <v>547</v>
      </c>
      <c r="O130" s="294" t="s">
        <v>66</v>
      </c>
      <c r="P130" s="604"/>
      <c r="Q130" s="2078"/>
      <c r="S130" s="3487"/>
    </row>
    <row r="131" spans="2:20" ht="9" customHeight="1">
      <c r="B131" s="2123"/>
      <c r="C131" s="379"/>
      <c r="D131" s="291"/>
      <c r="E131" s="645"/>
      <c r="F131" s="293"/>
      <c r="G131" s="672"/>
      <c r="H131" s="265"/>
      <c r="I131" s="265"/>
      <c r="J131" s="294"/>
      <c r="K131" s="294"/>
      <c r="L131" s="294"/>
      <c r="M131" s="294"/>
      <c r="N131" s="87"/>
      <c r="O131" s="87"/>
      <c r="P131" s="604"/>
      <c r="Q131" s="2078"/>
      <c r="S131" s="3487"/>
    </row>
    <row r="132" spans="2:20" ht="27" customHeight="1">
      <c r="B132" s="2123"/>
      <c r="C132" s="379"/>
      <c r="D132" s="291"/>
      <c r="E132" s="645"/>
      <c r="F132" s="293"/>
      <c r="G132" s="493"/>
      <c r="H132" s="3179" t="s">
        <v>539</v>
      </c>
      <c r="I132" s="3179"/>
      <c r="J132" s="3090"/>
      <c r="K132" s="3091"/>
      <c r="L132" s="3091"/>
      <c r="M132" s="3091"/>
      <c r="N132" s="3091"/>
      <c r="O132" s="3092"/>
      <c r="P132" s="604"/>
      <c r="Q132" s="2078"/>
      <c r="S132" s="3487"/>
    </row>
    <row r="133" spans="2:20" ht="15" customHeight="1">
      <c r="B133" s="2086"/>
      <c r="C133" s="379"/>
      <c r="D133" s="295"/>
      <c r="E133" s="272"/>
      <c r="F133" s="283"/>
      <c r="G133" s="272"/>
      <c r="H133" s="283"/>
      <c r="I133" s="271"/>
      <c r="J133" s="272"/>
      <c r="K133" s="283"/>
      <c r="L133" s="272"/>
      <c r="M133" s="283"/>
      <c r="N133" s="272"/>
      <c r="O133" s="283"/>
      <c r="P133" s="604"/>
      <c r="Q133" s="2078"/>
      <c r="S133" s="3487"/>
    </row>
    <row r="134" spans="2:20" ht="12.75" customHeight="1">
      <c r="B134" s="2086"/>
      <c r="C134" s="626"/>
      <c r="D134" s="291"/>
      <c r="E134" s="645"/>
      <c r="F134" s="602"/>
      <c r="G134" s="645"/>
      <c r="H134" s="602"/>
      <c r="I134" s="55"/>
      <c r="J134" s="645"/>
      <c r="K134" s="602"/>
      <c r="L134" s="645"/>
      <c r="M134" s="602"/>
      <c r="N134" s="645"/>
      <c r="O134" s="602"/>
      <c r="P134" s="604"/>
      <c r="Q134" s="2078"/>
      <c r="S134" s="3487"/>
    </row>
    <row r="135" spans="2:20" ht="27" customHeight="1">
      <c r="B135" s="2086"/>
      <c r="C135" s="104"/>
      <c r="D135" s="662" t="s">
        <v>35</v>
      </c>
      <c r="E135" s="449" t="s">
        <v>849</v>
      </c>
      <c r="F135" s="85"/>
      <c r="G135" s="85"/>
      <c r="H135" s="85"/>
      <c r="I135" s="85"/>
      <c r="J135" s="3179" t="s">
        <v>541</v>
      </c>
      <c r="K135" s="3179"/>
      <c r="L135" s="3280"/>
      <c r="M135" s="3090"/>
      <c r="N135" s="3091"/>
      <c r="O135" s="3092"/>
      <c r="P135" s="266"/>
      <c r="Q135" s="2078"/>
      <c r="S135" s="3487"/>
      <c r="T135" s="296"/>
    </row>
    <row r="136" spans="2:20" ht="17.25" customHeight="1">
      <c r="B136" s="2086"/>
      <c r="C136" s="104"/>
      <c r="D136" s="375"/>
      <c r="E136" s="378"/>
      <c r="F136" s="85"/>
      <c r="G136" s="85"/>
      <c r="H136" s="85"/>
      <c r="I136" s="85"/>
      <c r="J136" s="85"/>
      <c r="K136" s="85"/>
      <c r="L136" s="85"/>
      <c r="M136" s="85"/>
      <c r="N136" s="85"/>
      <c r="O136" s="443" t="str">
        <f>IF(SUM(J137:N137)&gt;1,"Attention: La somme de ces % d'état est de plus de 100%.","")</f>
        <v/>
      </c>
      <c r="P136" s="266"/>
      <c r="Q136" s="2078"/>
      <c r="S136" s="3487"/>
      <c r="T136" s="296"/>
    </row>
    <row r="137" spans="2:20" ht="18" customHeight="1">
      <c r="B137" s="2123" t="str">
        <f>IF(OR(O120=1,O120=2),"",IF(OR(ISBLANK(G137),ISBLANK(J137),ISBLANK(K137),ISBLANK(L137),ISBLANK(M137),ISBLANK(N137))=FALSE,"","u"))</f>
        <v>u</v>
      </c>
      <c r="C137" s="104"/>
      <c r="D137" s="291"/>
      <c r="F137" s="292" t="s">
        <v>549</v>
      </c>
      <c r="G137" s="565"/>
      <c r="H137" s="3179" t="s">
        <v>543</v>
      </c>
      <c r="I137" s="3179"/>
      <c r="J137" s="569"/>
      <c r="K137" s="569"/>
      <c r="L137" s="569"/>
      <c r="M137" s="569"/>
      <c r="N137" s="569"/>
      <c r="O137" s="714" t="str">
        <f>IF(AND(ISBLANK(J137),ISBLANK(K137),ISBLANK(L137),ISBLANK(M137),ISBLANK(N137)),"",IF((1-J137-K137-L137-M137-N137)&lt;0,0,(1-J137-K137-L137-M137-N137)))</f>
        <v/>
      </c>
      <c r="P137" s="604"/>
      <c r="Q137" s="2078"/>
      <c r="S137" s="3487"/>
    </row>
    <row r="138" spans="2:20" ht="6.75" customHeight="1">
      <c r="B138" s="2086"/>
      <c r="C138" s="104"/>
      <c r="D138" s="291"/>
      <c r="E138" s="85"/>
      <c r="F138" s="85"/>
      <c r="G138" s="85"/>
      <c r="H138" s="3179"/>
      <c r="I138" s="3179"/>
      <c r="J138" s="85"/>
      <c r="K138" s="85"/>
      <c r="L138" s="85"/>
      <c r="M138" s="85"/>
      <c r="N138" s="85"/>
      <c r="O138" s="85"/>
      <c r="P138" s="266"/>
      <c r="Q138" s="2078"/>
      <c r="S138" s="3487"/>
    </row>
    <row r="139" spans="2:20" ht="17.25" customHeight="1">
      <c r="B139" s="2123" t="str">
        <f>IF(OR(O120=1,O120=2),"",IF(ISBLANK(G139)=FALSE,"","u"))</f>
        <v>u</v>
      </c>
      <c r="C139" s="104"/>
      <c r="D139" s="291"/>
      <c r="E139" s="645"/>
      <c r="F139" s="293" t="s">
        <v>22</v>
      </c>
      <c r="G139" s="566"/>
      <c r="H139" s="265"/>
      <c r="I139" s="265"/>
      <c r="J139" s="294" t="s">
        <v>544</v>
      </c>
      <c r="K139" s="294" t="s">
        <v>545</v>
      </c>
      <c r="L139" s="294" t="s">
        <v>3493</v>
      </c>
      <c r="M139" s="294" t="s">
        <v>546</v>
      </c>
      <c r="N139" s="87" t="s">
        <v>547</v>
      </c>
      <c r="O139" s="294" t="s">
        <v>66</v>
      </c>
      <c r="P139" s="604"/>
      <c r="Q139" s="2078"/>
      <c r="S139" s="3487"/>
    </row>
    <row r="140" spans="2:20" ht="9" customHeight="1">
      <c r="B140" s="2123"/>
      <c r="C140" s="379"/>
      <c r="D140" s="291"/>
      <c r="E140" s="645"/>
      <c r="F140" s="293"/>
      <c r="G140" s="672"/>
      <c r="H140" s="265"/>
      <c r="I140" s="265"/>
      <c r="J140" s="294"/>
      <c r="K140" s="294"/>
      <c r="L140" s="294"/>
      <c r="M140" s="294"/>
      <c r="N140" s="87"/>
      <c r="O140" s="87"/>
      <c r="P140" s="604"/>
      <c r="Q140" s="2078"/>
      <c r="S140" s="3487"/>
    </row>
    <row r="141" spans="2:20" ht="27" customHeight="1">
      <c r="B141" s="2123"/>
      <c r="C141" s="379"/>
      <c r="D141" s="291"/>
      <c r="E141" s="645"/>
      <c r="F141" s="293"/>
      <c r="G141" s="493"/>
      <c r="H141" s="3179" t="s">
        <v>539</v>
      </c>
      <c r="I141" s="3179"/>
      <c r="J141" s="3090"/>
      <c r="K141" s="3091"/>
      <c r="L141" s="3091"/>
      <c r="M141" s="3091"/>
      <c r="N141" s="3091"/>
      <c r="O141" s="3092"/>
      <c r="P141" s="604"/>
      <c r="Q141" s="2078"/>
      <c r="S141" s="3487"/>
    </row>
    <row r="142" spans="2:20" ht="15" customHeight="1">
      <c r="B142" s="2086"/>
      <c r="C142" s="379"/>
      <c r="D142" s="295"/>
      <c r="E142" s="272"/>
      <c r="F142" s="283"/>
      <c r="G142" s="272"/>
      <c r="H142" s="283"/>
      <c r="I142" s="271"/>
      <c r="J142" s="272"/>
      <c r="K142" s="283"/>
      <c r="L142" s="272"/>
      <c r="M142" s="283"/>
      <c r="N142" s="272"/>
      <c r="O142" s="283"/>
      <c r="P142" s="604"/>
      <c r="Q142" s="2078"/>
      <c r="S142" s="3487"/>
    </row>
    <row r="143" spans="2:20" ht="12.75" customHeight="1">
      <c r="B143" s="2086"/>
      <c r="C143" s="626"/>
      <c r="D143" s="291"/>
      <c r="E143" s="645"/>
      <c r="F143" s="602"/>
      <c r="G143" s="645"/>
      <c r="H143" s="602"/>
      <c r="I143" s="55"/>
      <c r="J143" s="645"/>
      <c r="K143" s="602"/>
      <c r="L143" s="645"/>
      <c r="M143" s="602"/>
      <c r="N143" s="645"/>
      <c r="O143" s="602"/>
      <c r="P143" s="604"/>
      <c r="Q143" s="2078"/>
      <c r="S143" s="3487"/>
    </row>
    <row r="144" spans="2:20" ht="27" customHeight="1">
      <c r="B144" s="2086"/>
      <c r="C144" s="104"/>
      <c r="D144" s="632" t="s">
        <v>550</v>
      </c>
      <c r="E144" s="633" t="s">
        <v>551</v>
      </c>
      <c r="F144" s="502"/>
      <c r="G144" s="502"/>
      <c r="H144" s="502"/>
      <c r="I144" s="502"/>
      <c r="J144" s="3179" t="s">
        <v>541</v>
      </c>
      <c r="K144" s="3179"/>
      <c r="L144" s="3280"/>
      <c r="M144" s="3090"/>
      <c r="N144" s="3091"/>
      <c r="O144" s="3092"/>
      <c r="P144" s="604"/>
      <c r="Q144" s="2078"/>
      <c r="S144" s="3487"/>
    </row>
    <row r="145" spans="2:19" ht="27" customHeight="1">
      <c r="B145" s="2086"/>
      <c r="C145" s="104"/>
      <c r="D145" s="455"/>
      <c r="E145" s="3474" t="s">
        <v>558</v>
      </c>
      <c r="F145" s="3474"/>
      <c r="G145" s="3474"/>
      <c r="H145" s="3474"/>
      <c r="I145" s="3474"/>
      <c r="J145" s="3474"/>
      <c r="K145" s="3474"/>
      <c r="L145" s="3474"/>
      <c r="M145" s="3474"/>
      <c r="N145" s="3474"/>
      <c r="O145" s="3474"/>
      <c r="P145" s="604"/>
      <c r="Q145" s="2078"/>
      <c r="S145" s="3487"/>
    </row>
    <row r="146" spans="2:19" ht="13.5" customHeight="1">
      <c r="B146" s="2086"/>
      <c r="C146" s="104"/>
      <c r="D146" s="451"/>
      <c r="E146" s="453"/>
      <c r="F146" s="453"/>
      <c r="G146" s="453"/>
      <c r="H146" s="453"/>
      <c r="I146" s="453"/>
      <c r="J146" s="453"/>
      <c r="K146" s="453"/>
      <c r="L146" s="453"/>
      <c r="M146" s="453"/>
      <c r="N146" s="453"/>
      <c r="O146" s="453"/>
      <c r="P146" s="604"/>
      <c r="Q146" s="2078"/>
      <c r="S146" s="3487"/>
    </row>
    <row r="147" spans="2:19" ht="18" customHeight="1">
      <c r="B147" s="2086"/>
      <c r="C147" s="104"/>
      <c r="D147" s="451"/>
      <c r="E147" s="452"/>
      <c r="F147" s="292" t="s">
        <v>542</v>
      </c>
      <c r="G147" s="567"/>
      <c r="H147" s="3180" t="s">
        <v>554</v>
      </c>
      <c r="I147" s="3181"/>
      <c r="J147" s="3169"/>
      <c r="K147" s="3170"/>
      <c r="L147" s="3170"/>
      <c r="M147" s="3170"/>
      <c r="N147" s="3170"/>
      <c r="O147" s="3171"/>
      <c r="P147" s="604"/>
      <c r="Q147" s="2078"/>
      <c r="S147" s="3487"/>
    </row>
    <row r="148" spans="2:19" ht="9.75" customHeight="1">
      <c r="B148" s="2086"/>
      <c r="C148" s="104"/>
      <c r="D148" s="290"/>
      <c r="E148" s="380"/>
      <c r="F148" s="380"/>
      <c r="G148" s="380"/>
      <c r="H148" s="456"/>
      <c r="I148" s="456"/>
      <c r="J148" s="380"/>
      <c r="K148" s="380"/>
      <c r="L148" s="380"/>
      <c r="M148" s="380"/>
      <c r="N148" s="380"/>
      <c r="O148" s="380"/>
      <c r="P148" s="604"/>
      <c r="Q148" s="2078"/>
      <c r="S148" s="3487"/>
    </row>
    <row r="149" spans="2:19" ht="18" customHeight="1">
      <c r="B149" s="2086"/>
      <c r="C149" s="104"/>
      <c r="D149" s="451"/>
      <c r="E149" s="452"/>
      <c r="F149" s="292" t="s">
        <v>549</v>
      </c>
      <c r="G149" s="567"/>
      <c r="H149" s="3180" t="s">
        <v>554</v>
      </c>
      <c r="I149" s="3181"/>
      <c r="J149" s="3169"/>
      <c r="K149" s="3170"/>
      <c r="L149" s="3170"/>
      <c r="M149" s="3170"/>
      <c r="N149" s="3170"/>
      <c r="O149" s="3171"/>
      <c r="P149" s="604"/>
      <c r="Q149" s="2078"/>
      <c r="S149" s="3487"/>
    </row>
    <row r="150" spans="2:19" ht="9.75" customHeight="1">
      <c r="B150" s="2086"/>
      <c r="C150" s="664"/>
      <c r="D150" s="290"/>
      <c r="E150" s="380"/>
      <c r="F150" s="380"/>
      <c r="G150" s="380"/>
      <c r="H150" s="380"/>
      <c r="I150" s="380"/>
      <c r="J150" s="380"/>
      <c r="K150" s="380"/>
      <c r="L150" s="380"/>
      <c r="M150" s="380"/>
      <c r="N150" s="380"/>
      <c r="O150" s="380"/>
      <c r="P150" s="604"/>
      <c r="Q150" s="2078"/>
      <c r="S150" s="3487"/>
    </row>
    <row r="151" spans="2:19" ht="17.25" customHeight="1">
      <c r="B151" s="2086"/>
      <c r="C151" s="664"/>
      <c r="D151" s="290"/>
      <c r="E151" s="645"/>
      <c r="F151" s="454" t="s">
        <v>22</v>
      </c>
      <c r="G151" s="568"/>
      <c r="H151" s="602"/>
      <c r="I151" s="383"/>
      <c r="P151" s="604"/>
      <c r="Q151" s="2078"/>
      <c r="S151" s="3487"/>
    </row>
    <row r="152" spans="2:19" ht="9" customHeight="1">
      <c r="B152" s="2123"/>
      <c r="C152" s="379"/>
      <c r="D152" s="291"/>
      <c r="E152" s="645"/>
      <c r="F152" s="293"/>
      <c r="G152" s="672"/>
      <c r="H152" s="265"/>
      <c r="I152" s="265"/>
      <c r="J152" s="294"/>
      <c r="K152" s="294"/>
      <c r="L152" s="294"/>
      <c r="M152" s="294"/>
      <c r="N152" s="87"/>
      <c r="O152" s="87"/>
      <c r="P152" s="604"/>
      <c r="Q152" s="2078"/>
      <c r="S152" s="3487"/>
    </row>
    <row r="153" spans="2:19" ht="27" customHeight="1">
      <c r="B153" s="2123"/>
      <c r="C153" s="379"/>
      <c r="D153" s="291"/>
      <c r="E153" s="645"/>
      <c r="F153" s="293"/>
      <c r="G153" s="493"/>
      <c r="H153" s="3179" t="s">
        <v>539</v>
      </c>
      <c r="I153" s="3179"/>
      <c r="J153" s="3090"/>
      <c r="K153" s="3091"/>
      <c r="L153" s="3091"/>
      <c r="M153" s="3091"/>
      <c r="N153" s="3091"/>
      <c r="O153" s="3092"/>
      <c r="P153" s="604"/>
      <c r="Q153" s="2078"/>
      <c r="S153" s="3487"/>
    </row>
    <row r="154" spans="2:19" ht="15" customHeight="1">
      <c r="B154" s="2086"/>
      <c r="C154" s="664"/>
      <c r="D154" s="291"/>
      <c r="E154" s="645"/>
      <c r="F154" s="602"/>
      <c r="G154" s="645"/>
      <c r="H154" s="602"/>
      <c r="I154" s="55"/>
      <c r="J154" s="645"/>
      <c r="K154" s="602"/>
      <c r="L154" s="645"/>
      <c r="M154" s="602"/>
      <c r="N154" s="645"/>
      <c r="O154" s="602"/>
      <c r="P154" s="604"/>
      <c r="Q154" s="2078"/>
      <c r="S154" s="3487"/>
    </row>
    <row r="155" spans="2:19" ht="12" customHeight="1">
      <c r="B155" s="2086"/>
      <c r="C155" s="2163"/>
      <c r="D155" s="2164"/>
      <c r="E155" s="2163"/>
      <c r="F155" s="2163"/>
      <c r="G155" s="2163"/>
      <c r="H155" s="2163"/>
      <c r="I155" s="2163"/>
      <c r="J155" s="2163"/>
      <c r="K155" s="2163"/>
      <c r="L155" s="2163"/>
      <c r="M155" s="2163"/>
      <c r="N155" s="2163"/>
      <c r="O155" s="2163"/>
      <c r="P155" s="2163"/>
      <c r="Q155" s="2078"/>
      <c r="S155" s="3487"/>
    </row>
    <row r="156" spans="2:19" ht="15" customHeight="1">
      <c r="B156" s="2086"/>
      <c r="C156" s="664"/>
      <c r="D156" s="381"/>
      <c r="E156" s="360"/>
      <c r="F156" s="361"/>
      <c r="G156" s="360"/>
      <c r="H156" s="361"/>
      <c r="I156" s="368"/>
      <c r="J156" s="360"/>
      <c r="K156" s="361"/>
      <c r="L156" s="360"/>
      <c r="M156" s="361"/>
      <c r="N156" s="360"/>
      <c r="O156" s="361"/>
      <c r="P156" s="604"/>
      <c r="Q156" s="2078"/>
      <c r="S156" s="3487"/>
    </row>
    <row r="157" spans="2:19" ht="18" customHeight="1">
      <c r="B157" s="2123" t="str">
        <f>IF(C159="",IF(ISBLANK(G157)=FALSE,"","u"),"")</f>
        <v>u</v>
      </c>
      <c r="C157" s="2234" t="s">
        <v>559</v>
      </c>
      <c r="D157" s="503" t="s">
        <v>560</v>
      </c>
      <c r="E157" s="78"/>
      <c r="F157" s="78"/>
      <c r="G157" s="564"/>
      <c r="H157" s="504" t="s">
        <v>561</v>
      </c>
      <c r="L157" s="78"/>
      <c r="M157" s="78"/>
      <c r="N157" s="78"/>
      <c r="O157" s="78"/>
      <c r="P157" s="604"/>
      <c r="Q157" s="2078"/>
      <c r="S157" s="3487"/>
    </row>
    <row r="158" spans="2:19" ht="9.75" customHeight="1">
      <c r="B158" s="2086"/>
      <c r="C158" s="450"/>
      <c r="D158" s="451"/>
      <c r="E158" s="457"/>
      <c r="F158" s="78"/>
      <c r="G158" s="78"/>
      <c r="H158" s="78"/>
      <c r="I158" s="78"/>
      <c r="J158" s="78"/>
      <c r="K158" s="78"/>
      <c r="L158" s="78"/>
      <c r="M158" s="78"/>
      <c r="N158" s="78"/>
      <c r="O158" s="78"/>
      <c r="P158" s="604"/>
      <c r="Q158" s="2078"/>
      <c r="S158" s="3487"/>
    </row>
    <row r="159" spans="2:19" ht="27" customHeight="1">
      <c r="B159" s="2086"/>
      <c r="C159" s="3543" t="str">
        <f>'CALCULS Eaux pluviales'!P14</f>
        <v/>
      </c>
      <c r="D159" s="511" t="s">
        <v>562</v>
      </c>
      <c r="E159" s="511"/>
      <c r="F159" s="511" t="s">
        <v>116</v>
      </c>
      <c r="G159" s="511" t="s">
        <v>563</v>
      </c>
      <c r="H159" s="511"/>
      <c r="I159" s="3509" t="s">
        <v>564</v>
      </c>
      <c r="J159" s="3509"/>
      <c r="K159" s="2235" t="s">
        <v>814</v>
      </c>
      <c r="L159" s="510"/>
      <c r="M159" s="510" t="s">
        <v>566</v>
      </c>
      <c r="N159" s="78"/>
      <c r="O159" s="78"/>
      <c r="P159" s="604"/>
      <c r="Q159" s="2078"/>
      <c r="S159" s="3487"/>
    </row>
    <row r="160" spans="2:19" ht="18" customHeight="1">
      <c r="B160" s="2086"/>
      <c r="C160" s="3543"/>
      <c r="D160" s="3476" t="s">
        <v>107</v>
      </c>
      <c r="E160" s="3477"/>
      <c r="F160" s="533" t="s">
        <v>58</v>
      </c>
      <c r="G160" s="3183"/>
      <c r="H160" s="3184"/>
      <c r="I160" s="3499"/>
      <c r="J160" s="3500"/>
      <c r="K160" s="3507"/>
      <c r="L160" s="3508"/>
      <c r="M160" s="3183"/>
      <c r="N160" s="3510"/>
      <c r="O160" s="3184"/>
      <c r="P160" s="604"/>
      <c r="Q160" s="2078"/>
      <c r="S160" s="3487"/>
    </row>
    <row r="161" spans="1:19" ht="18" customHeight="1">
      <c r="B161" s="2086"/>
      <c r="C161" s="3543"/>
      <c r="D161" s="3478"/>
      <c r="E161" s="3479"/>
      <c r="F161" s="534" t="s">
        <v>59</v>
      </c>
      <c r="G161" s="3185"/>
      <c r="H161" s="3186"/>
      <c r="I161" s="3495"/>
      <c r="J161" s="3496"/>
      <c r="K161" s="3503"/>
      <c r="L161" s="3504"/>
      <c r="M161" s="3185"/>
      <c r="N161" s="3471"/>
      <c r="O161" s="3186"/>
      <c r="P161" s="604"/>
      <c r="Q161" s="2078"/>
      <c r="S161" s="3487"/>
    </row>
    <row r="162" spans="1:19" ht="18" customHeight="1">
      <c r="B162" s="2086"/>
      <c r="C162" s="382"/>
      <c r="D162" s="3480"/>
      <c r="E162" s="3481"/>
      <c r="F162" s="535" t="s">
        <v>60</v>
      </c>
      <c r="G162" s="3468"/>
      <c r="H162" s="3470"/>
      <c r="I162" s="3501"/>
      <c r="J162" s="3502"/>
      <c r="K162" s="3482"/>
      <c r="L162" s="3483"/>
      <c r="M162" s="3468"/>
      <c r="N162" s="3469"/>
      <c r="O162" s="3470"/>
      <c r="P162" s="604"/>
      <c r="Q162" s="2078"/>
      <c r="S162" s="3487"/>
    </row>
    <row r="163" spans="1:19" ht="18" customHeight="1">
      <c r="B163" s="2086"/>
      <c r="C163" s="382"/>
      <c r="D163" s="3476" t="s">
        <v>108</v>
      </c>
      <c r="E163" s="3477"/>
      <c r="F163" s="533" t="s">
        <v>58</v>
      </c>
      <c r="G163" s="3183"/>
      <c r="H163" s="3184"/>
      <c r="I163" s="3499"/>
      <c r="J163" s="3500"/>
      <c r="K163" s="3505"/>
      <c r="L163" s="3506"/>
      <c r="M163" s="3183"/>
      <c r="N163" s="3510"/>
      <c r="O163" s="3184"/>
      <c r="P163" s="604"/>
      <c r="Q163" s="2078"/>
      <c r="S163" s="3487"/>
    </row>
    <row r="164" spans="1:19" ht="18" customHeight="1">
      <c r="B164" s="2086"/>
      <c r="C164" s="382"/>
      <c r="D164" s="3478"/>
      <c r="E164" s="3479"/>
      <c r="F164" s="534" t="s">
        <v>59</v>
      </c>
      <c r="G164" s="3185"/>
      <c r="H164" s="3186"/>
      <c r="I164" s="3495"/>
      <c r="J164" s="3496"/>
      <c r="K164" s="3503"/>
      <c r="L164" s="3504"/>
      <c r="M164" s="3185"/>
      <c r="N164" s="3471"/>
      <c r="O164" s="3186"/>
      <c r="P164" s="604"/>
      <c r="Q164" s="2078"/>
      <c r="S164" s="3487"/>
    </row>
    <row r="165" spans="1:19" ht="18" customHeight="1">
      <c r="B165" s="2086"/>
      <c r="C165" s="382"/>
      <c r="D165" s="3480"/>
      <c r="E165" s="3481"/>
      <c r="F165" s="535" t="s">
        <v>60</v>
      </c>
      <c r="G165" s="3468"/>
      <c r="H165" s="3470"/>
      <c r="I165" s="3501"/>
      <c r="J165" s="3502"/>
      <c r="K165" s="3497"/>
      <c r="L165" s="3498"/>
      <c r="M165" s="3468"/>
      <c r="N165" s="3469"/>
      <c r="O165" s="3470"/>
      <c r="P165" s="604"/>
      <c r="Q165" s="2078"/>
      <c r="S165" s="3487"/>
    </row>
    <row r="166" spans="1:19" ht="14.25" customHeight="1">
      <c r="B166" s="2086"/>
      <c r="C166" s="506"/>
      <c r="D166" s="507"/>
      <c r="E166" s="508"/>
      <c r="F166" s="509"/>
      <c r="G166" s="510"/>
      <c r="H166" s="510"/>
      <c r="I166" s="510"/>
      <c r="J166" s="510"/>
      <c r="K166" s="510"/>
      <c r="L166" s="510"/>
      <c r="M166" s="510"/>
      <c r="N166" s="510"/>
      <c r="O166" s="510"/>
      <c r="P166" s="273"/>
      <c r="Q166" s="2078"/>
      <c r="S166" s="3487"/>
    </row>
    <row r="167" spans="1:19" ht="18.75" customHeight="1">
      <c r="B167" s="2086"/>
      <c r="C167" s="2129"/>
      <c r="D167" s="2077"/>
      <c r="E167" s="2077"/>
      <c r="F167" s="2077"/>
      <c r="G167" s="2077"/>
      <c r="H167" s="2077"/>
      <c r="I167" s="2077"/>
      <c r="J167" s="2077"/>
      <c r="K167" s="2077"/>
      <c r="L167" s="2077"/>
      <c r="M167" s="2077"/>
      <c r="N167" s="2077"/>
      <c r="O167" s="2077"/>
      <c r="P167" s="2077"/>
      <c r="Q167" s="2078"/>
      <c r="S167" s="3487"/>
    </row>
    <row r="168" spans="1:19" ht="17.25" customHeight="1">
      <c r="B168" s="2086"/>
      <c r="C168" s="2130" t="s">
        <v>567</v>
      </c>
      <c r="D168" s="2077"/>
      <c r="E168" s="2077"/>
      <c r="F168" s="2077"/>
      <c r="G168" s="2077"/>
      <c r="H168" s="2077"/>
      <c r="I168" s="2406" t="str">
        <f>IF((OR(ISBLANK(F605),ISBLANK(F606),ISBLANK(F607),ISBLANK(F608),ISBLANK(F609),ISBLANK(F610))=FALSE),"Complété","À compléter")</f>
        <v>À compléter</v>
      </c>
      <c r="J168" s="2406" t="str">
        <f>IF((OR(ISBLANK(F605),ISBLANK(F606),ISBLANK(F607),ISBLANK(F608),ISBLANK(F609),ISBLANK(F610),ISBLANK(K605),ISBLANK(K606),ISBLANK(K607),ISBLANK(K608),ISBLANK(K609),ISBLANK(K610))=FALSE),"Complété","À compléter")</f>
        <v>À compléter</v>
      </c>
      <c r="K168" s="2077"/>
      <c r="L168" s="2077"/>
      <c r="M168" s="2077"/>
      <c r="N168" s="2077"/>
      <c r="O168" s="2077"/>
      <c r="P168" s="2077"/>
      <c r="Q168" s="2078"/>
      <c r="S168" s="3487"/>
    </row>
    <row r="169" spans="1:19" ht="18" customHeight="1">
      <c r="B169" s="2086"/>
      <c r="C169" s="1938"/>
      <c r="D169" s="2131"/>
      <c r="E169" s="3743" t="s">
        <v>568</v>
      </c>
      <c r="F169" s="3743"/>
      <c r="G169" s="3743"/>
      <c r="H169" s="3744"/>
      <c r="I169" s="353" t="str">
        <f>IF($M$73='MENU DÉROULANT'!$C$66,I168,J168)</f>
        <v>À compléter</v>
      </c>
      <c r="J169" s="3727" t="s">
        <v>3454</v>
      </c>
      <c r="K169" s="3727"/>
      <c r="L169" s="3727"/>
      <c r="M169" s="3727"/>
      <c r="N169" s="3727"/>
      <c r="O169" s="3727"/>
      <c r="P169" s="3727"/>
      <c r="Q169" s="2078"/>
      <c r="S169" s="3487"/>
    </row>
    <row r="170" spans="1:19" ht="6.75" customHeight="1">
      <c r="B170" s="2086"/>
      <c r="C170" s="2077"/>
      <c r="D170" s="2131"/>
      <c r="E170" s="2131"/>
      <c r="F170" s="2131"/>
      <c r="G170" s="2131"/>
      <c r="H170" s="2131"/>
      <c r="I170" s="2077"/>
      <c r="J170" s="3727"/>
      <c r="K170" s="3727"/>
      <c r="L170" s="3727"/>
      <c r="M170" s="3727"/>
      <c r="N170" s="3727"/>
      <c r="O170" s="3727"/>
      <c r="P170" s="3727"/>
      <c r="Q170" s="2078"/>
      <c r="S170" s="3487"/>
    </row>
    <row r="171" spans="1:19" ht="18" customHeight="1">
      <c r="B171" s="2086"/>
      <c r="C171" s="2077"/>
      <c r="D171" s="3743" t="s">
        <v>569</v>
      </c>
      <c r="E171" s="3743"/>
      <c r="F171" s="3743"/>
      <c r="G171" s="3743"/>
      <c r="H171" s="3744"/>
      <c r="I171" s="353" t="str">
        <f>IF($M$73='MENU DÉROULANT'!$C$66,I172,J172)</f>
        <v>À compléter</v>
      </c>
      <c r="J171" s="3727" t="s">
        <v>3455</v>
      </c>
      <c r="K171" s="3727"/>
      <c r="L171" s="3727"/>
      <c r="M171" s="3727"/>
      <c r="N171" s="3727"/>
      <c r="O171" s="3727"/>
      <c r="P171" s="3727"/>
      <c r="Q171" s="2078"/>
      <c r="S171" s="3487"/>
    </row>
    <row r="172" spans="1:19" ht="23.25" customHeight="1">
      <c r="B172" s="2086"/>
      <c r="C172" s="2077"/>
      <c r="D172" s="2117"/>
      <c r="E172" s="2117"/>
      <c r="F172" s="2117"/>
      <c r="G172" s="2117"/>
      <c r="H172" s="2117"/>
      <c r="I172" s="2406" t="str">
        <f>IF((OR(ISBLANK(F671),ISBLANK(F672))=FALSE),"Complété","À compléter")</f>
        <v>À compléter</v>
      </c>
      <c r="J172" s="2406" t="str">
        <f>IF((OR(ISBLANK(F671),ISBLANK(F672),ISBLANK(K671),ISBLANK(K672))=FALSE),"Complété","À compléter")</f>
        <v>À compléter</v>
      </c>
      <c r="K172" s="2119"/>
      <c r="L172" s="2119"/>
      <c r="M172" s="2119"/>
      <c r="N172" s="2119"/>
      <c r="O172" s="2119"/>
      <c r="P172" s="2119"/>
      <c r="Q172" s="2078"/>
      <c r="S172" s="3487"/>
    </row>
    <row r="173" spans="1:19" ht="18" customHeight="1">
      <c r="B173" s="2086"/>
      <c r="C173" s="2120" t="s">
        <v>570</v>
      </c>
      <c r="D173" s="2117"/>
      <c r="E173" s="2117"/>
      <c r="F173" s="2117"/>
      <c r="G173" s="1938"/>
      <c r="H173" s="3745" t="s">
        <v>571</v>
      </c>
      <c r="I173" s="3745"/>
      <c r="J173" s="1938"/>
      <c r="K173" s="1938"/>
      <c r="L173" s="2119"/>
      <c r="M173" s="2119"/>
      <c r="N173" s="2119"/>
      <c r="O173" s="2119"/>
      <c r="P173" s="2119"/>
      <c r="Q173" s="2078"/>
      <c r="S173" s="3487"/>
    </row>
    <row r="174" spans="1:19" ht="14.25" customHeight="1" thickBot="1">
      <c r="B174" s="2087"/>
      <c r="C174" s="2092"/>
      <c r="D174" s="2092"/>
      <c r="E174" s="2092"/>
      <c r="F174" s="2092"/>
      <c r="G174" s="2092"/>
      <c r="H174" s="2092"/>
      <c r="I174" s="2092"/>
      <c r="J174" s="2092"/>
      <c r="K174" s="2092"/>
      <c r="L174" s="2092"/>
      <c r="M174" s="2092"/>
      <c r="N174" s="2092"/>
      <c r="O174" s="2092"/>
      <c r="P174" s="2092"/>
      <c r="Q174" s="2093"/>
      <c r="S174" s="3488"/>
    </row>
    <row r="175" spans="1:19" ht="15" thickBot="1">
      <c r="B175" s="683"/>
      <c r="S175" s="617"/>
    </row>
    <row r="176" spans="1:19" ht="22.5" customHeight="1" thickBot="1">
      <c r="A176" s="1187"/>
      <c r="B176" s="1926" t="s">
        <v>572</v>
      </c>
      <c r="C176" s="1926"/>
      <c r="D176" s="1926"/>
      <c r="E176" s="1926"/>
      <c r="F176" s="1926"/>
      <c r="G176" s="1926"/>
      <c r="H176" s="1926"/>
      <c r="I176" s="1926"/>
      <c r="J176" s="1926"/>
      <c r="K176" s="1926"/>
      <c r="L176" s="2097"/>
      <c r="M176" s="2097"/>
      <c r="N176" s="2097"/>
      <c r="O176" s="3726" t="s">
        <v>155</v>
      </c>
      <c r="P176" s="3726"/>
      <c r="Q176" s="3726"/>
      <c r="S176" s="615" t="s">
        <v>521</v>
      </c>
    </row>
    <row r="177" spans="2:19" ht="9.75" customHeight="1" thickBot="1">
      <c r="S177" s="616"/>
    </row>
    <row r="178" spans="2:19" ht="13.5" customHeight="1">
      <c r="B178" s="2098"/>
      <c r="C178" s="2099"/>
      <c r="D178" s="2099"/>
      <c r="E178" s="2100"/>
      <c r="F178" s="2101"/>
      <c r="G178" s="2101"/>
      <c r="H178" s="2101"/>
      <c r="I178" s="2101"/>
      <c r="J178" s="2101"/>
      <c r="K178" s="2101"/>
      <c r="L178" s="2101"/>
      <c r="M178" s="2101"/>
      <c r="N178" s="2101"/>
      <c r="O178" s="2101"/>
      <c r="P178" s="2101"/>
      <c r="Q178" s="2102"/>
      <c r="S178" s="3486"/>
    </row>
    <row r="179" spans="2:19" ht="18" customHeight="1">
      <c r="B179" s="2160"/>
      <c r="C179" s="2104" t="s">
        <v>573</v>
      </c>
      <c r="D179" s="2104"/>
      <c r="E179" s="2161"/>
      <c r="F179" s="2143"/>
      <c r="G179" s="1938"/>
      <c r="H179" s="1938"/>
      <c r="I179" s="1938"/>
      <c r="J179" s="1938"/>
      <c r="K179" s="1938"/>
      <c r="L179" s="1938"/>
      <c r="M179" s="1938"/>
      <c r="N179" s="2126" t="s">
        <v>219</v>
      </c>
      <c r="O179" s="353" t="str">
        <f>IF(OR(ISBLANK(H186))=FALSE,"Complété","À compléter")</f>
        <v>À compléter</v>
      </c>
      <c r="P179" s="1938"/>
      <c r="Q179" s="2128"/>
      <c r="S179" s="3487"/>
    </row>
    <row r="180" spans="2:19" ht="6" customHeight="1">
      <c r="B180" s="2125"/>
      <c r="C180" s="2127"/>
      <c r="D180" s="2127"/>
      <c r="E180" s="2127"/>
      <c r="F180" s="1938"/>
      <c r="G180" s="1938"/>
      <c r="H180" s="1938"/>
      <c r="I180" s="1938"/>
      <c r="J180" s="1938"/>
      <c r="K180" s="1938"/>
      <c r="L180" s="1938"/>
      <c r="M180" s="1938"/>
      <c r="N180" s="1938"/>
      <c r="O180" s="1938"/>
      <c r="P180" s="1938"/>
      <c r="Q180" s="2128"/>
      <c r="S180" s="3487"/>
    </row>
    <row r="181" spans="2:19" ht="17.25" customHeight="1">
      <c r="B181" s="2125"/>
      <c r="C181" s="3728" t="s">
        <v>574</v>
      </c>
      <c r="D181" s="3728"/>
      <c r="E181" s="3728"/>
      <c r="F181" s="3728"/>
      <c r="G181" s="3728"/>
      <c r="H181" s="3728"/>
      <c r="I181" s="3728"/>
      <c r="J181" s="3728"/>
      <c r="K181" s="3728"/>
      <c r="L181" s="3728"/>
      <c r="M181" s="3728"/>
      <c r="N181" s="1938"/>
      <c r="O181" s="1938"/>
      <c r="P181" s="1938"/>
      <c r="Q181" s="2128"/>
      <c r="S181" s="3487"/>
    </row>
    <row r="182" spans="2:19" ht="15" customHeight="1">
      <c r="B182" s="2125"/>
      <c r="C182" s="2127"/>
      <c r="D182" s="2127"/>
      <c r="E182" s="2127"/>
      <c r="F182" s="1938"/>
      <c r="G182" s="1938"/>
      <c r="H182" s="1938"/>
      <c r="I182" s="1938"/>
      <c r="J182" s="1938"/>
      <c r="K182" s="1938"/>
      <c r="L182" s="1938"/>
      <c r="M182" s="1938"/>
      <c r="N182" s="1938"/>
      <c r="O182" s="1938"/>
      <c r="P182" s="1938"/>
      <c r="Q182" s="2128"/>
      <c r="S182" s="3487"/>
    </row>
    <row r="183" spans="2:19" ht="18.75" customHeight="1">
      <c r="B183" s="2086"/>
      <c r="C183" s="2153" t="s">
        <v>3457</v>
      </c>
      <c r="D183" s="2109"/>
      <c r="E183" s="2077"/>
      <c r="F183" s="2077"/>
      <c r="G183" s="2077"/>
      <c r="H183" s="2077"/>
      <c r="I183" s="2077"/>
      <c r="J183" s="2077"/>
      <c r="K183" s="2077"/>
      <c r="L183" s="2077"/>
      <c r="M183" s="2077"/>
      <c r="N183" s="2077"/>
      <c r="O183" s="2077"/>
      <c r="P183" s="2077"/>
      <c r="Q183" s="2078"/>
      <c r="S183" s="3487"/>
    </row>
    <row r="184" spans="2:19" ht="6" customHeight="1">
      <c r="B184" s="2086"/>
      <c r="C184" s="2162"/>
      <c r="D184" s="2109"/>
      <c r="E184" s="2077"/>
      <c r="F184" s="2077"/>
      <c r="G184" s="2077"/>
      <c r="H184" s="2077"/>
      <c r="I184" s="2077"/>
      <c r="J184" s="2077"/>
      <c r="K184" s="2077"/>
      <c r="L184" s="2077"/>
      <c r="M184" s="2077"/>
      <c r="N184" s="2077"/>
      <c r="O184" s="2077"/>
      <c r="P184" s="2077"/>
      <c r="Q184" s="2078"/>
      <c r="S184" s="3487"/>
    </row>
    <row r="185" spans="2:19" ht="14.25" customHeight="1">
      <c r="B185" s="2086"/>
      <c r="C185" s="635"/>
      <c r="D185" s="259"/>
      <c r="E185" s="260"/>
      <c r="F185" s="260"/>
      <c r="G185" s="260"/>
      <c r="H185" s="260"/>
      <c r="I185" s="260"/>
      <c r="J185" s="260"/>
      <c r="K185" s="260"/>
      <c r="L185" s="260"/>
      <c r="M185" s="260"/>
      <c r="N185" s="260"/>
      <c r="O185" s="260"/>
      <c r="P185" s="261"/>
      <c r="Q185" s="2078"/>
      <c r="S185" s="3487"/>
    </row>
    <row r="186" spans="2:19" ht="15.75" customHeight="1">
      <c r="B186" s="2123" t="str">
        <f>IF(ISBLANK(H186)=FALSE,"","u")</f>
        <v>u</v>
      </c>
      <c r="C186" s="3351" t="s">
        <v>3486</v>
      </c>
      <c r="D186" s="3352"/>
      <c r="E186" s="3352"/>
      <c r="F186" s="3352"/>
      <c r="G186" s="3352"/>
      <c r="H186" s="3306"/>
      <c r="I186" s="3307"/>
      <c r="J186" s="3307"/>
      <c r="K186" s="3308"/>
      <c r="L186" s="1122" t="str">
        <f>IF(OR(ISBLANK(H186),H186='MENU DÉROULANT'!C73),"","Vous pouvez donc passer à la section suivante du PGA.")</f>
        <v/>
      </c>
      <c r="M186" s="1032"/>
      <c r="N186" s="1032"/>
      <c r="O186" s="1032"/>
      <c r="P186" s="266"/>
      <c r="Q186" s="2078"/>
      <c r="S186" s="3487"/>
    </row>
    <row r="187" spans="2:19" ht="15.75" customHeight="1">
      <c r="B187" s="2123" t="s">
        <v>552</v>
      </c>
      <c r="C187" s="3351"/>
      <c r="D187" s="3352"/>
      <c r="E187" s="3352"/>
      <c r="F187" s="3352"/>
      <c r="G187" s="3352"/>
      <c r="H187" s="3309"/>
      <c r="I187" s="3310"/>
      <c r="J187" s="3310"/>
      <c r="K187" s="3311"/>
      <c r="L187" s="3222" t="str">
        <f>IF(OR(ISBLANK(H186),H186='MENU DÉROULANT'!C73),"","Notez toutefois que dans ce cas, aucun visuel n'apparaitra dans le sommaire concernant les niveaux de service.")</f>
        <v/>
      </c>
      <c r="M187" s="3222"/>
      <c r="N187" s="3222"/>
      <c r="O187" s="3222"/>
      <c r="P187" s="673"/>
      <c r="Q187" s="2159"/>
      <c r="S187" s="3487"/>
    </row>
    <row r="188" spans="2:19" ht="16.5" customHeight="1">
      <c r="B188" s="2086"/>
      <c r="C188" s="636"/>
      <c r="D188" s="634"/>
      <c r="E188" s="85"/>
      <c r="F188" s="85"/>
      <c r="G188" s="85"/>
      <c r="H188" s="85"/>
      <c r="I188" s="85"/>
      <c r="J188" s="85"/>
      <c r="K188" s="85"/>
      <c r="L188" s="3223"/>
      <c r="M188" s="3223"/>
      <c r="N188" s="3223"/>
      <c r="O188" s="3223"/>
      <c r="P188" s="605"/>
      <c r="Q188" s="2159"/>
      <c r="S188" s="3487"/>
    </row>
    <row r="189" spans="2:19" ht="31.5" customHeight="1">
      <c r="B189" s="2123"/>
      <c r="C189" s="379"/>
      <c r="D189" s="291"/>
      <c r="E189" s="645"/>
      <c r="F189" s="3179" t="s">
        <v>539</v>
      </c>
      <c r="G189" s="3179"/>
      <c r="H189" s="3461"/>
      <c r="I189" s="3462"/>
      <c r="J189" s="3462"/>
      <c r="K189" s="3462"/>
      <c r="L189" s="3462"/>
      <c r="M189" s="3462"/>
      <c r="N189" s="3462"/>
      <c r="O189" s="3463"/>
      <c r="P189" s="604"/>
      <c r="Q189" s="2078"/>
      <c r="S189" s="3487"/>
    </row>
    <row r="190" spans="2:19" ht="15" customHeight="1">
      <c r="B190" s="2086"/>
      <c r="C190" s="637"/>
      <c r="D190" s="638"/>
      <c r="E190" s="306"/>
      <c r="F190" s="306"/>
      <c r="G190" s="306"/>
      <c r="H190" s="306"/>
      <c r="I190" s="306"/>
      <c r="J190" s="306"/>
      <c r="K190" s="306"/>
      <c r="L190" s="306"/>
      <c r="M190" s="639"/>
      <c r="N190" s="639"/>
      <c r="O190" s="639"/>
      <c r="P190" s="640"/>
      <c r="Q190" s="2159"/>
      <c r="S190" s="3487"/>
    </row>
    <row r="191" spans="2:19" ht="18.75" customHeight="1">
      <c r="B191" s="2086"/>
      <c r="C191" s="2109"/>
      <c r="D191" s="2109"/>
      <c r="E191" s="2077"/>
      <c r="F191" s="2077"/>
      <c r="G191" s="2077"/>
      <c r="H191" s="2077"/>
      <c r="I191" s="2077"/>
      <c r="J191" s="2077"/>
      <c r="K191" s="2077"/>
      <c r="L191" s="2077"/>
      <c r="M191" s="2077"/>
      <c r="N191" s="2077"/>
      <c r="O191" s="2077"/>
      <c r="P191" s="2077"/>
      <c r="Q191" s="2078"/>
      <c r="S191" s="3487"/>
    </row>
    <row r="192" spans="2:19" ht="22.5" customHeight="1">
      <c r="B192" s="2086"/>
      <c r="C192" s="3353" t="s">
        <v>575</v>
      </c>
      <c r="D192" s="3354"/>
      <c r="E192" s="3354"/>
      <c r="F192" s="3354"/>
      <c r="G192" s="310"/>
      <c r="H192" s="310"/>
      <c r="I192" s="310"/>
      <c r="J192" s="310"/>
      <c r="K192" s="310"/>
      <c r="L192" s="310"/>
      <c r="M192" s="310"/>
      <c r="N192" s="310"/>
      <c r="O192" s="975"/>
      <c r="P192" s="311"/>
      <c r="Q192" s="2078"/>
      <c r="S192" s="3487"/>
    </row>
    <row r="193" spans="2:19" ht="3" customHeight="1">
      <c r="B193" s="2086"/>
      <c r="C193" s="2077"/>
      <c r="D193" s="2077"/>
      <c r="E193" s="2077"/>
      <c r="F193" s="2077"/>
      <c r="G193" s="2077"/>
      <c r="H193" s="2077"/>
      <c r="I193" s="2077"/>
      <c r="J193" s="2077"/>
      <c r="K193" s="2077"/>
      <c r="L193" s="2077"/>
      <c r="M193" s="2077"/>
      <c r="N193" s="2077"/>
      <c r="O193" s="2077"/>
      <c r="P193" s="2077"/>
      <c r="Q193" s="2078"/>
      <c r="S193" s="3487"/>
    </row>
    <row r="194" spans="2:19" ht="11.25" customHeight="1">
      <c r="B194" s="2086"/>
      <c r="C194" s="258"/>
      <c r="D194" s="259"/>
      <c r="E194" s="260"/>
      <c r="F194" s="260"/>
      <c r="G194" s="260"/>
      <c r="H194" s="260"/>
      <c r="I194" s="260"/>
      <c r="J194" s="260"/>
      <c r="K194" s="260"/>
      <c r="L194" s="260"/>
      <c r="M194" s="260"/>
      <c r="N194" s="260"/>
      <c r="O194" s="260"/>
      <c r="P194" s="261"/>
      <c r="Q194" s="2078"/>
      <c r="S194" s="3487"/>
    </row>
    <row r="195" spans="2:19" ht="33.75" customHeight="1">
      <c r="B195" s="2086"/>
      <c r="C195" s="3464" t="s">
        <v>3487</v>
      </c>
      <c r="D195" s="3465"/>
      <c r="E195" s="3465"/>
      <c r="F195" s="3465"/>
      <c r="G195" s="3465"/>
      <c r="H195" s="3465"/>
      <c r="I195" s="3465"/>
      <c r="J195" s="3465"/>
      <c r="K195" s="3465"/>
      <c r="L195" s="3465"/>
      <c r="M195" s="3465"/>
      <c r="N195" s="3465"/>
      <c r="O195" s="3465"/>
      <c r="P195" s="3466"/>
      <c r="Q195" s="2078"/>
      <c r="S195" s="3487"/>
    </row>
    <row r="196" spans="2:19" ht="24.75" customHeight="1">
      <c r="B196" s="2086"/>
      <c r="C196" s="3512" t="s">
        <v>576</v>
      </c>
      <c r="D196" s="3513"/>
      <c r="E196" s="3513"/>
      <c r="F196" s="3513"/>
      <c r="G196" s="3513"/>
      <c r="H196" s="3513"/>
      <c r="I196" s="3513"/>
      <c r="J196" s="3513"/>
      <c r="K196" s="3513"/>
      <c r="L196" s="3513"/>
      <c r="M196" s="3513"/>
      <c r="N196" s="3513"/>
      <c r="O196" s="3513"/>
      <c r="P196" s="3514"/>
      <c r="Q196" s="2078"/>
      <c r="S196" s="3487"/>
    </row>
    <row r="197" spans="2:19" ht="10.5" customHeight="1">
      <c r="B197" s="2086"/>
      <c r="C197" s="356"/>
      <c r="D197" s="315"/>
      <c r="E197" s="85"/>
      <c r="F197" s="85"/>
      <c r="G197" s="85"/>
      <c r="H197" s="85"/>
      <c r="I197" s="55"/>
      <c r="J197" s="85"/>
      <c r="K197" s="85"/>
      <c r="L197" s="85"/>
      <c r="M197" s="85"/>
      <c r="N197" s="85"/>
      <c r="O197" s="85"/>
      <c r="P197" s="266"/>
      <c r="Q197" s="2078"/>
      <c r="S197" s="3487"/>
    </row>
    <row r="198" spans="2:19" s="72" customFormat="1" ht="26.25" customHeight="1" thickBot="1">
      <c r="B198" s="2086"/>
      <c r="C198" s="362"/>
      <c r="D198" s="3342" t="s">
        <v>577</v>
      </c>
      <c r="E198" s="3342"/>
      <c r="F198" s="3342" t="s">
        <v>578</v>
      </c>
      <c r="G198" s="3342"/>
      <c r="H198" s="3342" t="s">
        <v>579</v>
      </c>
      <c r="I198" s="3342"/>
      <c r="J198" s="3342" t="s">
        <v>494</v>
      </c>
      <c r="K198" s="3342"/>
      <c r="L198" s="499" t="s">
        <v>580</v>
      </c>
      <c r="M198" s="536"/>
      <c r="N198" s="364"/>
      <c r="O198" s="351"/>
      <c r="P198" s="266"/>
      <c r="Q198" s="2078"/>
      <c r="S198" s="3487"/>
    </row>
    <row r="199" spans="2:19" ht="26.25" customHeight="1" thickTop="1">
      <c r="B199" s="2123" t="str">
        <f>IF(OR(ISBLANK(D199),ISBLANK(F199),ISBLANK(H199),ISBLANK(J199))=FALSE,"","w")</f>
        <v>w</v>
      </c>
      <c r="C199" s="500">
        <v>1</v>
      </c>
      <c r="D199" s="3332"/>
      <c r="E199" s="3333"/>
      <c r="F199" s="3332"/>
      <c r="G199" s="3333"/>
      <c r="H199" s="3332"/>
      <c r="I199" s="3333"/>
      <c r="J199" s="3332"/>
      <c r="K199" s="3333"/>
      <c r="L199" s="3524"/>
      <c r="M199" s="3525"/>
      <c r="N199" s="3525"/>
      <c r="O199" s="3526"/>
      <c r="P199" s="266"/>
      <c r="Q199" s="2078"/>
      <c r="S199" s="3487"/>
    </row>
    <row r="200" spans="2:19" ht="26.25" customHeight="1">
      <c r="B200" s="2123" t="str">
        <f>IF(OR(ISBLANK(D200),ISBLANK(F200),ISBLANK(H200),ISBLANK(J200))=FALSE,"","w")</f>
        <v>w</v>
      </c>
      <c r="C200" s="500">
        <v>2</v>
      </c>
      <c r="D200" s="3332"/>
      <c r="E200" s="3333"/>
      <c r="F200" s="3332"/>
      <c r="G200" s="3333"/>
      <c r="H200" s="3332"/>
      <c r="I200" s="3333"/>
      <c r="J200" s="3332"/>
      <c r="K200" s="3333"/>
      <c r="L200" s="3334"/>
      <c r="M200" s="3335"/>
      <c r="N200" s="3335"/>
      <c r="O200" s="3336"/>
      <c r="P200" s="266"/>
      <c r="Q200" s="2078"/>
      <c r="S200" s="3487"/>
    </row>
    <row r="201" spans="2:19" ht="26.25" customHeight="1">
      <c r="B201" s="2123" t="str">
        <f>IF(OR(ISBLANK(D201),ISBLANK(F201),ISBLANK(H201),ISBLANK(J201))=FALSE,"","w")</f>
        <v>w</v>
      </c>
      <c r="C201" s="500">
        <v>3</v>
      </c>
      <c r="D201" s="3332"/>
      <c r="E201" s="3333"/>
      <c r="F201" s="3332"/>
      <c r="G201" s="3333"/>
      <c r="H201" s="3332"/>
      <c r="I201" s="3333"/>
      <c r="J201" s="3332"/>
      <c r="K201" s="3333"/>
      <c r="L201" s="3334"/>
      <c r="M201" s="3335"/>
      <c r="N201" s="3335"/>
      <c r="O201" s="3336"/>
      <c r="P201" s="266"/>
      <c r="Q201" s="2078"/>
      <c r="S201" s="3487"/>
    </row>
    <row r="202" spans="2:19" ht="26.25" customHeight="1">
      <c r="B202" s="2086"/>
      <c r="C202" s="500">
        <v>4</v>
      </c>
      <c r="D202" s="3330"/>
      <c r="E202" s="3331"/>
      <c r="F202" s="3330"/>
      <c r="G202" s="3331"/>
      <c r="H202" s="3330"/>
      <c r="I202" s="3331"/>
      <c r="J202" s="3330"/>
      <c r="K202" s="3331"/>
      <c r="L202" s="3334"/>
      <c r="M202" s="3335"/>
      <c r="N202" s="3335"/>
      <c r="O202" s="3336"/>
      <c r="P202" s="266"/>
      <c r="Q202" s="2078"/>
      <c r="S202" s="3487"/>
    </row>
    <row r="203" spans="2:19" ht="26.25" customHeight="1">
      <c r="B203" s="2086"/>
      <c r="C203" s="500">
        <v>5</v>
      </c>
      <c r="D203" s="3343"/>
      <c r="E203" s="3345"/>
      <c r="F203" s="3343"/>
      <c r="G203" s="3345"/>
      <c r="H203" s="3343"/>
      <c r="I203" s="3345"/>
      <c r="J203" s="3343"/>
      <c r="K203" s="3345"/>
      <c r="L203" s="3343"/>
      <c r="M203" s="3344"/>
      <c r="N203" s="3344"/>
      <c r="O203" s="3345"/>
      <c r="P203" s="604"/>
      <c r="Q203" s="2078"/>
      <c r="S203" s="3487"/>
    </row>
    <row r="204" spans="2:19" ht="17.25" customHeight="1">
      <c r="B204" s="2086"/>
      <c r="C204" s="358"/>
      <c r="D204" s="359"/>
      <c r="E204" s="645"/>
      <c r="F204" s="361"/>
      <c r="G204" s="360"/>
      <c r="H204" s="602"/>
      <c r="I204" s="55"/>
      <c r="J204" s="645"/>
      <c r="K204" s="602"/>
      <c r="L204" s="645"/>
      <c r="M204" s="602"/>
      <c r="N204" s="645"/>
      <c r="O204" s="602"/>
      <c r="P204" s="604"/>
      <c r="Q204" s="2078"/>
      <c r="S204" s="3487"/>
    </row>
    <row r="205" spans="2:19" ht="50.25" customHeight="1">
      <c r="B205" s="2086"/>
      <c r="C205" s="3337" t="s">
        <v>581</v>
      </c>
      <c r="D205" s="3338"/>
      <c r="E205" s="3339"/>
      <c r="F205" s="3533"/>
      <c r="G205" s="3534"/>
      <c r="H205" s="3534"/>
      <c r="I205" s="3534"/>
      <c r="J205" s="3534"/>
      <c r="K205" s="3534"/>
      <c r="L205" s="3534"/>
      <c r="M205" s="3534"/>
      <c r="N205" s="3534"/>
      <c r="O205" s="3535"/>
      <c r="P205" s="604"/>
      <c r="Q205" s="2078"/>
      <c r="S205" s="3487"/>
    </row>
    <row r="206" spans="2:19" ht="15.75" customHeight="1">
      <c r="B206" s="2086"/>
      <c r="C206" s="664"/>
      <c r="D206" s="315"/>
      <c r="E206" s="645"/>
      <c r="F206" s="602"/>
      <c r="G206" s="645"/>
      <c r="H206" s="602"/>
      <c r="I206" s="55"/>
      <c r="J206" s="645"/>
      <c r="K206" s="602"/>
      <c r="L206" s="645"/>
      <c r="M206" s="602"/>
      <c r="N206" s="645"/>
      <c r="O206" s="602"/>
      <c r="P206" s="604"/>
      <c r="Q206" s="2078"/>
      <c r="S206" s="3487"/>
    </row>
    <row r="207" spans="2:19" ht="18" customHeight="1">
      <c r="B207" s="2086"/>
      <c r="C207" s="757" t="s">
        <v>582</v>
      </c>
      <c r="D207" s="758"/>
      <c r="E207" s="759"/>
      <c r="F207" s="760"/>
      <c r="G207" s="760"/>
      <c r="H207" s="761"/>
      <c r="I207" s="762"/>
      <c r="J207" s="759"/>
      <c r="K207" s="759"/>
      <c r="L207" s="759"/>
      <c r="M207" s="760"/>
      <c r="N207" s="760"/>
      <c r="O207" s="763"/>
      <c r="P207" s="604"/>
      <c r="Q207" s="2078"/>
      <c r="S207" s="3487"/>
    </row>
    <row r="208" spans="2:19" ht="18" customHeight="1">
      <c r="B208" s="2086"/>
      <c r="C208" s="765" t="s">
        <v>815</v>
      </c>
      <c r="D208" s="758"/>
      <c r="E208" s="759"/>
      <c r="F208" s="760"/>
      <c r="G208" s="760"/>
      <c r="H208" s="761"/>
      <c r="I208" s="762"/>
      <c r="J208" s="614"/>
      <c r="K208" s="766"/>
      <c r="L208" s="759"/>
      <c r="M208" s="760"/>
      <c r="N208" s="760"/>
      <c r="O208" s="763"/>
      <c r="P208" s="604"/>
      <c r="Q208" s="2078"/>
      <c r="S208" s="3487"/>
    </row>
    <row r="209" spans="2:19" ht="16.5" customHeight="1">
      <c r="B209" s="2086"/>
      <c r="C209" s="767"/>
      <c r="D209" s="758"/>
      <c r="E209" s="759"/>
      <c r="F209" s="760"/>
      <c r="G209" s="760"/>
      <c r="H209" s="761"/>
      <c r="I209" s="762"/>
      <c r="J209" s="768" t="s">
        <v>584</v>
      </c>
      <c r="K209" s="614"/>
      <c r="L209" s="759"/>
      <c r="M209" s="760"/>
      <c r="N209" s="760"/>
      <c r="O209" s="763"/>
      <c r="P209" s="604"/>
      <c r="Q209" s="2078"/>
      <c r="S209" s="3487"/>
    </row>
    <row r="210" spans="2:19" ht="18" customHeight="1">
      <c r="B210" s="2086"/>
      <c r="C210" s="601"/>
      <c r="D210" s="277"/>
      <c r="E210" s="306"/>
      <c r="F210" s="306"/>
      <c r="G210" s="306"/>
      <c r="H210" s="306"/>
      <c r="I210" s="271"/>
      <c r="J210" s="306"/>
      <c r="K210" s="306"/>
      <c r="L210" s="306"/>
      <c r="M210" s="306"/>
      <c r="N210" s="306"/>
      <c r="O210" s="306"/>
      <c r="P210" s="307"/>
      <c r="Q210" s="2078"/>
      <c r="S210" s="3487"/>
    </row>
    <row r="211" spans="2:19" ht="20.25" customHeight="1">
      <c r="B211" s="2086"/>
      <c r="C211" s="2109"/>
      <c r="D211" s="2109"/>
      <c r="E211" s="2077"/>
      <c r="F211" s="2077"/>
      <c r="G211" s="2077"/>
      <c r="H211" s="2077"/>
      <c r="I211" s="2077"/>
      <c r="J211" s="2077"/>
      <c r="K211" s="2077"/>
      <c r="L211" s="2077"/>
      <c r="M211" s="2077"/>
      <c r="N211" s="2077"/>
      <c r="O211" s="2077"/>
      <c r="P211" s="2077"/>
      <c r="Q211" s="2078"/>
      <c r="S211" s="3487"/>
    </row>
    <row r="212" spans="2:19" ht="22.5" customHeight="1">
      <c r="B212" s="2086"/>
      <c r="C212" s="3353" t="s">
        <v>585</v>
      </c>
      <c r="D212" s="3354"/>
      <c r="E212" s="3354"/>
      <c r="F212" s="3354"/>
      <c r="G212" s="310"/>
      <c r="H212" s="310"/>
      <c r="I212" s="310"/>
      <c r="J212" s="310"/>
      <c r="K212" s="310"/>
      <c r="L212" s="310"/>
      <c r="M212" s="310"/>
      <c r="N212" s="310"/>
      <c r="O212" s="975"/>
      <c r="P212" s="311"/>
      <c r="Q212" s="2078"/>
      <c r="S212" s="3487"/>
    </row>
    <row r="213" spans="2:19" ht="3" customHeight="1">
      <c r="B213" s="2086"/>
      <c r="C213" s="2077"/>
      <c r="D213" s="2077"/>
      <c r="E213" s="2077"/>
      <c r="F213" s="2077"/>
      <c r="G213" s="2077"/>
      <c r="H213" s="2077"/>
      <c r="I213" s="2077"/>
      <c r="J213" s="2077"/>
      <c r="K213" s="2077"/>
      <c r="L213" s="2077"/>
      <c r="M213" s="2077"/>
      <c r="N213" s="2077"/>
      <c r="O213" s="2077"/>
      <c r="P213" s="2077"/>
      <c r="Q213" s="2078"/>
      <c r="S213" s="3487"/>
    </row>
    <row r="214" spans="2:19" ht="16.5" customHeight="1">
      <c r="B214" s="2086"/>
      <c r="C214" s="258"/>
      <c r="D214" s="259"/>
      <c r="E214" s="260"/>
      <c r="F214" s="260"/>
      <c r="G214" s="260"/>
      <c r="H214" s="260"/>
      <c r="I214" s="260"/>
      <c r="J214" s="260"/>
      <c r="K214" s="260"/>
      <c r="L214" s="260"/>
      <c r="M214" s="260"/>
      <c r="N214" s="260"/>
      <c r="O214" s="260"/>
      <c r="P214" s="261"/>
      <c r="Q214" s="2078"/>
      <c r="S214" s="3487"/>
    </row>
    <row r="215" spans="2:19" ht="24.75" customHeight="1">
      <c r="B215" s="2086"/>
      <c r="C215" s="3512" t="s">
        <v>586</v>
      </c>
      <c r="D215" s="3522"/>
      <c r="E215" s="3522"/>
      <c r="F215" s="3522"/>
      <c r="G215" s="3522"/>
      <c r="H215" s="3522"/>
      <c r="I215" s="3522"/>
      <c r="J215" s="3522"/>
      <c r="K215" s="3522"/>
      <c r="L215" s="3522"/>
      <c r="M215" s="3522"/>
      <c r="N215" s="3522"/>
      <c r="O215" s="3522"/>
      <c r="P215" s="3523"/>
      <c r="Q215" s="2078"/>
      <c r="S215" s="3487"/>
    </row>
    <row r="216" spans="2:19" ht="41.25" customHeight="1">
      <c r="B216" s="2086"/>
      <c r="C216" s="3346" t="s">
        <v>3488</v>
      </c>
      <c r="D216" s="3347"/>
      <c r="E216" s="3347"/>
      <c r="F216" s="3347"/>
      <c r="G216" s="3347"/>
      <c r="H216" s="3347"/>
      <c r="I216" s="3347"/>
      <c r="J216" s="3347"/>
      <c r="K216" s="3347"/>
      <c r="L216" s="3347"/>
      <c r="M216" s="3347"/>
      <c r="N216" s="3347"/>
      <c r="O216" s="3347"/>
      <c r="P216" s="3348"/>
      <c r="Q216" s="2078"/>
      <c r="S216" s="3487"/>
    </row>
    <row r="217" spans="2:19" ht="23.25" customHeight="1">
      <c r="B217" s="2086"/>
      <c r="C217" s="610" t="s">
        <v>587</v>
      </c>
      <c r="D217" s="497"/>
      <c r="E217" s="497"/>
      <c r="F217" s="497"/>
      <c r="G217" s="497"/>
      <c r="H217" s="497"/>
      <c r="I217" s="497"/>
      <c r="J217" s="497"/>
      <c r="K217" s="497"/>
      <c r="L217" s="497"/>
      <c r="M217" s="497"/>
      <c r="N217" s="497"/>
      <c r="O217" s="497"/>
      <c r="P217" s="498"/>
      <c r="Q217" s="2078"/>
      <c r="S217" s="3487"/>
    </row>
    <row r="218" spans="2:19" ht="10.5" customHeight="1">
      <c r="B218" s="2086"/>
      <c r="C218" s="664"/>
      <c r="D218" s="315"/>
      <c r="E218" s="645"/>
      <c r="F218" s="602"/>
      <c r="G218" s="645"/>
      <c r="H218" s="602"/>
      <c r="I218" s="55"/>
      <c r="J218" s="645"/>
      <c r="K218" s="602"/>
      <c r="L218" s="645"/>
      <c r="M218" s="602"/>
      <c r="N218" s="645"/>
      <c r="O218" s="602"/>
      <c r="P218" s="604"/>
      <c r="Q218" s="2078"/>
      <c r="S218" s="3487"/>
    </row>
    <row r="219" spans="2:19" s="72" customFormat="1" ht="36" customHeight="1" thickBot="1">
      <c r="B219" s="2086"/>
      <c r="C219" s="362"/>
      <c r="D219" s="3342" t="s">
        <v>588</v>
      </c>
      <c r="E219" s="3342"/>
      <c r="F219" s="494" t="s">
        <v>589</v>
      </c>
      <c r="G219" s="494" t="s">
        <v>590</v>
      </c>
      <c r="H219" s="656" t="s">
        <v>591</v>
      </c>
      <c r="I219" s="3515" t="s">
        <v>592</v>
      </c>
      <c r="J219" s="3516"/>
      <c r="K219" s="656" t="s">
        <v>593</v>
      </c>
      <c r="L219" s="651" t="s">
        <v>594</v>
      </c>
      <c r="M219" s="3515" t="s">
        <v>595</v>
      </c>
      <c r="N219" s="3516"/>
      <c r="O219" s="3517"/>
      <c r="P219" s="266"/>
      <c r="Q219" s="2078"/>
      <c r="S219" s="3487"/>
    </row>
    <row r="220" spans="2:19" ht="35.25" customHeight="1" thickTop="1">
      <c r="B220" s="2123" t="str">
        <f>IF(OR(ISBLANK(D220),ISBLANK(F220),ISBLANK(G220),ISBLANK(H220),ISBLANK(I220))=FALSE,"","w")</f>
        <v>w</v>
      </c>
      <c r="C220" s="500">
        <v>1</v>
      </c>
      <c r="D220" s="3193"/>
      <c r="E220" s="3194"/>
      <c r="F220" s="622"/>
      <c r="G220" s="658"/>
      <c r="H220" s="657"/>
      <c r="I220" s="3518"/>
      <c r="J220" s="3519"/>
      <c r="K220" s="661"/>
      <c r="L220" s="661"/>
      <c r="M220" s="3536"/>
      <c r="N220" s="3537"/>
      <c r="O220" s="3538"/>
      <c r="P220" s="266"/>
      <c r="Q220" s="2078"/>
      <c r="S220" s="3487"/>
    </row>
    <row r="221" spans="2:19" ht="35.25" customHeight="1">
      <c r="B221" s="2123" t="str">
        <f>IF(OR(ISBLANK(D221),ISBLANK(F221),ISBLANK(G221),ISBLANK(H221),ISBLANK(I221))=FALSE,"","w")</f>
        <v>w</v>
      </c>
      <c r="C221" s="500">
        <v>2</v>
      </c>
      <c r="D221" s="3193"/>
      <c r="E221" s="3194"/>
      <c r="F221" s="623"/>
      <c r="G221" s="660"/>
      <c r="H221" s="659"/>
      <c r="I221" s="3349"/>
      <c r="J221" s="3350"/>
      <c r="K221" s="2991"/>
      <c r="L221" s="653"/>
      <c r="M221" s="3195"/>
      <c r="N221" s="3530"/>
      <c r="O221" s="3196"/>
      <c r="P221" s="266"/>
      <c r="Q221" s="2078"/>
      <c r="S221" s="3487"/>
    </row>
    <row r="222" spans="2:19" ht="35.25" customHeight="1">
      <c r="B222" s="2123" t="str">
        <f>IF(OR(ISBLANK(D222),ISBLANK(F222),ISBLANK(G222),ISBLANK(H222),ISBLANK(I222))=FALSE,"","w")</f>
        <v>w</v>
      </c>
      <c r="C222" s="500">
        <v>3</v>
      </c>
      <c r="D222" s="3193"/>
      <c r="E222" s="3194"/>
      <c r="F222" s="623"/>
      <c r="G222" s="660"/>
      <c r="H222" s="659"/>
      <c r="I222" s="3349"/>
      <c r="J222" s="3350"/>
      <c r="K222" s="653"/>
      <c r="L222" s="653"/>
      <c r="M222" s="3195"/>
      <c r="N222" s="3530"/>
      <c r="O222" s="3196"/>
      <c r="P222" s="266"/>
      <c r="Q222" s="2078"/>
      <c r="S222" s="3487"/>
    </row>
    <row r="223" spans="2:19" ht="35.25" customHeight="1">
      <c r="B223" s="2086"/>
      <c r="C223" s="500">
        <v>4</v>
      </c>
      <c r="D223" s="3520"/>
      <c r="E223" s="3521"/>
      <c r="F223" s="624"/>
      <c r="G223" s="653"/>
      <c r="H223" s="652"/>
      <c r="I223" s="3195"/>
      <c r="J223" s="3196"/>
      <c r="K223" s="653"/>
      <c r="L223" s="653"/>
      <c r="M223" s="3195"/>
      <c r="N223" s="3530"/>
      <c r="O223" s="3196"/>
      <c r="P223" s="266"/>
      <c r="Q223" s="2078"/>
      <c r="S223" s="3487"/>
    </row>
    <row r="224" spans="2:19" ht="35.25" customHeight="1">
      <c r="B224" s="2086"/>
      <c r="C224" s="500">
        <v>5</v>
      </c>
      <c r="D224" s="3520"/>
      <c r="E224" s="3521"/>
      <c r="F224" s="624"/>
      <c r="G224" s="653"/>
      <c r="H224" s="652"/>
      <c r="I224" s="3195"/>
      <c r="J224" s="3196"/>
      <c r="K224" s="653"/>
      <c r="L224" s="653"/>
      <c r="M224" s="3195"/>
      <c r="N224" s="3530"/>
      <c r="O224" s="3196"/>
      <c r="P224" s="266"/>
      <c r="Q224" s="2078"/>
      <c r="S224" s="3487"/>
    </row>
    <row r="225" spans="2:20" ht="35.25" customHeight="1">
      <c r="B225" s="2086"/>
      <c r="C225" s="500">
        <v>6</v>
      </c>
      <c r="D225" s="3520"/>
      <c r="E225" s="3521"/>
      <c r="F225" s="624"/>
      <c r="G225" s="653"/>
      <c r="H225" s="652"/>
      <c r="I225" s="3195"/>
      <c r="J225" s="3196"/>
      <c r="K225" s="653"/>
      <c r="L225" s="653"/>
      <c r="M225" s="3195"/>
      <c r="N225" s="3530"/>
      <c r="O225" s="3196"/>
      <c r="P225" s="266"/>
      <c r="Q225" s="2078"/>
      <c r="S225" s="3487"/>
    </row>
    <row r="226" spans="2:20" ht="35.25" customHeight="1">
      <c r="B226" s="2086"/>
      <c r="C226" s="500">
        <v>7</v>
      </c>
      <c r="D226" s="3520"/>
      <c r="E226" s="3521"/>
      <c r="F226" s="624"/>
      <c r="G226" s="653"/>
      <c r="H226" s="652"/>
      <c r="I226" s="3195"/>
      <c r="J226" s="3196"/>
      <c r="K226" s="653"/>
      <c r="L226" s="653"/>
      <c r="M226" s="3195"/>
      <c r="N226" s="3530"/>
      <c r="O226" s="3196"/>
      <c r="P226" s="266"/>
      <c r="Q226" s="2078"/>
      <c r="S226" s="3487"/>
    </row>
    <row r="227" spans="2:20" ht="35.25" customHeight="1">
      <c r="B227" s="2086"/>
      <c r="C227" s="500">
        <v>8</v>
      </c>
      <c r="D227" s="3520"/>
      <c r="E227" s="3521"/>
      <c r="F227" s="624"/>
      <c r="G227" s="653"/>
      <c r="H227" s="652"/>
      <c r="I227" s="3195"/>
      <c r="J227" s="3196"/>
      <c r="K227" s="653"/>
      <c r="L227" s="653"/>
      <c r="M227" s="3195"/>
      <c r="N227" s="3530"/>
      <c r="O227" s="3196"/>
      <c r="P227" s="266"/>
      <c r="Q227" s="2078"/>
      <c r="S227" s="3487"/>
    </row>
    <row r="228" spans="2:20" ht="35.25" customHeight="1">
      <c r="B228" s="2086"/>
      <c r="C228" s="500">
        <v>9</v>
      </c>
      <c r="D228" s="3520"/>
      <c r="E228" s="3521"/>
      <c r="F228" s="624"/>
      <c r="G228" s="653"/>
      <c r="H228" s="652"/>
      <c r="I228" s="3195"/>
      <c r="J228" s="3196"/>
      <c r="K228" s="653"/>
      <c r="L228" s="653"/>
      <c r="M228" s="3195"/>
      <c r="N228" s="3530"/>
      <c r="O228" s="3196"/>
      <c r="P228" s="604"/>
      <c r="Q228" s="2078"/>
      <c r="S228" s="3487"/>
    </row>
    <row r="229" spans="2:20" ht="35.25" customHeight="1">
      <c r="B229" s="2086"/>
      <c r="C229" s="500">
        <v>10</v>
      </c>
      <c r="D229" s="3340"/>
      <c r="E229" s="3341"/>
      <c r="F229" s="625"/>
      <c r="G229" s="648"/>
      <c r="H229" s="647"/>
      <c r="I229" s="3300"/>
      <c r="J229" s="3302"/>
      <c r="K229" s="648"/>
      <c r="L229" s="648"/>
      <c r="M229" s="3340"/>
      <c r="N229" s="3539"/>
      <c r="O229" s="3341"/>
      <c r="P229" s="604"/>
      <c r="Q229" s="2078"/>
      <c r="S229" s="3487"/>
      <c r="T229" s="374"/>
    </row>
    <row r="230" spans="2:20" ht="17.25" customHeight="1">
      <c r="B230" s="2086"/>
      <c r="C230" s="664"/>
      <c r="D230" s="315"/>
      <c r="E230" s="645"/>
      <c r="F230" s="602"/>
      <c r="G230" s="645"/>
      <c r="H230" s="602"/>
      <c r="I230" s="55"/>
      <c r="J230" s="645"/>
      <c r="K230" s="602"/>
      <c r="L230" s="645"/>
      <c r="M230" s="602"/>
      <c r="N230" s="645"/>
      <c r="O230" s="602"/>
      <c r="P230" s="604"/>
      <c r="Q230" s="2078"/>
      <c r="S230" s="3487"/>
    </row>
    <row r="231" spans="2:20" ht="50.25" customHeight="1">
      <c r="B231" s="2086"/>
      <c r="C231" s="3337" t="s">
        <v>596</v>
      </c>
      <c r="D231" s="3338"/>
      <c r="E231" s="3339"/>
      <c r="F231" s="3533"/>
      <c r="G231" s="3534"/>
      <c r="H231" s="3534"/>
      <c r="I231" s="3534"/>
      <c r="J231" s="3534"/>
      <c r="K231" s="3534"/>
      <c r="L231" s="3534"/>
      <c r="M231" s="3534"/>
      <c r="N231" s="3534"/>
      <c r="O231" s="3535"/>
      <c r="P231" s="604"/>
      <c r="Q231" s="2078"/>
      <c r="S231" s="3487"/>
    </row>
    <row r="232" spans="2:20" ht="18.75" customHeight="1">
      <c r="B232" s="2086"/>
      <c r="C232" s="664"/>
      <c r="D232" s="315"/>
      <c r="E232" s="645"/>
      <c r="F232" s="602"/>
      <c r="G232" s="645"/>
      <c r="H232" s="602"/>
      <c r="I232" s="55"/>
      <c r="J232" s="645"/>
      <c r="K232" s="602"/>
      <c r="L232" s="645"/>
      <c r="M232" s="602"/>
      <c r="N232" s="645"/>
      <c r="O232" s="602"/>
      <c r="P232" s="604"/>
      <c r="Q232" s="2078"/>
      <c r="S232" s="3487"/>
    </row>
    <row r="233" spans="2:20" ht="18" customHeight="1">
      <c r="B233" s="2086"/>
      <c r="C233" s="757" t="s">
        <v>582</v>
      </c>
      <c r="D233" s="758"/>
      <c r="E233" s="759"/>
      <c r="F233" s="760"/>
      <c r="G233" s="760"/>
      <c r="H233" s="761"/>
      <c r="I233" s="762"/>
      <c r="J233" s="759"/>
      <c r="K233" s="759"/>
      <c r="L233" s="759"/>
      <c r="M233" s="760"/>
      <c r="N233" s="760"/>
      <c r="O233" s="763"/>
      <c r="P233" s="604"/>
      <c r="Q233" s="2078"/>
      <c r="S233" s="3487"/>
    </row>
    <row r="234" spans="2:20" ht="18" customHeight="1">
      <c r="B234" s="2086"/>
      <c r="C234" s="765" t="s">
        <v>815</v>
      </c>
      <c r="D234" s="758"/>
      <c r="E234" s="759"/>
      <c r="F234" s="760"/>
      <c r="G234" s="760"/>
      <c r="H234" s="761"/>
      <c r="I234" s="762"/>
      <c r="J234" s="614"/>
      <c r="K234" s="766"/>
      <c r="L234" s="759"/>
      <c r="M234" s="760"/>
      <c r="N234" s="760"/>
      <c r="O234" s="763"/>
      <c r="P234" s="604"/>
      <c r="Q234" s="2078"/>
      <c r="S234" s="3487"/>
    </row>
    <row r="235" spans="2:20" ht="16.5" customHeight="1">
      <c r="B235" s="2086"/>
      <c r="C235" s="767"/>
      <c r="D235" s="758"/>
      <c r="E235" s="759"/>
      <c r="F235" s="760"/>
      <c r="G235" s="760"/>
      <c r="H235" s="761"/>
      <c r="I235" s="762"/>
      <c r="J235" s="768" t="s">
        <v>584</v>
      </c>
      <c r="K235" s="614"/>
      <c r="L235" s="759"/>
      <c r="M235" s="760"/>
      <c r="N235" s="760"/>
      <c r="O235" s="763"/>
      <c r="P235" s="604"/>
      <c r="Q235" s="2078"/>
      <c r="S235" s="3487"/>
    </row>
    <row r="236" spans="2:20" ht="18" customHeight="1">
      <c r="B236" s="2086"/>
      <c r="C236" s="765" t="s">
        <v>597</v>
      </c>
      <c r="D236" s="758"/>
      <c r="E236" s="759"/>
      <c r="F236" s="759"/>
      <c r="G236" s="759"/>
      <c r="H236" s="759"/>
      <c r="I236" s="762"/>
      <c r="J236" s="759"/>
      <c r="K236" s="759"/>
      <c r="L236" s="759"/>
      <c r="M236" s="759"/>
      <c r="N236" s="759"/>
      <c r="O236" s="759"/>
      <c r="P236" s="266"/>
      <c r="Q236" s="2078"/>
      <c r="S236" s="3487"/>
    </row>
    <row r="237" spans="2:20" ht="18" customHeight="1">
      <c r="B237" s="2086"/>
      <c r="C237" s="765" t="s">
        <v>598</v>
      </c>
      <c r="D237" s="758"/>
      <c r="E237" s="759"/>
      <c r="F237" s="759"/>
      <c r="G237" s="759"/>
      <c r="H237" s="759"/>
      <c r="I237" s="762"/>
      <c r="J237" s="759"/>
      <c r="K237" s="759"/>
      <c r="L237" s="759"/>
      <c r="M237" s="759"/>
      <c r="N237" s="759"/>
      <c r="O237" s="759"/>
      <c r="P237" s="266"/>
      <c r="Q237" s="2078"/>
      <c r="S237" s="3487"/>
    </row>
    <row r="238" spans="2:20" ht="18" customHeight="1">
      <c r="B238" s="2086"/>
      <c r="C238" s="601"/>
      <c r="D238" s="277"/>
      <c r="E238" s="306"/>
      <c r="F238" s="306"/>
      <c r="G238" s="306"/>
      <c r="H238" s="306"/>
      <c r="I238" s="271"/>
      <c r="J238" s="306"/>
      <c r="K238" s="306"/>
      <c r="L238" s="306"/>
      <c r="M238" s="306"/>
      <c r="N238" s="306"/>
      <c r="O238" s="306"/>
      <c r="P238" s="307"/>
      <c r="Q238" s="2078"/>
      <c r="S238" s="3487"/>
    </row>
    <row r="239" spans="2:20" ht="18" customHeight="1">
      <c r="B239" s="2086"/>
      <c r="C239" s="2129"/>
      <c r="D239" s="2077"/>
      <c r="E239" s="2077"/>
      <c r="F239" s="2077"/>
      <c r="G239" s="2077"/>
      <c r="H239" s="2077"/>
      <c r="I239" s="2077"/>
      <c r="J239" s="2077"/>
      <c r="K239" s="2077"/>
      <c r="L239" s="2077"/>
      <c r="M239" s="2077"/>
      <c r="N239" s="2077"/>
      <c r="O239" s="2077"/>
      <c r="P239" s="2077"/>
      <c r="Q239" s="2078"/>
      <c r="S239" s="3487"/>
    </row>
    <row r="240" spans="2:20" ht="17.25" customHeight="1">
      <c r="B240" s="2086"/>
      <c r="C240" s="2130" t="s">
        <v>567</v>
      </c>
      <c r="D240" s="2077"/>
      <c r="E240" s="2077"/>
      <c r="F240" s="2077"/>
      <c r="G240" s="2077"/>
      <c r="H240" s="2077"/>
      <c r="I240" s="2406" t="str">
        <f>IF((OR(ISBLANK(F613),ISBLANK(F614))=FALSE),"Complété","À compléter")</f>
        <v>À compléter</v>
      </c>
      <c r="J240" s="2406" t="str">
        <f>IF((OR(ISBLANK(F613),ISBLANK(F614),ISBLANK(K613),ISBLANK(K614))=FALSE),"Complété","À compléter")</f>
        <v>À compléter</v>
      </c>
      <c r="K240" s="2077"/>
      <c r="L240" s="2077"/>
      <c r="M240" s="2077"/>
      <c r="N240" s="2077"/>
      <c r="O240" s="2077"/>
      <c r="P240" s="2077"/>
      <c r="Q240" s="2078"/>
      <c r="S240" s="3487"/>
    </row>
    <row r="241" spans="1:19" ht="18" customHeight="1">
      <c r="B241" s="2086"/>
      <c r="C241" s="1938"/>
      <c r="D241" s="2131"/>
      <c r="E241" s="3743" t="s">
        <v>568</v>
      </c>
      <c r="F241" s="3743"/>
      <c r="G241" s="3743"/>
      <c r="H241" s="3744"/>
      <c r="I241" s="353" t="str">
        <f>IF($M$73='MENU DÉROULANT'!$C$66,I240,J240)</f>
        <v>À compléter</v>
      </c>
      <c r="J241" s="3727" t="s">
        <v>3454</v>
      </c>
      <c r="K241" s="3727"/>
      <c r="L241" s="3727"/>
      <c r="M241" s="3727"/>
      <c r="N241" s="3727"/>
      <c r="O241" s="3727"/>
      <c r="P241" s="3727"/>
      <c r="Q241" s="2078"/>
      <c r="S241" s="3487"/>
    </row>
    <row r="242" spans="1:19" ht="6.75" customHeight="1">
      <c r="B242" s="2086"/>
      <c r="C242" s="2077"/>
      <c r="D242" s="2131"/>
      <c r="E242" s="2131"/>
      <c r="F242" s="2131"/>
      <c r="G242" s="2131"/>
      <c r="H242" s="2131"/>
      <c r="I242" s="2077"/>
      <c r="J242" s="2132"/>
      <c r="K242" s="2132"/>
      <c r="L242" s="2132"/>
      <c r="M242" s="2132"/>
      <c r="N242" s="2132"/>
      <c r="O242" s="2132"/>
      <c r="P242" s="2132"/>
      <c r="Q242" s="2078"/>
      <c r="S242" s="3487"/>
    </row>
    <row r="243" spans="1:19" ht="18" customHeight="1">
      <c r="B243" s="2086"/>
      <c r="C243" s="2077"/>
      <c r="D243" s="3743" t="s">
        <v>569</v>
      </c>
      <c r="E243" s="3743"/>
      <c r="F243" s="3743"/>
      <c r="G243" s="3743"/>
      <c r="H243" s="3744"/>
      <c r="I243" s="353" t="str">
        <f>IF($M$73='MENU DÉROULANT'!$C$66,I244,J244)</f>
        <v>À compléter</v>
      </c>
      <c r="J243" s="3727" t="s">
        <v>3455</v>
      </c>
      <c r="K243" s="3727"/>
      <c r="L243" s="3727"/>
      <c r="M243" s="3727"/>
      <c r="N243" s="3727"/>
      <c r="O243" s="3727"/>
      <c r="P243" s="3727"/>
      <c r="Q243" s="2078"/>
      <c r="S243" s="3487"/>
    </row>
    <row r="244" spans="1:19" ht="27.75" customHeight="1">
      <c r="B244" s="2086"/>
      <c r="C244" s="2077"/>
      <c r="D244" s="2117"/>
      <c r="E244" s="2117"/>
      <c r="F244" s="2117"/>
      <c r="G244" s="2117"/>
      <c r="H244" s="2117"/>
      <c r="I244" s="2406" t="str">
        <f>IF((OR(ISBLANK(F675),ISBLANK(F676))=FALSE),"Complété","À compléter")</f>
        <v>À compléter</v>
      </c>
      <c r="J244" s="2406" t="str">
        <f>IF((OR(ISBLANK(F675),ISBLANK(F676),ISBLANK(K675),ISBLANK(K676))=FALSE),"Complété","À compléter")</f>
        <v>À compléter</v>
      </c>
      <c r="K244" s="2119"/>
      <c r="L244" s="2119"/>
      <c r="M244" s="2119"/>
      <c r="N244" s="2119"/>
      <c r="O244" s="2119"/>
      <c r="P244" s="2119"/>
      <c r="Q244" s="2078"/>
      <c r="S244" s="3487"/>
    </row>
    <row r="245" spans="1:19" ht="18" customHeight="1">
      <c r="B245" s="2086"/>
      <c r="C245" s="2120" t="s">
        <v>570</v>
      </c>
      <c r="D245" s="2117"/>
      <c r="E245" s="2117"/>
      <c r="F245" s="2117"/>
      <c r="G245" s="1938"/>
      <c r="H245" s="3745" t="s">
        <v>599</v>
      </c>
      <c r="I245" s="3745"/>
      <c r="J245" s="1938"/>
      <c r="K245" s="1938"/>
      <c r="L245" s="2119"/>
      <c r="M245" s="2119"/>
      <c r="N245" s="2119"/>
      <c r="O245" s="2119"/>
      <c r="P245" s="2119"/>
      <c r="Q245" s="2078"/>
      <c r="S245" s="3487"/>
    </row>
    <row r="246" spans="1:19" ht="13.5" customHeight="1" thickBot="1">
      <c r="B246" s="2158"/>
      <c r="C246" s="2090"/>
      <c r="D246" s="2090"/>
      <c r="E246" s="2090"/>
      <c r="F246" s="2090"/>
      <c r="G246" s="2090"/>
      <c r="H246" s="2090"/>
      <c r="I246" s="2090"/>
      <c r="J246" s="2090"/>
      <c r="K246" s="2090"/>
      <c r="L246" s="2090"/>
      <c r="M246" s="2090"/>
      <c r="N246" s="2090"/>
      <c r="O246" s="2090"/>
      <c r="P246" s="2090"/>
      <c r="Q246" s="2157"/>
      <c r="S246" s="3488"/>
    </row>
    <row r="247" spans="1:19" ht="15" thickBot="1">
      <c r="B247" s="683"/>
      <c r="S247" s="614"/>
    </row>
    <row r="248" spans="1:19" ht="22.5" customHeight="1" thickBot="1">
      <c r="A248" s="1187"/>
      <c r="B248" s="1926" t="s">
        <v>600</v>
      </c>
      <c r="C248" s="1926"/>
      <c r="D248" s="1926"/>
      <c r="E248" s="1926"/>
      <c r="F248" s="1926"/>
      <c r="G248" s="1926"/>
      <c r="H248" s="1926"/>
      <c r="I248" s="1926"/>
      <c r="J248" s="1926"/>
      <c r="K248" s="1926"/>
      <c r="L248" s="2097"/>
      <c r="M248" s="2097"/>
      <c r="N248" s="2097"/>
      <c r="O248" s="3726" t="s">
        <v>155</v>
      </c>
      <c r="P248" s="3726"/>
      <c r="Q248" s="3726"/>
      <c r="S248" s="615" t="s">
        <v>521</v>
      </c>
    </row>
    <row r="249" spans="1:19" ht="9.75" customHeight="1" thickBot="1">
      <c r="S249" s="616"/>
    </row>
    <row r="250" spans="1:19" ht="8.25" customHeight="1">
      <c r="B250" s="2098"/>
      <c r="C250" s="2099"/>
      <c r="D250" s="2099"/>
      <c r="E250" s="2100"/>
      <c r="F250" s="2101"/>
      <c r="G250" s="2101"/>
      <c r="H250" s="2101"/>
      <c r="I250" s="2101"/>
      <c r="J250" s="2101"/>
      <c r="K250" s="2101"/>
      <c r="L250" s="2101"/>
      <c r="M250" s="2101"/>
      <c r="N250" s="2101"/>
      <c r="O250" s="2101"/>
      <c r="P250" s="2101"/>
      <c r="Q250" s="2102"/>
      <c r="S250" s="3486"/>
    </row>
    <row r="251" spans="1:19" ht="18" customHeight="1">
      <c r="B251" s="2160"/>
      <c r="C251" s="2104" t="s">
        <v>601</v>
      </c>
      <c r="D251" s="2104"/>
      <c r="E251" s="2161"/>
      <c r="F251" s="1938"/>
      <c r="G251" s="1938"/>
      <c r="H251" s="1938"/>
      <c r="I251" s="1938"/>
      <c r="J251" s="1938"/>
      <c r="K251" s="1938"/>
      <c r="L251" s="1938"/>
      <c r="M251" s="1938"/>
      <c r="N251" s="2126" t="s">
        <v>219</v>
      </c>
      <c r="O251" s="353" t="str">
        <f>IF(OR(ISBLANK(H258))=FALSE,"Complété","À compléter")</f>
        <v>À compléter</v>
      </c>
      <c r="P251" s="1938"/>
      <c r="Q251" s="2128"/>
      <c r="S251" s="3487"/>
    </row>
    <row r="252" spans="1:19" ht="6.75" customHeight="1">
      <c r="B252" s="2125"/>
      <c r="C252" s="2127"/>
      <c r="D252" s="2127"/>
      <c r="E252" s="2127"/>
      <c r="F252" s="1938"/>
      <c r="G252" s="1938"/>
      <c r="H252" s="1938"/>
      <c r="I252" s="1938"/>
      <c r="J252" s="1938"/>
      <c r="K252" s="1938"/>
      <c r="L252" s="1938"/>
      <c r="M252" s="1938"/>
      <c r="N252" s="1938"/>
      <c r="O252" s="1938"/>
      <c r="P252" s="1938"/>
      <c r="Q252" s="2128"/>
      <c r="S252" s="3487"/>
    </row>
    <row r="253" spans="1:19" ht="17.25" customHeight="1">
      <c r="B253" s="2125"/>
      <c r="C253" s="3728" t="s">
        <v>531</v>
      </c>
      <c r="D253" s="3728"/>
      <c r="E253" s="3728"/>
      <c r="F253" s="3728"/>
      <c r="G253" s="3728"/>
      <c r="H253" s="3728"/>
      <c r="I253" s="3728"/>
      <c r="J253" s="3728"/>
      <c r="K253" s="3728"/>
      <c r="L253" s="3728"/>
      <c r="M253" s="3728"/>
      <c r="N253" s="1938"/>
      <c r="O253" s="1938"/>
      <c r="P253" s="1938"/>
      <c r="Q253" s="2128"/>
      <c r="S253" s="3487"/>
    </row>
    <row r="254" spans="1:19" ht="15" customHeight="1">
      <c r="B254" s="2125"/>
      <c r="C254" s="2127"/>
      <c r="D254" s="2127"/>
      <c r="E254" s="2127"/>
      <c r="F254" s="1938"/>
      <c r="G254" s="1938"/>
      <c r="H254" s="1938"/>
      <c r="I254" s="1938"/>
      <c r="J254" s="1938"/>
      <c r="K254" s="1938"/>
      <c r="L254" s="1938"/>
      <c r="M254" s="1938"/>
      <c r="N254" s="1938"/>
      <c r="O254" s="1938"/>
      <c r="P254" s="1938"/>
      <c r="Q254" s="2128"/>
      <c r="S254" s="3487"/>
    </row>
    <row r="255" spans="1:19" ht="18.75" customHeight="1">
      <c r="B255" s="2086"/>
      <c r="C255" s="2153" t="s">
        <v>3478</v>
      </c>
      <c r="D255" s="2109"/>
      <c r="E255" s="2077"/>
      <c r="F255" s="2077"/>
      <c r="G255" s="2077"/>
      <c r="H255" s="2077"/>
      <c r="I255" s="2077"/>
      <c r="J255" s="2077"/>
      <c r="K255" s="2077"/>
      <c r="L255" s="2077"/>
      <c r="M255" s="2077"/>
      <c r="N255" s="2077"/>
      <c r="O255" s="2077"/>
      <c r="P255" s="2077"/>
      <c r="Q255" s="2078"/>
      <c r="S255" s="3487"/>
    </row>
    <row r="256" spans="1:19" ht="6" customHeight="1">
      <c r="B256" s="2086"/>
      <c r="C256" s="2162"/>
      <c r="D256" s="2109"/>
      <c r="E256" s="2077"/>
      <c r="F256" s="2077"/>
      <c r="G256" s="2077"/>
      <c r="H256" s="2077"/>
      <c r="I256" s="2077"/>
      <c r="J256" s="2077"/>
      <c r="K256" s="2077"/>
      <c r="L256" s="2077"/>
      <c r="M256" s="2077"/>
      <c r="N256" s="2077"/>
      <c r="O256" s="2077"/>
      <c r="P256" s="2077"/>
      <c r="Q256" s="2078"/>
      <c r="S256" s="3487"/>
    </row>
    <row r="257" spans="2:19" ht="14.25" customHeight="1">
      <c r="B257" s="2086"/>
      <c r="C257" s="635"/>
      <c r="D257" s="259"/>
      <c r="E257" s="260"/>
      <c r="F257" s="260"/>
      <c r="G257" s="260"/>
      <c r="H257" s="260"/>
      <c r="I257" s="260"/>
      <c r="J257" s="260"/>
      <c r="K257" s="260"/>
      <c r="L257" s="260"/>
      <c r="M257" s="260"/>
      <c r="N257" s="260"/>
      <c r="O257" s="260"/>
      <c r="P257" s="261"/>
      <c r="Q257" s="2078"/>
      <c r="S257" s="3487"/>
    </row>
    <row r="258" spans="2:19" ht="15.75" customHeight="1">
      <c r="B258" s="2123" t="str">
        <f>IF(ISBLANK(H258)=FALSE,"","u")</f>
        <v>u</v>
      </c>
      <c r="C258" s="3351" t="s">
        <v>3489</v>
      </c>
      <c r="D258" s="3352"/>
      <c r="E258" s="3352"/>
      <c r="F258" s="3352"/>
      <c r="G258" s="3352"/>
      <c r="H258" s="3306"/>
      <c r="I258" s="3307"/>
      <c r="J258" s="3307"/>
      <c r="K258" s="3308"/>
      <c r="L258" s="3531" t="str">
        <f>IF(OR(ISBLANK(H258),H258='MENU DÉROULANT'!C86),"","Vous pouvez donc passer à la section suivante du PGA.")</f>
        <v/>
      </c>
      <c r="M258" s="3532"/>
      <c r="N258" s="3532"/>
      <c r="O258" s="3532"/>
      <c r="P258" s="266"/>
      <c r="Q258" s="2078"/>
      <c r="S258" s="3487"/>
    </row>
    <row r="259" spans="2:19" ht="15.75" customHeight="1">
      <c r="B259" s="2123" t="s">
        <v>552</v>
      </c>
      <c r="C259" s="3351"/>
      <c r="D259" s="3352"/>
      <c r="E259" s="3352"/>
      <c r="F259" s="3352"/>
      <c r="G259" s="3352"/>
      <c r="H259" s="3309"/>
      <c r="I259" s="3310"/>
      <c r="J259" s="3310"/>
      <c r="K259" s="3311"/>
      <c r="L259" s="3222" t="str">
        <f>IF(OR(ISBLANK(H258),H258='MENU DÉROULANT'!C86),"","Notez toutefois que dans ce cas, aucun visuel n'apparaitra dans le sommaire concernant la gestion des risques.")</f>
        <v/>
      </c>
      <c r="M259" s="3222"/>
      <c r="N259" s="3222"/>
      <c r="O259" s="3222"/>
      <c r="P259" s="673"/>
      <c r="Q259" s="2159"/>
      <c r="S259" s="3487"/>
    </row>
    <row r="260" spans="2:19" ht="16.5" customHeight="1">
      <c r="B260" s="2086"/>
      <c r="C260" s="636"/>
      <c r="D260" s="634"/>
      <c r="E260" s="85"/>
      <c r="F260" s="85"/>
      <c r="G260" s="85"/>
      <c r="H260" s="85"/>
      <c r="I260" s="85"/>
      <c r="J260" s="85"/>
      <c r="K260" s="85"/>
      <c r="L260" s="3223"/>
      <c r="M260" s="3223"/>
      <c r="N260" s="3223"/>
      <c r="O260" s="3223"/>
      <c r="P260" s="605"/>
      <c r="Q260" s="2159"/>
      <c r="S260" s="3487"/>
    </row>
    <row r="261" spans="2:19" ht="31.5" customHeight="1">
      <c r="B261" s="2123"/>
      <c r="C261" s="379"/>
      <c r="D261" s="291"/>
      <c r="E261" s="645"/>
      <c r="F261" s="3179" t="s">
        <v>539</v>
      </c>
      <c r="G261" s="3179"/>
      <c r="H261" s="3090"/>
      <c r="I261" s="3091"/>
      <c r="J261" s="3091"/>
      <c r="K261" s="3091"/>
      <c r="L261" s="3091"/>
      <c r="M261" s="3091"/>
      <c r="N261" s="3091"/>
      <c r="O261" s="3092"/>
      <c r="P261" s="604"/>
      <c r="Q261" s="2078"/>
      <c r="S261" s="3487"/>
    </row>
    <row r="262" spans="2:19" ht="15" customHeight="1">
      <c r="B262" s="2086"/>
      <c r="C262" s="637"/>
      <c r="D262" s="638"/>
      <c r="E262" s="306"/>
      <c r="F262" s="306"/>
      <c r="G262" s="306"/>
      <c r="H262" s="306"/>
      <c r="I262" s="306"/>
      <c r="J262" s="306"/>
      <c r="K262" s="306"/>
      <c r="L262" s="306"/>
      <c r="M262" s="639"/>
      <c r="N262" s="639"/>
      <c r="O262" s="639"/>
      <c r="P262" s="640"/>
      <c r="Q262" s="2159"/>
      <c r="S262" s="3487"/>
    </row>
    <row r="263" spans="2:19" ht="18.75" customHeight="1">
      <c r="B263" s="2086"/>
      <c r="C263" s="2109"/>
      <c r="D263" s="2109"/>
      <c r="E263" s="2077"/>
      <c r="F263" s="2077"/>
      <c r="G263" s="2077"/>
      <c r="H263" s="2077"/>
      <c r="I263" s="2077"/>
      <c r="J263" s="2077"/>
      <c r="K263" s="2077"/>
      <c r="L263" s="2077"/>
      <c r="M263" s="2077"/>
      <c r="N263" s="2077"/>
      <c r="O263" s="2077"/>
      <c r="P263" s="2077"/>
      <c r="Q263" s="2078"/>
      <c r="S263" s="3487"/>
    </row>
    <row r="264" spans="2:19" ht="12.75" customHeight="1">
      <c r="B264" s="2086"/>
      <c r="C264" s="258"/>
      <c r="D264" s="259"/>
      <c r="E264" s="260"/>
      <c r="F264" s="260"/>
      <c r="G264" s="260"/>
      <c r="H264" s="260"/>
      <c r="I264" s="260"/>
      <c r="J264" s="260"/>
      <c r="K264" s="260"/>
      <c r="L264" s="260"/>
      <c r="M264" s="260"/>
      <c r="N264" s="260"/>
      <c r="O264" s="260"/>
      <c r="P264" s="261"/>
      <c r="Q264" s="2078"/>
      <c r="S264" s="3487"/>
    </row>
    <row r="265" spans="2:19" ht="24" customHeight="1">
      <c r="B265" s="2086"/>
      <c r="C265" s="642" t="s">
        <v>3462</v>
      </c>
      <c r="D265" s="315"/>
      <c r="E265" s="85"/>
      <c r="F265" s="357"/>
      <c r="G265" s="357"/>
      <c r="H265" s="602"/>
      <c r="I265" s="55"/>
      <c r="J265" s="85"/>
      <c r="K265" s="85"/>
      <c r="L265" s="85"/>
      <c r="M265" s="357"/>
      <c r="N265" s="357"/>
      <c r="O265" s="976"/>
      <c r="P265" s="604"/>
      <c r="Q265" s="2078"/>
      <c r="S265" s="3487"/>
    </row>
    <row r="266" spans="2:19" ht="15.75" customHeight="1">
      <c r="B266" s="2086"/>
      <c r="C266" s="643" t="s">
        <v>602</v>
      </c>
      <c r="D266" s="315"/>
      <c r="E266" s="85"/>
      <c r="F266" s="357"/>
      <c r="G266" s="357"/>
      <c r="H266" s="602"/>
      <c r="I266" s="55"/>
      <c r="J266" s="85"/>
      <c r="K266" s="85"/>
      <c r="L266" s="85"/>
      <c r="M266" s="357"/>
      <c r="N266" s="357"/>
      <c r="O266" s="645"/>
      <c r="P266" s="604"/>
      <c r="Q266" s="2078"/>
      <c r="S266" s="3487"/>
    </row>
    <row r="267" spans="2:19" ht="18.75" customHeight="1">
      <c r="B267" s="2086"/>
      <c r="C267" s="356"/>
      <c r="D267" s="315"/>
      <c r="E267" s="85"/>
      <c r="F267" s="85"/>
      <c r="G267" s="85"/>
      <c r="H267" s="85"/>
      <c r="I267" s="55"/>
      <c r="J267" s="85"/>
      <c r="K267" s="85"/>
      <c r="L267" s="85"/>
      <c r="M267" s="85"/>
      <c r="N267" s="85"/>
      <c r="O267" s="85"/>
      <c r="P267" s="266"/>
      <c r="Q267" s="2078"/>
      <c r="S267" s="3487"/>
    </row>
    <row r="268" spans="2:19" s="72" customFormat="1" ht="21.75" customHeight="1" thickBot="1">
      <c r="B268" s="2086"/>
      <c r="C268" s="362"/>
      <c r="D268" s="3329" t="s">
        <v>28</v>
      </c>
      <c r="E268" s="3329"/>
      <c r="F268" s="3286" t="s">
        <v>603</v>
      </c>
      <c r="G268" s="3287"/>
      <c r="H268" s="3288"/>
      <c r="I268" s="619" t="s">
        <v>604</v>
      </c>
      <c r="J268" s="620"/>
      <c r="K268" s="620"/>
      <c r="L268" s="620"/>
      <c r="M268" s="620"/>
      <c r="N268" s="620"/>
      <c r="O268" s="351"/>
      <c r="P268" s="266"/>
      <c r="Q268" s="2078"/>
      <c r="S268" s="3487"/>
    </row>
    <row r="269" spans="2:19" ht="26.25" customHeight="1" thickTop="1">
      <c r="B269" s="2123" t="str">
        <f>IF(ISBLANK(F269)=FALSE,"","w")</f>
        <v>w</v>
      </c>
      <c r="C269" s="363"/>
      <c r="D269" s="3327" t="s">
        <v>47</v>
      </c>
      <c r="E269" s="3328"/>
      <c r="F269" s="3355"/>
      <c r="G269" s="3356"/>
      <c r="H269" s="3357"/>
      <c r="I269" s="3527"/>
      <c r="J269" s="3528"/>
      <c r="K269" s="3528"/>
      <c r="L269" s="3528"/>
      <c r="M269" s="3528"/>
      <c r="N269" s="3528"/>
      <c r="O269" s="3529"/>
      <c r="P269" s="266"/>
      <c r="Q269" s="2078"/>
      <c r="S269" s="3487"/>
    </row>
    <row r="270" spans="2:19" ht="26.25" customHeight="1">
      <c r="B270" s="2123" t="str">
        <f>IF(ISBLANK(F270)=FALSE,"","w")</f>
        <v>w</v>
      </c>
      <c r="C270" s="363"/>
      <c r="D270" s="3327" t="s">
        <v>46</v>
      </c>
      <c r="E270" s="3328"/>
      <c r="F270" s="3315"/>
      <c r="G270" s="3316"/>
      <c r="H270" s="3317"/>
      <c r="I270" s="3176"/>
      <c r="J270" s="3177"/>
      <c r="K270" s="3177"/>
      <c r="L270" s="3177"/>
      <c r="M270" s="3177"/>
      <c r="N270" s="3177"/>
      <c r="O270" s="3178"/>
      <c r="P270" s="266"/>
      <c r="Q270" s="2078"/>
      <c r="S270" s="3487"/>
    </row>
    <row r="271" spans="2:19" ht="26.25" customHeight="1">
      <c r="B271" s="2123" t="str">
        <f>IF(ISBLANK(F271)=FALSE,"","w")</f>
        <v>w</v>
      </c>
      <c r="C271" s="363"/>
      <c r="D271" s="3207" t="s">
        <v>45</v>
      </c>
      <c r="E271" s="3208"/>
      <c r="F271" s="3315"/>
      <c r="G271" s="3316"/>
      <c r="H271" s="3317"/>
      <c r="I271" s="3176"/>
      <c r="J271" s="3177"/>
      <c r="K271" s="3177"/>
      <c r="L271" s="3177"/>
      <c r="M271" s="3177"/>
      <c r="N271" s="3177"/>
      <c r="O271" s="3178"/>
      <c r="P271" s="266"/>
      <c r="Q271" s="2078"/>
      <c r="S271" s="3487"/>
    </row>
    <row r="272" spans="2:19" ht="26.25" customHeight="1">
      <c r="B272" s="2123" t="str">
        <f>IF(ISBLANK(F272)=FALSE,"","w")</f>
        <v>w</v>
      </c>
      <c r="C272" s="363"/>
      <c r="D272" s="3207" t="s">
        <v>43</v>
      </c>
      <c r="E272" s="3208"/>
      <c r="F272" s="3315"/>
      <c r="G272" s="3316"/>
      <c r="H272" s="3317"/>
      <c r="I272" s="3176"/>
      <c r="J272" s="3177"/>
      <c r="K272" s="3177"/>
      <c r="L272" s="3177"/>
      <c r="M272" s="3177"/>
      <c r="N272" s="3177"/>
      <c r="O272" s="3178"/>
      <c r="P272" s="266"/>
      <c r="Q272" s="2078"/>
      <c r="S272" s="3487"/>
    </row>
    <row r="273" spans="2:19" ht="26.25" customHeight="1">
      <c r="B273" s="2123" t="str">
        <f>IF(ISBLANK(F273)=FALSE,"","w")</f>
        <v>w</v>
      </c>
      <c r="C273" s="363"/>
      <c r="D273" s="3207" t="s">
        <v>44</v>
      </c>
      <c r="E273" s="3208"/>
      <c r="F273" s="3315"/>
      <c r="G273" s="3316"/>
      <c r="H273" s="3317"/>
      <c r="I273" s="3176"/>
      <c r="J273" s="3177"/>
      <c r="K273" s="3177"/>
      <c r="L273" s="3177"/>
      <c r="M273" s="3177"/>
      <c r="N273" s="3177"/>
      <c r="O273" s="3178"/>
      <c r="P273" s="266"/>
      <c r="Q273" s="2078"/>
      <c r="S273" s="3487"/>
    </row>
    <row r="274" spans="2:19" ht="26.25" customHeight="1">
      <c r="B274" s="2086"/>
      <c r="C274" s="363"/>
      <c r="D274" s="400" t="s">
        <v>605</v>
      </c>
      <c r="E274" s="713"/>
      <c r="F274" s="3294"/>
      <c r="G274" s="3295"/>
      <c r="H274" s="3296"/>
      <c r="I274" s="3303"/>
      <c r="J274" s="3304"/>
      <c r="K274" s="3304"/>
      <c r="L274" s="3304"/>
      <c r="M274" s="3304"/>
      <c r="N274" s="3304"/>
      <c r="O274" s="3305"/>
      <c r="P274" s="604"/>
      <c r="Q274" s="2078"/>
      <c r="S274" s="3487"/>
    </row>
    <row r="275" spans="2:19" ht="22.5" customHeight="1">
      <c r="B275" s="2086"/>
      <c r="C275" s="358"/>
      <c r="D275" s="359"/>
      <c r="E275" s="360"/>
      <c r="F275" s="361"/>
      <c r="G275" s="360"/>
      <c r="H275" s="602"/>
      <c r="I275" s="55"/>
      <c r="J275" s="645"/>
      <c r="K275" s="602"/>
      <c r="L275" s="645"/>
      <c r="M275" s="602"/>
      <c r="N275" s="645"/>
      <c r="O275" s="602"/>
      <c r="P275" s="604"/>
      <c r="Q275" s="2078"/>
      <c r="S275" s="3487"/>
    </row>
    <row r="276" spans="2:19" ht="20.25" customHeight="1">
      <c r="B276" s="2086"/>
      <c r="C276" s="3312" t="s">
        <v>606</v>
      </c>
      <c r="D276" s="3313"/>
      <c r="E276" s="3314"/>
      <c r="F276" s="3297"/>
      <c r="G276" s="3298"/>
      <c r="H276" s="3298"/>
      <c r="I276" s="3298"/>
      <c r="J276" s="3298"/>
      <c r="K276" s="3298"/>
      <c r="L276" s="3298"/>
      <c r="M276" s="3298"/>
      <c r="N276" s="3298"/>
      <c r="O276" s="3299"/>
      <c r="P276" s="604"/>
      <c r="Q276" s="2078"/>
      <c r="S276" s="3487"/>
    </row>
    <row r="277" spans="2:19" ht="20.25" customHeight="1">
      <c r="B277" s="2086"/>
      <c r="C277" s="3312"/>
      <c r="D277" s="3313"/>
      <c r="E277" s="3314"/>
      <c r="F277" s="3300"/>
      <c r="G277" s="3301"/>
      <c r="H277" s="3301"/>
      <c r="I277" s="3301"/>
      <c r="J277" s="3301"/>
      <c r="K277" s="3301"/>
      <c r="L277" s="3301"/>
      <c r="M277" s="3301"/>
      <c r="N277" s="3301"/>
      <c r="O277" s="3302"/>
      <c r="P277" s="604"/>
      <c r="Q277" s="2078"/>
      <c r="S277" s="3487"/>
    </row>
    <row r="278" spans="2:19" ht="13.5" customHeight="1">
      <c r="B278" s="2086"/>
      <c r="C278" s="664"/>
      <c r="D278" s="315"/>
      <c r="E278" s="645"/>
      <c r="F278" s="602"/>
      <c r="G278" s="645"/>
      <c r="H278" s="602"/>
      <c r="I278" s="55"/>
      <c r="J278" s="645"/>
      <c r="K278" s="602"/>
      <c r="L278" s="645"/>
      <c r="M278" s="602"/>
      <c r="N278" s="645"/>
      <c r="O278" s="602"/>
      <c r="P278" s="604"/>
      <c r="Q278" s="2078"/>
      <c r="S278" s="3487"/>
    </row>
    <row r="279" spans="2:19" ht="18" customHeight="1">
      <c r="B279" s="2086"/>
      <c r="C279" s="757" t="s">
        <v>607</v>
      </c>
      <c r="D279" s="758"/>
      <c r="E279" s="759"/>
      <c r="F279" s="760"/>
      <c r="G279" s="760"/>
      <c r="H279" s="761"/>
      <c r="I279" s="762"/>
      <c r="J279" s="759"/>
      <c r="K279" s="759"/>
      <c r="L279" s="759"/>
      <c r="M279" s="760"/>
      <c r="N279" s="760"/>
      <c r="O279" s="763"/>
      <c r="P279" s="604"/>
      <c r="Q279" s="2078"/>
      <c r="S279" s="3487"/>
    </row>
    <row r="280" spans="2:19" ht="18" customHeight="1">
      <c r="B280" s="2086"/>
      <c r="C280" s="765" t="s">
        <v>815</v>
      </c>
      <c r="D280" s="758"/>
      <c r="E280" s="759"/>
      <c r="F280" s="760"/>
      <c r="G280" s="760"/>
      <c r="H280" s="761"/>
      <c r="I280" s="762"/>
      <c r="J280" s="614"/>
      <c r="K280" s="766"/>
      <c r="L280" s="759"/>
      <c r="M280" s="760"/>
      <c r="N280" s="760"/>
      <c r="O280" s="763"/>
      <c r="P280" s="604"/>
      <c r="Q280" s="2078"/>
      <c r="S280" s="3487"/>
    </row>
    <row r="281" spans="2:19" ht="16.5" customHeight="1">
      <c r="B281" s="2086"/>
      <c r="C281" s="767"/>
      <c r="D281" s="758"/>
      <c r="E281" s="759"/>
      <c r="F281" s="760"/>
      <c r="G281" s="760"/>
      <c r="H281" s="761"/>
      <c r="I281" s="762"/>
      <c r="J281" s="768" t="s">
        <v>584</v>
      </c>
      <c r="K281" s="614"/>
      <c r="L281" s="759"/>
      <c r="M281" s="760"/>
      <c r="N281" s="760"/>
      <c r="O281" s="763"/>
      <c r="P281" s="604"/>
      <c r="Q281" s="2078"/>
      <c r="S281" s="3487"/>
    </row>
    <row r="282" spans="2:19" ht="18" customHeight="1">
      <c r="B282" s="2086"/>
      <c r="C282" s="601"/>
      <c r="D282" s="277"/>
      <c r="E282" s="306"/>
      <c r="F282" s="306"/>
      <c r="G282" s="306"/>
      <c r="H282" s="306"/>
      <c r="I282" s="271"/>
      <c r="J282" s="306"/>
      <c r="K282" s="306"/>
      <c r="L282" s="306"/>
      <c r="M282" s="306"/>
      <c r="N282" s="306"/>
      <c r="O282" s="306"/>
      <c r="P282" s="307"/>
      <c r="Q282" s="2078"/>
      <c r="S282" s="3487"/>
    </row>
    <row r="283" spans="2:19" ht="14.25" customHeight="1">
      <c r="B283" s="2086"/>
      <c r="C283" s="2129"/>
      <c r="D283" s="2077"/>
      <c r="E283" s="2077"/>
      <c r="F283" s="2077"/>
      <c r="G283" s="2077"/>
      <c r="H283" s="2077"/>
      <c r="I283" s="2077"/>
      <c r="J283" s="2077"/>
      <c r="K283" s="2077"/>
      <c r="L283" s="2077"/>
      <c r="M283" s="2077"/>
      <c r="N283" s="2077"/>
      <c r="O283" s="2077"/>
      <c r="P283" s="2077"/>
      <c r="Q283" s="2078"/>
      <c r="S283" s="3487"/>
    </row>
    <row r="284" spans="2:19" ht="17.25" customHeight="1">
      <c r="B284" s="2086"/>
      <c r="C284" s="2130" t="s">
        <v>567</v>
      </c>
      <c r="D284" s="2077"/>
      <c r="E284" s="2077"/>
      <c r="F284" s="2077"/>
      <c r="G284" s="2077"/>
      <c r="H284" s="2077"/>
      <c r="I284" s="2406" t="str">
        <f>IF((OR(ISBLANK(F617),ISBLANK(F618))=FALSE),"Complété","À compléter")</f>
        <v>À compléter</v>
      </c>
      <c r="J284" s="2406" t="str">
        <f>IF((OR(ISBLANK(F617),ISBLANK(F618),ISBLANK(K617),ISBLANK(K618))=FALSE),"Complété","À compléter")</f>
        <v>À compléter</v>
      </c>
      <c r="K284" s="2077"/>
      <c r="L284" s="2077"/>
      <c r="M284" s="2077"/>
      <c r="N284" s="2077"/>
      <c r="O284" s="2077"/>
      <c r="P284" s="2077"/>
      <c r="Q284" s="2078"/>
      <c r="S284" s="3487"/>
    </row>
    <row r="285" spans="2:19" ht="18" customHeight="1">
      <c r="B285" s="2086"/>
      <c r="C285" s="1938"/>
      <c r="D285" s="2131"/>
      <c r="E285" s="3743" t="s">
        <v>568</v>
      </c>
      <c r="F285" s="3743"/>
      <c r="G285" s="3743"/>
      <c r="H285" s="3744"/>
      <c r="I285" s="353" t="str">
        <f>IF($M$73='MENU DÉROULANT'!$C$66,I284,J284)</f>
        <v>À compléter</v>
      </c>
      <c r="J285" s="3727" t="s">
        <v>3454</v>
      </c>
      <c r="K285" s="3727"/>
      <c r="L285" s="3727"/>
      <c r="M285" s="3727"/>
      <c r="N285" s="3727"/>
      <c r="O285" s="3727"/>
      <c r="P285" s="3727"/>
      <c r="Q285" s="2078"/>
      <c r="S285" s="3487"/>
    </row>
    <row r="286" spans="2:19" ht="6.75" customHeight="1">
      <c r="B286" s="2086"/>
      <c r="C286" s="2077"/>
      <c r="D286" s="2131"/>
      <c r="E286" s="2131"/>
      <c r="F286" s="2131"/>
      <c r="G286" s="2131"/>
      <c r="H286" s="2131"/>
      <c r="I286" s="2077"/>
      <c r="J286" s="2132"/>
      <c r="K286" s="2132"/>
      <c r="L286" s="2132"/>
      <c r="M286" s="2132"/>
      <c r="N286" s="2132"/>
      <c r="O286" s="2132"/>
      <c r="P286" s="2132"/>
      <c r="Q286" s="2078"/>
      <c r="S286" s="3487"/>
    </row>
    <row r="287" spans="2:19" ht="18" customHeight="1">
      <c r="B287" s="2086"/>
      <c r="C287" s="2077"/>
      <c r="D287" s="3743" t="s">
        <v>569</v>
      </c>
      <c r="E287" s="3743"/>
      <c r="F287" s="3743"/>
      <c r="G287" s="3743"/>
      <c r="H287" s="3744"/>
      <c r="I287" s="353" t="str">
        <f>IF($M$73='MENU DÉROULANT'!$C$66,I288,J288)</f>
        <v>À compléter</v>
      </c>
      <c r="J287" s="3727" t="s">
        <v>3455</v>
      </c>
      <c r="K287" s="3727"/>
      <c r="L287" s="3727"/>
      <c r="M287" s="3727"/>
      <c r="N287" s="3727"/>
      <c r="O287" s="3727"/>
      <c r="P287" s="3727"/>
      <c r="Q287" s="2078"/>
      <c r="S287" s="3487"/>
    </row>
    <row r="288" spans="2:19" ht="17.25" customHeight="1">
      <c r="B288" s="2086"/>
      <c r="C288" s="2077"/>
      <c r="D288" s="2117"/>
      <c r="E288" s="2117"/>
      <c r="F288" s="2117"/>
      <c r="G288" s="2117"/>
      <c r="H288" s="2117"/>
      <c r="I288" s="2406" t="str">
        <f>IF((OR(ISBLANK(F679))=FALSE),"Complété","À compléter")</f>
        <v>À compléter</v>
      </c>
      <c r="J288" s="2406" t="str">
        <f>IF((OR(ISBLANK(F679),ISBLANK(K679))=FALSE),"Complété","À compléter")</f>
        <v>À compléter</v>
      </c>
      <c r="K288" s="2119"/>
      <c r="L288" s="2119"/>
      <c r="M288" s="2119"/>
      <c r="N288" s="2119"/>
      <c r="O288" s="2119"/>
      <c r="P288" s="2119"/>
      <c r="Q288" s="2078"/>
      <c r="S288" s="3487"/>
    </row>
    <row r="289" spans="1:19" ht="18" customHeight="1">
      <c r="B289" s="2086"/>
      <c r="C289" s="2120" t="s">
        <v>570</v>
      </c>
      <c r="D289" s="2117"/>
      <c r="E289" s="2117"/>
      <c r="F289" s="2117"/>
      <c r="G289" s="1938"/>
      <c r="H289" s="3745" t="s">
        <v>608</v>
      </c>
      <c r="I289" s="3745"/>
      <c r="J289" s="1938"/>
      <c r="K289" s="1938"/>
      <c r="L289" s="2119"/>
      <c r="M289" s="2119"/>
      <c r="N289" s="2119"/>
      <c r="O289" s="2119"/>
      <c r="P289" s="2119"/>
      <c r="Q289" s="2078"/>
      <c r="S289" s="3487"/>
    </row>
    <row r="290" spans="1:19" ht="13.5" customHeight="1" thickBot="1">
      <c r="B290" s="2158"/>
      <c r="C290" s="2090"/>
      <c r="D290" s="2090"/>
      <c r="E290" s="2090"/>
      <c r="F290" s="2090"/>
      <c r="G290" s="2090"/>
      <c r="H290" s="2090"/>
      <c r="I290" s="2090"/>
      <c r="J290" s="2090"/>
      <c r="K290" s="2090"/>
      <c r="L290" s="2090"/>
      <c r="M290" s="2090"/>
      <c r="N290" s="2090"/>
      <c r="O290" s="2090"/>
      <c r="P290" s="2090"/>
      <c r="Q290" s="2157"/>
      <c r="S290" s="3488"/>
    </row>
    <row r="291" spans="1:19" ht="15" thickBot="1">
      <c r="B291" s="683"/>
      <c r="S291" s="614"/>
    </row>
    <row r="292" spans="1:19" ht="22.5" customHeight="1" thickBot="1">
      <c r="A292" s="1187"/>
      <c r="B292" s="1926" t="s">
        <v>609</v>
      </c>
      <c r="C292" s="1926"/>
      <c r="D292" s="1926"/>
      <c r="E292" s="1926"/>
      <c r="F292" s="1926"/>
      <c r="G292" s="1926"/>
      <c r="H292" s="1926"/>
      <c r="I292" s="1926"/>
      <c r="J292" s="1926"/>
      <c r="K292" s="1926"/>
      <c r="L292" s="2097"/>
      <c r="M292" s="2097"/>
      <c r="N292" s="2097"/>
      <c r="O292" s="3726" t="s">
        <v>155</v>
      </c>
      <c r="P292" s="3726"/>
      <c r="Q292" s="3726"/>
      <c r="S292" s="615" t="s">
        <v>521</v>
      </c>
    </row>
    <row r="293" spans="1:19" ht="9.75" customHeight="1" thickBot="1">
      <c r="S293" s="616"/>
    </row>
    <row r="294" spans="1:19" ht="8.25" customHeight="1">
      <c r="B294" s="2098"/>
      <c r="C294" s="2099"/>
      <c r="D294" s="2099"/>
      <c r="E294" s="2100"/>
      <c r="F294" s="2101"/>
      <c r="G294" s="2101"/>
      <c r="H294" s="2101"/>
      <c r="I294" s="2101"/>
      <c r="J294" s="2101"/>
      <c r="K294" s="2101"/>
      <c r="L294" s="2101"/>
      <c r="M294" s="2101"/>
      <c r="N294" s="2101"/>
      <c r="O294" s="2101"/>
      <c r="P294" s="2101"/>
      <c r="Q294" s="2102"/>
      <c r="S294" s="3486"/>
    </row>
    <row r="295" spans="1:19" ht="18" customHeight="1">
      <c r="B295" s="2160"/>
      <c r="C295" s="2104" t="s">
        <v>610</v>
      </c>
      <c r="D295" s="2104"/>
      <c r="E295" s="2161"/>
      <c r="F295" s="1938"/>
      <c r="G295" s="1938"/>
      <c r="H295" s="1938"/>
      <c r="I295" s="1938"/>
      <c r="J295" s="1938"/>
      <c r="K295" s="1938"/>
      <c r="L295" s="1938"/>
      <c r="M295" s="1938"/>
      <c r="N295" s="2126" t="s">
        <v>219</v>
      </c>
      <c r="O295" s="353" t="str">
        <f>IF(OR(ISBLANK(H302))=FALSE,"Complété","À compléter")</f>
        <v>À compléter</v>
      </c>
      <c r="P295" s="1938"/>
      <c r="Q295" s="2128"/>
      <c r="S295" s="3487"/>
    </row>
    <row r="296" spans="1:19" ht="8.25" customHeight="1">
      <c r="B296" s="2125"/>
      <c r="C296" s="2127"/>
      <c r="D296" s="2127"/>
      <c r="E296" s="2127"/>
      <c r="F296" s="1938"/>
      <c r="G296" s="1938"/>
      <c r="H296" s="1938"/>
      <c r="I296" s="1938"/>
      <c r="J296" s="1938"/>
      <c r="K296" s="1938"/>
      <c r="L296" s="1938"/>
      <c r="M296" s="1938"/>
      <c r="N296" s="1938"/>
      <c r="O296" s="1938"/>
      <c r="P296" s="1938"/>
      <c r="Q296" s="2128"/>
      <c r="S296" s="3487"/>
    </row>
    <row r="297" spans="1:19" ht="17.25" customHeight="1">
      <c r="B297" s="2125"/>
      <c r="C297" s="3728" t="s">
        <v>531</v>
      </c>
      <c r="D297" s="3728"/>
      <c r="E297" s="3728"/>
      <c r="F297" s="3728"/>
      <c r="G297" s="3728"/>
      <c r="H297" s="3728"/>
      <c r="I297" s="3728"/>
      <c r="J297" s="3728"/>
      <c r="K297" s="3728"/>
      <c r="L297" s="3728"/>
      <c r="M297" s="3728"/>
      <c r="N297" s="1938"/>
      <c r="O297" s="1938"/>
      <c r="P297" s="1938"/>
      <c r="Q297" s="2128"/>
      <c r="S297" s="3487"/>
    </row>
    <row r="298" spans="1:19" ht="15" customHeight="1">
      <c r="B298" s="2125"/>
      <c r="C298" s="2127"/>
      <c r="D298" s="2127"/>
      <c r="E298" s="2127"/>
      <c r="F298" s="1938"/>
      <c r="G298" s="1938"/>
      <c r="H298" s="1938"/>
      <c r="I298" s="1938"/>
      <c r="J298" s="1938"/>
      <c r="K298" s="1938"/>
      <c r="L298" s="1938"/>
      <c r="M298" s="1938"/>
      <c r="N298" s="1938"/>
      <c r="O298" s="1938"/>
      <c r="P298" s="1938"/>
      <c r="Q298" s="2128"/>
      <c r="S298" s="3487"/>
    </row>
    <row r="299" spans="1:19" ht="18.75" customHeight="1">
      <c r="B299" s="2086"/>
      <c r="C299" s="2153" t="s">
        <v>3463</v>
      </c>
      <c r="D299" s="2109"/>
      <c r="E299" s="2077"/>
      <c r="F299" s="2077"/>
      <c r="G299" s="2077"/>
      <c r="H299" s="2077"/>
      <c r="I299" s="2077"/>
      <c r="J299" s="2077"/>
      <c r="K299" s="2077"/>
      <c r="L299" s="2077"/>
      <c r="M299" s="2077"/>
      <c r="N299" s="2077"/>
      <c r="O299" s="2077"/>
      <c r="P299" s="2077"/>
      <c r="Q299" s="2078"/>
      <c r="S299" s="3487"/>
    </row>
    <row r="300" spans="1:19" ht="6" customHeight="1">
      <c r="B300" s="2086"/>
      <c r="C300" s="2162"/>
      <c r="D300" s="2109"/>
      <c r="E300" s="2077"/>
      <c r="F300" s="2077"/>
      <c r="G300" s="2077"/>
      <c r="H300" s="2077"/>
      <c r="I300" s="2077"/>
      <c r="J300" s="2077"/>
      <c r="K300" s="2077"/>
      <c r="L300" s="2077"/>
      <c r="M300" s="2077"/>
      <c r="N300" s="2077"/>
      <c r="O300" s="2077"/>
      <c r="P300" s="2077"/>
      <c r="Q300" s="2078"/>
      <c r="S300" s="3487"/>
    </row>
    <row r="301" spans="1:19" ht="14.25" customHeight="1">
      <c r="B301" s="2086"/>
      <c r="C301" s="635"/>
      <c r="D301" s="259"/>
      <c r="E301" s="260"/>
      <c r="F301" s="260"/>
      <c r="G301" s="260"/>
      <c r="H301" s="260"/>
      <c r="I301" s="260"/>
      <c r="J301" s="260"/>
      <c r="K301" s="260"/>
      <c r="L301" s="260"/>
      <c r="M301" s="260"/>
      <c r="N301" s="260"/>
      <c r="O301" s="260"/>
      <c r="P301" s="261"/>
      <c r="Q301" s="2078"/>
      <c r="S301" s="3487"/>
    </row>
    <row r="302" spans="1:19" ht="15.75" customHeight="1">
      <c r="B302" s="2123" t="str">
        <f>IF(ISBLANK(H302)=FALSE,"","u")</f>
        <v>u</v>
      </c>
      <c r="C302" s="3351" t="s">
        <v>3490</v>
      </c>
      <c r="D302" s="3352"/>
      <c r="E302" s="3352"/>
      <c r="F302" s="3352"/>
      <c r="G302" s="3352"/>
      <c r="H302" s="3306"/>
      <c r="I302" s="3307"/>
      <c r="J302" s="3307"/>
      <c r="K302" s="3308"/>
      <c r="L302" s="3531" t="str">
        <f>IF(OR(ISBLANK(H302),H302='MENU DÉROULANT'!C97),"","Vous pouvez donc passer à la section suivante du PGA.")</f>
        <v/>
      </c>
      <c r="M302" s="3532"/>
      <c r="N302" s="3532"/>
      <c r="O302" s="3532"/>
      <c r="P302" s="266"/>
      <c r="Q302" s="2078"/>
      <c r="S302" s="3487"/>
    </row>
    <row r="303" spans="1:19" ht="15.75" customHeight="1">
      <c r="B303" s="2123" t="s">
        <v>552</v>
      </c>
      <c r="C303" s="3351"/>
      <c r="D303" s="3352"/>
      <c r="E303" s="3352"/>
      <c r="F303" s="3352"/>
      <c r="G303" s="3352"/>
      <c r="H303" s="3309"/>
      <c r="I303" s="3310"/>
      <c r="J303" s="3310"/>
      <c r="K303" s="3311"/>
      <c r="L303" s="3222" t="str">
        <f>IF(OR(ISBLANK(H302),H302='MENU DÉROULANT'!C97),"","Notez toutefois que dans ce cas, aucun visuel n'apparaitra dans le sommaire concernant la gestion de la demande à venir.")</f>
        <v/>
      </c>
      <c r="M303" s="3222"/>
      <c r="N303" s="3222"/>
      <c r="O303" s="3222"/>
      <c r="P303" s="673"/>
      <c r="Q303" s="2159"/>
      <c r="S303" s="3487"/>
    </row>
    <row r="304" spans="1:19" ht="16.5" customHeight="1">
      <c r="B304" s="2086"/>
      <c r="C304" s="636"/>
      <c r="D304" s="634"/>
      <c r="E304" s="85"/>
      <c r="F304" s="85"/>
      <c r="G304" s="85"/>
      <c r="H304" s="85"/>
      <c r="I304" s="85"/>
      <c r="J304" s="85"/>
      <c r="K304" s="85"/>
      <c r="L304" s="3223"/>
      <c r="M304" s="3223"/>
      <c r="N304" s="3223"/>
      <c r="O304" s="3223"/>
      <c r="P304" s="605"/>
      <c r="Q304" s="2159"/>
      <c r="S304" s="3487"/>
    </row>
    <row r="305" spans="2:19" ht="31.5" customHeight="1">
      <c r="B305" s="2123"/>
      <c r="C305" s="379"/>
      <c r="D305" s="291"/>
      <c r="E305" s="645"/>
      <c r="F305" s="3179" t="s">
        <v>539</v>
      </c>
      <c r="G305" s="3179"/>
      <c r="H305" s="3090"/>
      <c r="I305" s="3091"/>
      <c r="J305" s="3091"/>
      <c r="K305" s="3091"/>
      <c r="L305" s="3091"/>
      <c r="M305" s="3091"/>
      <c r="N305" s="3091"/>
      <c r="O305" s="3092"/>
      <c r="P305" s="604"/>
      <c r="Q305" s="2078"/>
      <c r="S305" s="3487"/>
    </row>
    <row r="306" spans="2:19" ht="15" customHeight="1">
      <c r="B306" s="2086"/>
      <c r="C306" s="637"/>
      <c r="D306" s="638"/>
      <c r="E306" s="306"/>
      <c r="F306" s="306"/>
      <c r="G306" s="306"/>
      <c r="H306" s="306"/>
      <c r="I306" s="306"/>
      <c r="J306" s="306"/>
      <c r="K306" s="306"/>
      <c r="L306" s="306"/>
      <c r="M306" s="639"/>
      <c r="N306" s="639"/>
      <c r="O306" s="639"/>
      <c r="P306" s="640"/>
      <c r="Q306" s="2159"/>
      <c r="S306" s="3487"/>
    </row>
    <row r="307" spans="2:19" ht="18.75" customHeight="1">
      <c r="B307" s="2086"/>
      <c r="C307" s="2109"/>
      <c r="D307" s="2109"/>
      <c r="E307" s="2077"/>
      <c r="F307" s="2077"/>
      <c r="G307" s="2077"/>
      <c r="H307" s="2077"/>
      <c r="I307" s="2077"/>
      <c r="J307" s="2077"/>
      <c r="K307" s="2077"/>
      <c r="L307" s="2077"/>
      <c r="M307" s="2077"/>
      <c r="N307" s="2077"/>
      <c r="O307" s="2077"/>
      <c r="P307" s="2077"/>
      <c r="Q307" s="2078"/>
      <c r="S307" s="3487"/>
    </row>
    <row r="308" spans="2:19" ht="10.5" customHeight="1">
      <c r="B308" s="2086"/>
      <c r="C308" s="258"/>
      <c r="D308" s="259"/>
      <c r="E308" s="260"/>
      <c r="F308" s="260"/>
      <c r="G308" s="260"/>
      <c r="H308" s="260"/>
      <c r="I308" s="260"/>
      <c r="J308" s="260"/>
      <c r="K308" s="260"/>
      <c r="L308" s="260"/>
      <c r="M308" s="260"/>
      <c r="N308" s="260"/>
      <c r="O308" s="260"/>
      <c r="P308" s="261"/>
      <c r="Q308" s="2078"/>
      <c r="S308" s="3487"/>
    </row>
    <row r="309" spans="2:19" ht="21.75" customHeight="1">
      <c r="B309" s="2086"/>
      <c r="C309" s="644" t="s">
        <v>3465</v>
      </c>
      <c r="D309" s="315"/>
      <c r="E309" s="85"/>
      <c r="F309" s="357"/>
      <c r="G309" s="357"/>
      <c r="H309" s="602"/>
      <c r="I309" s="55"/>
      <c r="J309" s="85"/>
      <c r="K309" s="85"/>
      <c r="L309" s="85"/>
      <c r="M309" s="357"/>
      <c r="N309" s="357"/>
      <c r="O309" s="976"/>
      <c r="P309" s="604"/>
      <c r="Q309" s="2078"/>
      <c r="S309" s="3487"/>
    </row>
    <row r="310" spans="2:19" ht="15.75" customHeight="1">
      <c r="B310" s="2086"/>
      <c r="C310" s="356"/>
      <c r="D310" s="315"/>
      <c r="E310" s="85"/>
      <c r="F310" s="85"/>
      <c r="G310" s="85"/>
      <c r="H310" s="85"/>
      <c r="I310" s="55"/>
      <c r="J310" s="85"/>
      <c r="K310" s="85"/>
      <c r="L310" s="85"/>
      <c r="M310" s="85"/>
      <c r="N310" s="85"/>
      <c r="O310" s="85"/>
      <c r="P310" s="266"/>
      <c r="Q310" s="2078"/>
      <c r="S310" s="3487"/>
    </row>
    <row r="311" spans="2:19" s="72" customFormat="1" ht="21.75" customHeight="1" thickBot="1">
      <c r="B311" s="2086"/>
      <c r="C311" s="362"/>
      <c r="D311" s="3329" t="s">
        <v>27</v>
      </c>
      <c r="E311" s="3329"/>
      <c r="F311" s="3286" t="s">
        <v>611</v>
      </c>
      <c r="G311" s="3287"/>
      <c r="H311" s="3288"/>
      <c r="I311" s="619" t="s">
        <v>612</v>
      </c>
      <c r="J311" s="621"/>
      <c r="K311" s="620"/>
      <c r="L311" s="620"/>
      <c r="M311" s="620"/>
      <c r="N311" s="620"/>
      <c r="O311" s="351"/>
      <c r="P311" s="266"/>
      <c r="Q311" s="2078"/>
      <c r="S311" s="3487"/>
    </row>
    <row r="312" spans="2:19" ht="35.25" customHeight="1" thickTop="1">
      <c r="B312" s="2123" t="str">
        <f>IF(ISBLANK(F312)=FALSE,"","w")</f>
        <v>w</v>
      </c>
      <c r="C312" s="363"/>
      <c r="D312" s="3327" t="s">
        <v>37</v>
      </c>
      <c r="E312" s="3328"/>
      <c r="F312" s="3355"/>
      <c r="G312" s="3356"/>
      <c r="H312" s="3357"/>
      <c r="I312" s="3527"/>
      <c r="J312" s="3528"/>
      <c r="K312" s="3528"/>
      <c r="L312" s="3528"/>
      <c r="M312" s="3528"/>
      <c r="N312" s="3528"/>
      <c r="O312" s="3529"/>
      <c r="P312" s="266"/>
      <c r="Q312" s="2078"/>
      <c r="S312" s="3487"/>
    </row>
    <row r="313" spans="2:19" ht="35.25" customHeight="1">
      <c r="B313" s="2123" t="str">
        <f>IF(ISBLANK(F313)=FALSE,"","w")</f>
        <v>w</v>
      </c>
      <c r="C313" s="363"/>
      <c r="D313" s="3207" t="s">
        <v>38</v>
      </c>
      <c r="E313" s="3208"/>
      <c r="F313" s="3315"/>
      <c r="G313" s="3316"/>
      <c r="H313" s="3317"/>
      <c r="I313" s="3176"/>
      <c r="J313" s="3177"/>
      <c r="K313" s="3177"/>
      <c r="L313" s="3177"/>
      <c r="M313" s="3177"/>
      <c r="N313" s="3177"/>
      <c r="O313" s="3178"/>
      <c r="P313" s="266"/>
      <c r="Q313" s="2078"/>
      <c r="S313" s="3487"/>
    </row>
    <row r="314" spans="2:19" ht="35.25" customHeight="1">
      <c r="B314" s="2123" t="str">
        <f>IF(ISBLANK(F314)=FALSE,"","w")</f>
        <v>w</v>
      </c>
      <c r="C314" s="363"/>
      <c r="D314" s="3207" t="s">
        <v>39</v>
      </c>
      <c r="E314" s="3208"/>
      <c r="F314" s="3315"/>
      <c r="G314" s="3316"/>
      <c r="H314" s="3317"/>
      <c r="I314" s="3176"/>
      <c r="J314" s="3177"/>
      <c r="K314" s="3177"/>
      <c r="L314" s="3177"/>
      <c r="M314" s="3177"/>
      <c r="N314" s="3177"/>
      <c r="O314" s="3178"/>
      <c r="P314" s="266"/>
      <c r="Q314" s="2078"/>
      <c r="S314" s="3487"/>
    </row>
    <row r="315" spans="2:19" ht="35.25" customHeight="1">
      <c r="B315" s="2123" t="str">
        <f>IF(ISBLANK(F315)=FALSE,"","w")</f>
        <v>w</v>
      </c>
      <c r="C315" s="363"/>
      <c r="D315" s="3207" t="s">
        <v>40</v>
      </c>
      <c r="E315" s="3208"/>
      <c r="F315" s="3315"/>
      <c r="G315" s="3316"/>
      <c r="H315" s="3317"/>
      <c r="I315" s="3176"/>
      <c r="J315" s="3177"/>
      <c r="K315" s="3177"/>
      <c r="L315" s="3177"/>
      <c r="M315" s="3177"/>
      <c r="N315" s="3177"/>
      <c r="O315" s="3178"/>
      <c r="P315" s="266"/>
      <c r="Q315" s="2078"/>
      <c r="S315" s="3487"/>
    </row>
    <row r="316" spans="2:19" ht="35.25" customHeight="1">
      <c r="B316" s="2123" t="str">
        <f>IF(ISBLANK(F316)=FALSE,"","w")</f>
        <v>w</v>
      </c>
      <c r="C316" s="363"/>
      <c r="D316" s="3207" t="s">
        <v>41</v>
      </c>
      <c r="E316" s="3208"/>
      <c r="F316" s="3315"/>
      <c r="G316" s="3316"/>
      <c r="H316" s="3317"/>
      <c r="I316" s="3176"/>
      <c r="J316" s="3177"/>
      <c r="K316" s="3177"/>
      <c r="L316" s="3177"/>
      <c r="M316" s="3177"/>
      <c r="N316" s="3177"/>
      <c r="O316" s="3178"/>
      <c r="P316" s="266"/>
      <c r="Q316" s="2078"/>
      <c r="S316" s="3487"/>
    </row>
    <row r="317" spans="2:19" ht="35.25" customHeight="1">
      <c r="B317" s="2086"/>
      <c r="C317" s="363"/>
      <c r="D317" s="400" t="s">
        <v>605</v>
      </c>
      <c r="E317" s="1020"/>
      <c r="F317" s="3294"/>
      <c r="G317" s="3295"/>
      <c r="H317" s="3296"/>
      <c r="I317" s="3303"/>
      <c r="J317" s="3304"/>
      <c r="K317" s="3304"/>
      <c r="L317" s="3304"/>
      <c r="M317" s="3304"/>
      <c r="N317" s="3304"/>
      <c r="O317" s="3305"/>
      <c r="P317" s="604"/>
      <c r="Q317" s="2078"/>
      <c r="S317" s="3487"/>
    </row>
    <row r="318" spans="2:19" ht="22.5" customHeight="1">
      <c r="B318" s="2086"/>
      <c r="C318" s="358"/>
      <c r="D318" s="359"/>
      <c r="E318" s="360"/>
      <c r="F318" s="361"/>
      <c r="G318" s="360"/>
      <c r="H318" s="602"/>
      <c r="I318" s="55"/>
      <c r="J318" s="645"/>
      <c r="K318" s="602"/>
      <c r="L318" s="645"/>
      <c r="M318" s="602"/>
      <c r="N318" s="645"/>
      <c r="O318" s="602"/>
      <c r="P318" s="604"/>
      <c r="Q318" s="2078"/>
      <c r="S318" s="3487"/>
    </row>
    <row r="319" spans="2:19" ht="20.25" customHeight="1">
      <c r="B319" s="2086"/>
      <c r="C319" s="3312" t="s">
        <v>613</v>
      </c>
      <c r="D319" s="3313"/>
      <c r="E319" s="3314"/>
      <c r="F319" s="3297"/>
      <c r="G319" s="3298"/>
      <c r="H319" s="3298"/>
      <c r="I319" s="3298"/>
      <c r="J319" s="3298"/>
      <c r="K319" s="3298"/>
      <c r="L319" s="3298"/>
      <c r="M319" s="3298"/>
      <c r="N319" s="3298"/>
      <c r="O319" s="3299"/>
      <c r="P319" s="604"/>
      <c r="Q319" s="2078"/>
      <c r="S319" s="3487"/>
    </row>
    <row r="320" spans="2:19" ht="20.25" customHeight="1">
      <c r="B320" s="2086"/>
      <c r="C320" s="3312"/>
      <c r="D320" s="3313"/>
      <c r="E320" s="3314"/>
      <c r="F320" s="3300"/>
      <c r="G320" s="3301"/>
      <c r="H320" s="3301"/>
      <c r="I320" s="3301"/>
      <c r="J320" s="3301"/>
      <c r="K320" s="3301"/>
      <c r="L320" s="3301"/>
      <c r="M320" s="3301"/>
      <c r="N320" s="3301"/>
      <c r="O320" s="3302"/>
      <c r="P320" s="604"/>
      <c r="Q320" s="2078"/>
      <c r="S320" s="3487"/>
    </row>
    <row r="321" spans="1:19" ht="17.25" customHeight="1">
      <c r="B321" s="2086"/>
      <c r="C321" s="664"/>
      <c r="D321" s="315"/>
      <c r="E321" s="645"/>
      <c r="F321" s="602"/>
      <c r="G321" s="645"/>
      <c r="H321" s="602"/>
      <c r="I321" s="55"/>
      <c r="J321" s="645"/>
      <c r="K321" s="602"/>
      <c r="L321" s="645"/>
      <c r="M321" s="602"/>
      <c r="N321" s="645"/>
      <c r="O321" s="602"/>
      <c r="P321" s="604"/>
      <c r="Q321" s="2078"/>
      <c r="S321" s="3487"/>
    </row>
    <row r="322" spans="1:19" ht="18" customHeight="1">
      <c r="B322" s="2086"/>
      <c r="C322" s="757" t="s">
        <v>614</v>
      </c>
      <c r="D322" s="758"/>
      <c r="E322" s="759"/>
      <c r="F322" s="760"/>
      <c r="G322" s="760"/>
      <c r="H322" s="761"/>
      <c r="I322" s="762"/>
      <c r="J322" s="759"/>
      <c r="K322" s="759"/>
      <c r="L322" s="759"/>
      <c r="M322" s="760"/>
      <c r="N322" s="760"/>
      <c r="O322" s="763"/>
      <c r="P322" s="764"/>
      <c r="Q322" s="2078"/>
      <c r="S322" s="3487"/>
    </row>
    <row r="323" spans="1:19" ht="18" customHeight="1">
      <c r="B323" s="2086"/>
      <c r="C323" s="765" t="s">
        <v>815</v>
      </c>
      <c r="D323" s="758"/>
      <c r="E323" s="759"/>
      <c r="F323" s="760"/>
      <c r="G323" s="760"/>
      <c r="H323" s="761"/>
      <c r="I323" s="762"/>
      <c r="J323" s="614"/>
      <c r="K323" s="766"/>
      <c r="L323" s="759"/>
      <c r="M323" s="760"/>
      <c r="N323" s="760"/>
      <c r="O323" s="763"/>
      <c r="P323" s="764"/>
      <c r="Q323" s="2078"/>
      <c r="S323" s="3487"/>
    </row>
    <row r="324" spans="1:19" ht="16.5" customHeight="1">
      <c r="B324" s="2086"/>
      <c r="C324" s="767"/>
      <c r="D324" s="758"/>
      <c r="E324" s="759"/>
      <c r="F324" s="760"/>
      <c r="G324" s="760"/>
      <c r="H324" s="761"/>
      <c r="I324" s="762"/>
      <c r="J324" s="768" t="s">
        <v>584</v>
      </c>
      <c r="K324" s="614"/>
      <c r="L324" s="759"/>
      <c r="M324" s="760"/>
      <c r="N324" s="760"/>
      <c r="O324" s="763"/>
      <c r="P324" s="764"/>
      <c r="Q324" s="2078"/>
      <c r="S324" s="3487"/>
    </row>
    <row r="325" spans="1:19" ht="18" customHeight="1">
      <c r="B325" s="2086"/>
      <c r="C325" s="601"/>
      <c r="D325" s="277"/>
      <c r="E325" s="306"/>
      <c r="F325" s="306"/>
      <c r="G325" s="306"/>
      <c r="H325" s="306"/>
      <c r="I325" s="271"/>
      <c r="J325" s="306"/>
      <c r="K325" s="306"/>
      <c r="L325" s="306"/>
      <c r="M325" s="306"/>
      <c r="N325" s="306"/>
      <c r="O325" s="306"/>
      <c r="P325" s="307"/>
      <c r="Q325" s="2078"/>
      <c r="S325" s="3487"/>
    </row>
    <row r="326" spans="1:19" ht="18.75" customHeight="1">
      <c r="B326" s="2086"/>
      <c r="C326" s="2129"/>
      <c r="D326" s="2077"/>
      <c r="E326" s="2077"/>
      <c r="F326" s="2077"/>
      <c r="G326" s="2077"/>
      <c r="H326" s="2077"/>
      <c r="I326" s="2077"/>
      <c r="J326" s="2077"/>
      <c r="K326" s="2077"/>
      <c r="L326" s="2077"/>
      <c r="M326" s="2077"/>
      <c r="N326" s="2077"/>
      <c r="O326" s="2077"/>
      <c r="P326" s="2077"/>
      <c r="Q326" s="2078"/>
      <c r="S326" s="3487"/>
    </row>
    <row r="327" spans="1:19" ht="17.25" customHeight="1">
      <c r="B327" s="2086"/>
      <c r="C327" s="2130" t="s">
        <v>567</v>
      </c>
      <c r="D327" s="2077"/>
      <c r="E327" s="2077"/>
      <c r="F327" s="2077"/>
      <c r="G327" s="2077"/>
      <c r="H327" s="2077"/>
      <c r="I327" s="2406" t="str">
        <f>IF((OR(ISBLANK(F622))=FALSE),"Complété","À compléter")</f>
        <v>À compléter</v>
      </c>
      <c r="J327" s="2406" t="str">
        <f>IF((OR(ISBLANK(F622),ISBLANK(K622))=FALSE),"Complété","À compléter")</f>
        <v>À compléter</v>
      </c>
      <c r="K327" s="2077"/>
      <c r="L327" s="2077"/>
      <c r="M327" s="2077"/>
      <c r="N327" s="2077"/>
      <c r="O327" s="2077"/>
      <c r="P327" s="2077"/>
      <c r="Q327" s="2078"/>
      <c r="S327" s="3487"/>
    </row>
    <row r="328" spans="1:19" ht="18" customHeight="1">
      <c r="B328" s="2086"/>
      <c r="C328" s="1938"/>
      <c r="D328" s="2131"/>
      <c r="E328" s="3743" t="s">
        <v>568</v>
      </c>
      <c r="F328" s="3743"/>
      <c r="G328" s="3743"/>
      <c r="H328" s="3744"/>
      <c r="I328" s="353" t="str">
        <f>IF($M$73='MENU DÉROULANT'!$C$66,I327,J327)</f>
        <v>À compléter</v>
      </c>
      <c r="J328" s="3727" t="s">
        <v>3454</v>
      </c>
      <c r="K328" s="3727"/>
      <c r="L328" s="3727"/>
      <c r="M328" s="3727"/>
      <c r="N328" s="3727"/>
      <c r="O328" s="3727"/>
      <c r="P328" s="3727"/>
      <c r="Q328" s="2078"/>
      <c r="S328" s="3487"/>
    </row>
    <row r="329" spans="1:19" ht="6.75" customHeight="1">
      <c r="B329" s="2086"/>
      <c r="C329" s="2077"/>
      <c r="D329" s="2131"/>
      <c r="E329" s="2131"/>
      <c r="F329" s="2131"/>
      <c r="G329" s="2131"/>
      <c r="H329" s="2131"/>
      <c r="I329" s="2077"/>
      <c r="J329" s="2132"/>
      <c r="K329" s="2132"/>
      <c r="L329" s="2132"/>
      <c r="M329" s="2132"/>
      <c r="N329" s="2132"/>
      <c r="O329" s="2132"/>
      <c r="P329" s="2132"/>
      <c r="Q329" s="2078"/>
      <c r="S329" s="3487"/>
    </row>
    <row r="330" spans="1:19" ht="18" customHeight="1">
      <c r="B330" s="2086"/>
      <c r="C330" s="2077"/>
      <c r="D330" s="3743" t="s">
        <v>569</v>
      </c>
      <c r="E330" s="3743"/>
      <c r="F330" s="3743"/>
      <c r="G330" s="3743"/>
      <c r="H330" s="3744"/>
      <c r="I330" s="353" t="str">
        <f>IF($M$73='MENU DÉROULANT'!$C$66,I331,J331)</f>
        <v>À compléter</v>
      </c>
      <c r="J330" s="3727" t="s">
        <v>3455</v>
      </c>
      <c r="K330" s="3727"/>
      <c r="L330" s="3727"/>
      <c r="M330" s="3727"/>
      <c r="N330" s="3727"/>
      <c r="O330" s="3727"/>
      <c r="P330" s="3727"/>
      <c r="Q330" s="2078"/>
      <c r="S330" s="3487"/>
    </row>
    <row r="331" spans="1:19" ht="17.25" customHeight="1">
      <c r="B331" s="2086"/>
      <c r="C331" s="2077"/>
      <c r="D331" s="2117"/>
      <c r="E331" s="2117"/>
      <c r="F331" s="2117"/>
      <c r="G331" s="2117"/>
      <c r="H331" s="2117"/>
      <c r="I331" s="2406" t="str">
        <f>IF((OR(ISBLANK(F682))=FALSE),"Complété","À compléter")</f>
        <v>À compléter</v>
      </c>
      <c r="J331" s="2406" t="str">
        <f>IF((OR(ISBLANK(F682),ISBLANK(K682))=FALSE),"Complété","À compléter")</f>
        <v>À compléter</v>
      </c>
      <c r="K331" s="2119"/>
      <c r="L331" s="2119"/>
      <c r="M331" s="2119"/>
      <c r="N331" s="2119"/>
      <c r="O331" s="2119"/>
      <c r="P331" s="2119"/>
      <c r="Q331" s="2078"/>
      <c r="S331" s="3487"/>
    </row>
    <row r="332" spans="1:19" ht="18" customHeight="1">
      <c r="B332" s="2086"/>
      <c r="C332" s="2120" t="s">
        <v>570</v>
      </c>
      <c r="D332" s="2117"/>
      <c r="E332" s="2117"/>
      <c r="F332" s="2117"/>
      <c r="G332" s="1938"/>
      <c r="H332" s="3745" t="s">
        <v>615</v>
      </c>
      <c r="I332" s="3745"/>
      <c r="J332" s="1938"/>
      <c r="K332" s="1938"/>
      <c r="L332" s="2119"/>
      <c r="M332" s="2119"/>
      <c r="N332" s="2119"/>
      <c r="O332" s="2119"/>
      <c r="P332" s="2119"/>
      <c r="Q332" s="2078"/>
      <c r="S332" s="3487"/>
    </row>
    <row r="333" spans="1:19" ht="17.25" customHeight="1" thickBot="1">
      <c r="B333" s="2158"/>
      <c r="C333" s="2090"/>
      <c r="D333" s="2090"/>
      <c r="E333" s="2090"/>
      <c r="F333" s="2090"/>
      <c r="G333" s="2090"/>
      <c r="H333" s="2090"/>
      <c r="I333" s="2090"/>
      <c r="J333" s="2090"/>
      <c r="K333" s="2090"/>
      <c r="L333" s="2090"/>
      <c r="M333" s="2090"/>
      <c r="N333" s="2090"/>
      <c r="O333" s="2090"/>
      <c r="P333" s="2090"/>
      <c r="Q333" s="2157"/>
      <c r="S333" s="3488"/>
    </row>
    <row r="334" spans="1:19" ht="9.75" customHeight="1" thickBot="1">
      <c r="B334" s="683"/>
      <c r="S334" s="614"/>
    </row>
    <row r="335" spans="1:19" ht="22.5" customHeight="1" thickBot="1">
      <c r="A335" s="1187"/>
      <c r="B335" s="1926" t="s">
        <v>616</v>
      </c>
      <c r="C335" s="1926"/>
      <c r="D335" s="1926"/>
      <c r="E335" s="1926"/>
      <c r="F335" s="1926"/>
      <c r="G335" s="1926"/>
      <c r="H335" s="1926"/>
      <c r="I335" s="1926"/>
      <c r="J335" s="1926"/>
      <c r="K335" s="1926"/>
      <c r="L335" s="2097"/>
      <c r="M335" s="2097"/>
      <c r="N335" s="2097"/>
      <c r="O335" s="3726" t="s">
        <v>155</v>
      </c>
      <c r="P335" s="3726"/>
      <c r="Q335" s="3726"/>
      <c r="S335" s="615" t="s">
        <v>521</v>
      </c>
    </row>
    <row r="336" spans="1:19" ht="9.75" customHeight="1" thickBot="1">
      <c r="S336" s="616"/>
    </row>
    <row r="337" spans="2:19" ht="8.25" customHeight="1">
      <c r="B337" s="2098"/>
      <c r="C337" s="2099"/>
      <c r="D337" s="2099"/>
      <c r="E337" s="2100"/>
      <c r="F337" s="2101"/>
      <c r="G337" s="2101"/>
      <c r="H337" s="2101"/>
      <c r="I337" s="2101"/>
      <c r="J337" s="2101"/>
      <c r="K337" s="2101"/>
      <c r="L337" s="2101"/>
      <c r="M337" s="2101"/>
      <c r="N337" s="2101"/>
      <c r="O337" s="2101"/>
      <c r="P337" s="2101"/>
      <c r="Q337" s="2102"/>
      <c r="S337" s="3486"/>
    </row>
    <row r="338" spans="2:19" ht="18" customHeight="1">
      <c r="B338" s="2103"/>
      <c r="C338" s="2104" t="s">
        <v>617</v>
      </c>
      <c r="D338" s="2104"/>
      <c r="E338" s="2148"/>
      <c r="F338" s="2149"/>
      <c r="G338" s="2150"/>
      <c r="H338" s="2151"/>
      <c r="I338" s="2106"/>
      <c r="J338" s="2106"/>
      <c r="K338" s="2106"/>
      <c r="L338" s="2405" t="str">
        <f>IF((COUNTBLANK(B348:B356)=ROWS(B348:B356)),"Complété","À compléter")</f>
        <v>À compléter</v>
      </c>
      <c r="M338" s="2405" t="str">
        <f>IF((COUNTBLANK(B348:B366)=ROWS(B348:B366)),"Complété","À compléter")</f>
        <v>À compléter</v>
      </c>
      <c r="N338" s="2126" t="s">
        <v>219</v>
      </c>
      <c r="O338" s="353" t="str">
        <f>IF($M$73='MENU DÉROULANT'!$C$66,'FORMULAIRE PGA Eaux pluviales'!L338,'FORMULAIRE PGA Eaux pluviales'!M338)</f>
        <v>À compléter</v>
      </c>
      <c r="P338" s="2106"/>
      <c r="Q338" s="2107"/>
      <c r="S338" s="3487"/>
    </row>
    <row r="339" spans="2:19" ht="6.75" customHeight="1">
      <c r="B339" s="2103"/>
      <c r="C339" s="2105"/>
      <c r="D339" s="2105"/>
      <c r="E339" s="2105"/>
      <c r="F339" s="2106"/>
      <c r="G339" s="2106"/>
      <c r="H339" s="2106"/>
      <c r="I339" s="2106"/>
      <c r="J339" s="2106"/>
      <c r="K339" s="2106"/>
      <c r="L339" s="2106"/>
      <c r="M339" s="2106"/>
      <c r="N339" s="2106"/>
      <c r="O339" s="2106"/>
      <c r="P339" s="2106"/>
      <c r="Q339" s="2107"/>
      <c r="S339" s="3487"/>
    </row>
    <row r="340" spans="2:19" ht="17.25" customHeight="1">
      <c r="B340" s="2125"/>
      <c r="C340" s="3728" t="s">
        <v>531</v>
      </c>
      <c r="D340" s="3728"/>
      <c r="E340" s="3728"/>
      <c r="F340" s="3728"/>
      <c r="G340" s="3728"/>
      <c r="H340" s="3728"/>
      <c r="I340" s="3728"/>
      <c r="J340" s="3728"/>
      <c r="K340" s="3728"/>
      <c r="L340" s="3728"/>
      <c r="M340" s="3728"/>
      <c r="N340" s="1938"/>
      <c r="O340" s="1938"/>
      <c r="P340" s="1938"/>
      <c r="Q340" s="2128"/>
      <c r="S340" s="3487"/>
    </row>
    <row r="341" spans="2:19" ht="15" customHeight="1">
      <c r="B341" s="2125"/>
      <c r="C341" s="2127"/>
      <c r="D341" s="2127"/>
      <c r="E341" s="2127"/>
      <c r="F341" s="1938"/>
      <c r="G341" s="1938"/>
      <c r="H341" s="1938"/>
      <c r="I341" s="1938"/>
      <c r="J341" s="1938"/>
      <c r="K341" s="1938"/>
      <c r="L341" s="1938"/>
      <c r="M341" s="1938"/>
      <c r="N341" s="1938"/>
      <c r="O341" s="1938"/>
      <c r="P341" s="1938"/>
      <c r="Q341" s="2128"/>
      <c r="S341" s="3487"/>
    </row>
    <row r="342" spans="2:19" ht="19.5" customHeight="1">
      <c r="B342" s="2086"/>
      <c r="C342" s="2152" t="s">
        <v>850</v>
      </c>
      <c r="D342" s="2109"/>
      <c r="E342" s="1938"/>
      <c r="F342" s="1938"/>
      <c r="G342" s="2153" t="s">
        <v>619</v>
      </c>
      <c r="H342" s="2154"/>
      <c r="I342" s="1938"/>
      <c r="J342" s="2077"/>
      <c r="K342" s="2077"/>
      <c r="L342" s="2077"/>
      <c r="M342" s="2077"/>
      <c r="N342" s="2077"/>
      <c r="O342" s="2077"/>
      <c r="P342" s="2077"/>
      <c r="Q342" s="2078"/>
      <c r="S342" s="3487"/>
    </row>
    <row r="343" spans="2:19" ht="23.25" customHeight="1">
      <c r="B343" s="2086"/>
      <c r="C343" s="2116"/>
      <c r="D343" s="2109"/>
      <c r="E343" s="2154"/>
      <c r="F343" s="1938"/>
      <c r="G343" s="2138" t="s">
        <v>817</v>
      </c>
      <c r="H343" s="1938"/>
      <c r="I343" s="1938"/>
      <c r="J343" s="2077"/>
      <c r="K343" s="2077"/>
      <c r="L343" s="2077"/>
      <c r="M343" s="2077"/>
      <c r="N343" s="2077"/>
      <c r="O343" s="2077"/>
      <c r="P343" s="2077"/>
      <c r="Q343" s="2078"/>
      <c r="S343" s="3487"/>
    </row>
    <row r="344" spans="2:19" ht="16.5" customHeight="1">
      <c r="B344" s="2086"/>
      <c r="C344" s="2124" t="s">
        <v>621</v>
      </c>
      <c r="D344" s="2110"/>
      <c r="E344" s="2077"/>
      <c r="F344" s="2077"/>
      <c r="G344" s="2077"/>
      <c r="H344" s="2077"/>
      <c r="I344" s="2077"/>
      <c r="J344" s="2077"/>
      <c r="K344" s="2077"/>
      <c r="L344" s="2077"/>
      <c r="M344" s="2077"/>
      <c r="N344" s="2077"/>
      <c r="O344" s="2077"/>
      <c r="P344" s="2077"/>
      <c r="Q344" s="2078"/>
      <c r="S344" s="3487"/>
    </row>
    <row r="345" spans="2:19" ht="18.75" customHeight="1">
      <c r="B345" s="2086"/>
      <c r="C345" s="2155" t="s">
        <v>622</v>
      </c>
      <c r="D345" s="2110"/>
      <c r="E345" s="2077"/>
      <c r="F345" s="2077"/>
      <c r="G345" s="2077"/>
      <c r="H345" s="2077"/>
      <c r="I345" s="2077"/>
      <c r="J345" s="2077"/>
      <c r="K345" s="2077"/>
      <c r="L345" s="2077"/>
      <c r="M345" s="2077"/>
      <c r="N345" s="2077"/>
      <c r="O345" s="2077"/>
      <c r="P345" s="2077"/>
      <c r="Q345" s="2078"/>
      <c r="S345" s="3487"/>
    </row>
    <row r="346" spans="2:19" ht="17.25" customHeight="1">
      <c r="B346" s="2086"/>
      <c r="C346" s="2156" t="s">
        <v>3466</v>
      </c>
      <c r="D346" s="2109"/>
      <c r="E346" s="2077"/>
      <c r="F346" s="2077"/>
      <c r="G346" s="2077"/>
      <c r="H346" s="2077"/>
      <c r="I346" s="2077"/>
      <c r="J346" s="2077"/>
      <c r="K346" s="2077"/>
      <c r="L346" s="2077"/>
      <c r="M346" s="2077"/>
      <c r="N346" s="2077"/>
      <c r="O346" s="2077"/>
      <c r="P346" s="2077"/>
      <c r="Q346" s="2078"/>
      <c r="S346" s="3487"/>
    </row>
    <row r="347" spans="2:19" ht="20.25" customHeight="1">
      <c r="B347" s="2086"/>
      <c r="C347" s="2109"/>
      <c r="D347" s="2109"/>
      <c r="E347" s="2077"/>
      <c r="F347" s="2077"/>
      <c r="G347" s="2077"/>
      <c r="H347" s="2077"/>
      <c r="I347" s="2077"/>
      <c r="J347" s="2077"/>
      <c r="K347" s="2077"/>
      <c r="L347" s="2077"/>
      <c r="M347" s="2077"/>
      <c r="N347" s="2077"/>
      <c r="O347" s="2077"/>
      <c r="P347" s="2077"/>
      <c r="Q347" s="2078"/>
      <c r="S347" s="3487"/>
    </row>
    <row r="348" spans="2:19" ht="6" customHeight="1">
      <c r="B348" s="2086"/>
      <c r="C348" s="258"/>
      <c r="D348" s="259"/>
      <c r="E348" s="260"/>
      <c r="F348" s="260"/>
      <c r="G348" s="260"/>
      <c r="H348" s="260"/>
      <c r="I348" s="260"/>
      <c r="J348" s="260"/>
      <c r="K348" s="260"/>
      <c r="L348" s="260"/>
      <c r="M348" s="260"/>
      <c r="N348" s="260"/>
      <c r="O348" s="260"/>
      <c r="P348" s="261"/>
      <c r="Q348" s="2078"/>
      <c r="S348" s="3487"/>
    </row>
    <row r="349" spans="2:19" ht="10.5" customHeight="1">
      <c r="B349" s="2086"/>
      <c r="C349" s="3213" t="s">
        <v>807</v>
      </c>
      <c r="D349" s="315"/>
      <c r="E349" s="85"/>
      <c r="F349" s="3179"/>
      <c r="G349" s="3179"/>
      <c r="H349" s="493"/>
      <c r="I349" s="55"/>
      <c r="J349" s="85"/>
      <c r="K349" s="85"/>
      <c r="L349" s="85"/>
      <c r="M349" s="3179"/>
      <c r="N349" s="3179"/>
      <c r="O349" s="493"/>
      <c r="P349" s="604"/>
      <c r="Q349" s="2078"/>
      <c r="S349" s="3487"/>
    </row>
    <row r="350" spans="2:19" ht="8.25" customHeight="1">
      <c r="B350" s="2086"/>
      <c r="C350" s="3213"/>
      <c r="D350" s="315"/>
      <c r="E350" s="85"/>
      <c r="F350" s="85"/>
      <c r="G350" s="85"/>
      <c r="H350" s="85"/>
      <c r="I350" s="55"/>
      <c r="J350" s="85"/>
      <c r="K350" s="85"/>
      <c r="L350" s="85"/>
      <c r="M350" s="85"/>
      <c r="N350" s="85"/>
      <c r="O350" s="85"/>
      <c r="P350" s="266"/>
      <c r="Q350" s="2078"/>
      <c r="S350" s="3487"/>
    </row>
    <row r="351" spans="2:19" ht="17.25" customHeight="1">
      <c r="B351" s="2123" t="str">
        <f>IF(OR(ISBLANK(F351),ISBLANK(H351),ISBLANK(K351),ISBLANK(M351),ISBLANK(O351))=FALSE,"","u")</f>
        <v>u</v>
      </c>
      <c r="C351" s="3213"/>
      <c r="D351" s="315"/>
      <c r="E351" s="645" t="s">
        <v>101</v>
      </c>
      <c r="F351" s="566"/>
      <c r="G351" s="645" t="s">
        <v>102</v>
      </c>
      <c r="H351" s="566"/>
      <c r="I351" s="55"/>
      <c r="J351" s="645" t="s">
        <v>103</v>
      </c>
      <c r="K351" s="566"/>
      <c r="L351" s="645" t="s">
        <v>104</v>
      </c>
      <c r="M351" s="566"/>
      <c r="N351" s="645" t="s">
        <v>105</v>
      </c>
      <c r="O351" s="566"/>
      <c r="P351" s="604"/>
      <c r="Q351" s="2078"/>
      <c r="S351" s="3487"/>
    </row>
    <row r="352" spans="2:19" s="319" customFormat="1" ht="11.25" customHeight="1">
      <c r="B352" s="2086"/>
      <c r="C352" s="3213"/>
      <c r="D352" s="662"/>
      <c r="E352" s="645"/>
      <c r="F352" s="602"/>
      <c r="G352" s="645"/>
      <c r="H352" s="602"/>
      <c r="I352" s="318"/>
      <c r="J352" s="645"/>
      <c r="K352" s="602"/>
      <c r="L352" s="645"/>
      <c r="M352" s="602"/>
      <c r="N352" s="645"/>
      <c r="O352" s="602"/>
      <c r="P352" s="604"/>
      <c r="Q352" s="2078"/>
      <c r="S352" s="3487"/>
    </row>
    <row r="353" spans="2:19" s="319" customFormat="1" ht="17.25" customHeight="1">
      <c r="B353" s="2086"/>
      <c r="C353" s="317"/>
      <c r="D353" s="662"/>
      <c r="E353" s="645"/>
      <c r="F353" s="3179" t="s">
        <v>623</v>
      </c>
      <c r="G353" s="3280"/>
      <c r="H353" s="712">
        <f>F351+H351</f>
        <v>0</v>
      </c>
      <c r="I353" s="318"/>
      <c r="J353" s="645"/>
      <c r="K353" s="602"/>
      <c r="L353" s="645"/>
      <c r="M353" s="3179" t="s">
        <v>624</v>
      </c>
      <c r="N353" s="3280"/>
      <c r="O353" s="712">
        <f>K351+M351+O351</f>
        <v>0</v>
      </c>
      <c r="P353" s="604"/>
      <c r="Q353" s="2078"/>
      <c r="S353" s="3487"/>
    </row>
    <row r="354" spans="2:19" s="319" customFormat="1" ht="11.25" customHeight="1">
      <c r="B354" s="2086"/>
      <c r="C354" s="317"/>
      <c r="D354" s="662"/>
      <c r="E354" s="645"/>
      <c r="F354" s="602"/>
      <c r="G354" s="645"/>
      <c r="H354" s="602"/>
      <c r="I354" s="318"/>
      <c r="J354" s="645"/>
      <c r="K354" s="602"/>
      <c r="L354" s="645"/>
      <c r="M354" s="602"/>
      <c r="N354" s="645"/>
      <c r="O354" s="602"/>
      <c r="P354" s="604"/>
      <c r="Q354" s="2078"/>
      <c r="S354" s="3487"/>
    </row>
    <row r="355" spans="2:19" s="319" customFormat="1" ht="32.25" customHeight="1">
      <c r="B355" s="2086"/>
      <c r="C355" s="317"/>
      <c r="D355" s="662"/>
      <c r="E355" s="320" t="s">
        <v>625</v>
      </c>
      <c r="F355" s="711">
        <f>F351+H351+K351+M351+O351</f>
        <v>0</v>
      </c>
      <c r="G355" s="3291" t="s">
        <v>539</v>
      </c>
      <c r="H355" s="3179"/>
      <c r="I355" s="3090"/>
      <c r="J355" s="3091"/>
      <c r="K355" s="3091"/>
      <c r="L355" s="3091"/>
      <c r="M355" s="3091"/>
      <c r="N355" s="3091"/>
      <c r="O355" s="3092"/>
      <c r="P355" s="604"/>
      <c r="Q355" s="2078"/>
      <c r="S355" s="3487"/>
    </row>
    <row r="356" spans="2:19" s="319" customFormat="1" ht="10.5" customHeight="1">
      <c r="B356" s="2086"/>
      <c r="C356" s="665"/>
      <c r="D356" s="666"/>
      <c r="E356" s="272"/>
      <c r="F356" s="283"/>
      <c r="G356" s="272"/>
      <c r="H356" s="283"/>
      <c r="I356" s="321"/>
      <c r="J356" s="272"/>
      <c r="K356" s="283"/>
      <c r="L356" s="272"/>
      <c r="M356" s="283"/>
      <c r="N356" s="272"/>
      <c r="O356" s="283"/>
      <c r="P356" s="273"/>
      <c r="Q356" s="2078"/>
      <c r="S356" s="3487"/>
    </row>
    <row r="357" spans="2:19" ht="14.25" customHeight="1">
      <c r="B357" s="2086"/>
      <c r="C357" s="2077"/>
      <c r="D357" s="2077"/>
      <c r="E357" s="2077"/>
      <c r="F357" s="2077"/>
      <c r="G357" s="2077"/>
      <c r="H357" s="2077"/>
      <c r="I357" s="2077"/>
      <c r="J357" s="2077"/>
      <c r="K357" s="2077"/>
      <c r="L357" s="2077"/>
      <c r="M357" s="2077"/>
      <c r="N357" s="2077"/>
      <c r="O357" s="2077"/>
      <c r="P357" s="2077"/>
      <c r="Q357" s="2078"/>
      <c r="S357" s="3487"/>
    </row>
    <row r="358" spans="2:19" ht="6" customHeight="1">
      <c r="B358" s="2086"/>
      <c r="C358" s="258"/>
      <c r="D358" s="259"/>
      <c r="E358" s="260"/>
      <c r="F358" s="260"/>
      <c r="G358" s="260"/>
      <c r="H358" s="260"/>
      <c r="I358" s="260"/>
      <c r="J358" s="260"/>
      <c r="K358" s="260"/>
      <c r="L358" s="260"/>
      <c r="M358" s="260"/>
      <c r="N358" s="260"/>
      <c r="O358" s="260"/>
      <c r="P358" s="261"/>
      <c r="Q358" s="2078"/>
      <c r="S358" s="3487"/>
    </row>
    <row r="359" spans="2:19" ht="10.5" customHeight="1">
      <c r="B359" s="2086"/>
      <c r="C359" s="3213" t="s">
        <v>810</v>
      </c>
      <c r="D359" s="315"/>
      <c r="E359" s="85"/>
      <c r="F359" s="3179"/>
      <c r="G359" s="3179"/>
      <c r="H359" s="493"/>
      <c r="I359" s="55"/>
      <c r="J359" s="85"/>
      <c r="K359" s="85"/>
      <c r="L359" s="85"/>
      <c r="M359" s="3179"/>
      <c r="N359" s="3179"/>
      <c r="O359" s="493"/>
      <c r="P359" s="604"/>
      <c r="Q359" s="2078"/>
      <c r="S359" s="3487"/>
    </row>
    <row r="360" spans="2:19" ht="8.25" customHeight="1">
      <c r="B360" s="2086"/>
      <c r="C360" s="3213"/>
      <c r="D360" s="315"/>
      <c r="E360" s="85"/>
      <c r="F360" s="85"/>
      <c r="G360" s="85"/>
      <c r="H360" s="85"/>
      <c r="I360" s="55"/>
      <c r="J360" s="85"/>
      <c r="K360" s="85"/>
      <c r="L360" s="85"/>
      <c r="M360" s="85"/>
      <c r="N360" s="85"/>
      <c r="O360" s="85"/>
      <c r="P360" s="266"/>
      <c r="Q360" s="2078"/>
      <c r="S360" s="3487"/>
    </row>
    <row r="361" spans="2:19" ht="17.25" customHeight="1">
      <c r="B361" s="2123" t="str">
        <f>IF(OR(ISBLANK(F361),ISBLANK(H361),ISBLANK(K361),ISBLANK(M361),ISBLANK(O361))=FALSE,"","u")</f>
        <v>u</v>
      </c>
      <c r="C361" s="3213"/>
      <c r="D361" s="315"/>
      <c r="E361" s="645" t="s">
        <v>101</v>
      </c>
      <c r="F361" s="566"/>
      <c r="G361" s="645" t="s">
        <v>102</v>
      </c>
      <c r="H361" s="566"/>
      <c r="I361" s="55"/>
      <c r="J361" s="645" t="s">
        <v>103</v>
      </c>
      <c r="K361" s="566"/>
      <c r="L361" s="645" t="s">
        <v>104</v>
      </c>
      <c r="M361" s="566"/>
      <c r="N361" s="645" t="s">
        <v>105</v>
      </c>
      <c r="O361" s="566"/>
      <c r="P361" s="604"/>
      <c r="Q361" s="2078"/>
      <c r="S361" s="3487"/>
    </row>
    <row r="362" spans="2:19" s="319" customFormat="1" ht="11.25" customHeight="1">
      <c r="B362" s="2086"/>
      <c r="C362" s="317"/>
      <c r="D362" s="662"/>
      <c r="E362" s="645"/>
      <c r="F362" s="602"/>
      <c r="G362" s="645"/>
      <c r="H362" s="602"/>
      <c r="I362" s="318"/>
      <c r="J362" s="645"/>
      <c r="K362" s="602"/>
      <c r="L362" s="645"/>
      <c r="M362" s="602"/>
      <c r="N362" s="645"/>
      <c r="O362" s="602"/>
      <c r="P362" s="604"/>
      <c r="Q362" s="2078"/>
      <c r="S362" s="3487"/>
    </row>
    <row r="363" spans="2:19" s="319" customFormat="1" ht="17.25" customHeight="1">
      <c r="B363" s="2086"/>
      <c r="C363" s="317"/>
      <c r="D363" s="662"/>
      <c r="E363" s="645"/>
      <c r="F363" s="3179" t="s">
        <v>623</v>
      </c>
      <c r="G363" s="3280"/>
      <c r="H363" s="712">
        <f>F361+H361</f>
        <v>0</v>
      </c>
      <c r="I363" s="318"/>
      <c r="J363" s="645"/>
      <c r="K363" s="602"/>
      <c r="L363" s="645"/>
      <c r="M363" s="3179" t="s">
        <v>624</v>
      </c>
      <c r="N363" s="3280"/>
      <c r="O363" s="712">
        <f>K361+M361+O361</f>
        <v>0</v>
      </c>
      <c r="P363" s="604"/>
      <c r="Q363" s="2078"/>
      <c r="S363" s="3487"/>
    </row>
    <row r="364" spans="2:19" s="319" customFormat="1" ht="11.25" customHeight="1">
      <c r="B364" s="2086"/>
      <c r="C364" s="317"/>
      <c r="D364" s="662"/>
      <c r="E364" s="645"/>
      <c r="F364" s="602"/>
      <c r="G364" s="645"/>
      <c r="H364" s="602"/>
      <c r="I364" s="318"/>
      <c r="J364" s="645"/>
      <c r="K364" s="602"/>
      <c r="L364" s="645"/>
      <c r="M364" s="602"/>
      <c r="N364" s="645"/>
      <c r="O364" s="602"/>
      <c r="P364" s="604"/>
      <c r="Q364" s="2078"/>
      <c r="S364" s="3487"/>
    </row>
    <row r="365" spans="2:19" s="319" customFormat="1" ht="32.25" customHeight="1">
      <c r="B365" s="2086"/>
      <c r="C365" s="317"/>
      <c r="D365" s="662"/>
      <c r="E365" s="320" t="s">
        <v>625</v>
      </c>
      <c r="F365" s="711">
        <f>F361+H361+K361+M361+O361</f>
        <v>0</v>
      </c>
      <c r="G365" s="3291" t="s">
        <v>539</v>
      </c>
      <c r="H365" s="3179"/>
      <c r="I365" s="3090"/>
      <c r="J365" s="3091"/>
      <c r="K365" s="3091"/>
      <c r="L365" s="3091"/>
      <c r="M365" s="3091"/>
      <c r="N365" s="3091"/>
      <c r="O365" s="3092"/>
      <c r="P365" s="604"/>
      <c r="Q365" s="2078"/>
      <c r="S365" s="3487"/>
    </row>
    <row r="366" spans="2:19" ht="12" customHeight="1">
      <c r="B366" s="2086"/>
      <c r="C366" s="276"/>
      <c r="D366" s="277"/>
      <c r="E366" s="272"/>
      <c r="F366" s="283"/>
      <c r="G366" s="272"/>
      <c r="H366" s="283"/>
      <c r="I366" s="271"/>
      <c r="J366" s="272"/>
      <c r="K366" s="283"/>
      <c r="L366" s="272"/>
      <c r="M366" s="283"/>
      <c r="N366" s="272"/>
      <c r="O366" s="283"/>
      <c r="P366" s="273"/>
      <c r="Q366" s="2078"/>
      <c r="S366" s="3487"/>
    </row>
    <row r="367" spans="2:19" ht="15.75" customHeight="1">
      <c r="B367" s="2086"/>
      <c r="C367" s="2129"/>
      <c r="D367" s="2077"/>
      <c r="E367" s="2077"/>
      <c r="F367" s="2077"/>
      <c r="G367" s="2077"/>
      <c r="H367" s="2077"/>
      <c r="I367" s="2077"/>
      <c r="J367" s="2077"/>
      <c r="K367" s="2077"/>
      <c r="L367" s="2077"/>
      <c r="M367" s="2077"/>
      <c r="N367" s="2077"/>
      <c r="O367" s="2077"/>
      <c r="P367" s="2077"/>
      <c r="Q367" s="2078"/>
      <c r="S367" s="3487"/>
    </row>
    <row r="368" spans="2:19" ht="17.25" customHeight="1">
      <c r="B368" s="2086"/>
      <c r="C368" s="2116" t="s">
        <v>567</v>
      </c>
      <c r="D368" s="2077"/>
      <c r="E368" s="2077"/>
      <c r="F368" s="2077"/>
      <c r="G368" s="2077"/>
      <c r="H368" s="2077"/>
      <c r="I368" s="2406" t="str">
        <f>IF((OR(ISBLANK(F625),ISBLANK(F630))=FALSE),"Complété","À compléter")</f>
        <v>À compléter</v>
      </c>
      <c r="J368" s="2406" t="str">
        <f>IF((OR(ISBLANK(F625),ISBLANK(F630),ISBLANK(K625),ISBLANK(K630))=FALSE),"Complété","À compléter")</f>
        <v>À compléter</v>
      </c>
      <c r="K368" s="2077"/>
      <c r="L368" s="2077"/>
      <c r="M368" s="2077"/>
      <c r="N368" s="2077"/>
      <c r="O368" s="2077"/>
      <c r="P368" s="2077"/>
      <c r="Q368" s="2078"/>
      <c r="S368" s="3487"/>
    </row>
    <row r="369" spans="1:19" ht="18" customHeight="1">
      <c r="B369" s="2086"/>
      <c r="C369" s="1938"/>
      <c r="D369" s="2131"/>
      <c r="E369" s="3743" t="s">
        <v>568</v>
      </c>
      <c r="F369" s="3743"/>
      <c r="G369" s="3743"/>
      <c r="H369" s="3744"/>
      <c r="I369" s="353" t="str">
        <f>IF($M$73='MENU DÉROULANT'!$C$66,I368,J368)</f>
        <v>À compléter</v>
      </c>
      <c r="J369" s="3727" t="s">
        <v>3454</v>
      </c>
      <c r="K369" s="3727"/>
      <c r="L369" s="3727"/>
      <c r="M369" s="3727"/>
      <c r="N369" s="3727"/>
      <c r="O369" s="3727"/>
      <c r="P369" s="3727"/>
      <c r="Q369" s="2078"/>
      <c r="S369" s="3487"/>
    </row>
    <row r="370" spans="1:19" ht="6.75" customHeight="1">
      <c r="B370" s="2086"/>
      <c r="C370" s="2077"/>
      <c r="D370" s="2131"/>
      <c r="E370" s="2131"/>
      <c r="F370" s="2131"/>
      <c r="G370" s="2131"/>
      <c r="H370" s="2131"/>
      <c r="I370" s="2077"/>
      <c r="J370" s="2132"/>
      <c r="K370" s="2132"/>
      <c r="L370" s="2132"/>
      <c r="M370" s="2132"/>
      <c r="N370" s="2132"/>
      <c r="O370" s="2132"/>
      <c r="P370" s="2132"/>
      <c r="Q370" s="2078"/>
      <c r="S370" s="3487"/>
    </row>
    <row r="371" spans="1:19" ht="18" customHeight="1">
      <c r="B371" s="2086"/>
      <c r="C371" s="2077"/>
      <c r="D371" s="3743" t="s">
        <v>569</v>
      </c>
      <c r="E371" s="3743"/>
      <c r="F371" s="3743"/>
      <c r="G371" s="3743"/>
      <c r="H371" s="3744"/>
      <c r="I371" s="353" t="str">
        <f>IF($M$73='MENU DÉROULANT'!$C$66,I372,J372)</f>
        <v>À compléter</v>
      </c>
      <c r="J371" s="3727" t="s">
        <v>3455</v>
      </c>
      <c r="K371" s="3727"/>
      <c r="L371" s="3727"/>
      <c r="M371" s="3727"/>
      <c r="N371" s="3727"/>
      <c r="O371" s="3727"/>
      <c r="P371" s="3727"/>
      <c r="Q371" s="2078"/>
      <c r="S371" s="3487"/>
    </row>
    <row r="372" spans="1:19" ht="22.5" customHeight="1" thickBot="1">
      <c r="B372" s="2087"/>
      <c r="C372" s="2092"/>
      <c r="D372" s="2092"/>
      <c r="E372" s="2092"/>
      <c r="F372" s="2092"/>
      <c r="G372" s="2092"/>
      <c r="H372" s="2092"/>
      <c r="I372" s="2407" t="str">
        <f>IF((OR(ISBLANK(F685),ISBLANK(F689))=FALSE),"Complété","À compléter")</f>
        <v>À compléter</v>
      </c>
      <c r="J372" s="2407" t="str">
        <f>IF((OR(ISBLANK(F685),ISBLANK(F689),ISBLANK(K685),ISBLANK(K689))=FALSE),"Complété","À compléter")</f>
        <v>À compléter</v>
      </c>
      <c r="K372" s="2092"/>
      <c r="L372" s="2092"/>
      <c r="M372" s="2092"/>
      <c r="N372" s="2092"/>
      <c r="O372" s="2092"/>
      <c r="P372" s="2092"/>
      <c r="Q372" s="2093"/>
      <c r="S372" s="3487"/>
    </row>
    <row r="373" spans="1:19" ht="9.75" customHeight="1" thickBot="1">
      <c r="B373" s="683"/>
      <c r="S373" s="3487"/>
    </row>
    <row r="374" spans="1:19" ht="8.25" customHeight="1">
      <c r="B374" s="2098"/>
      <c r="C374" s="2099"/>
      <c r="D374" s="2099"/>
      <c r="E374" s="2100"/>
      <c r="F374" s="2101"/>
      <c r="G374" s="2101"/>
      <c r="H374" s="2101"/>
      <c r="I374" s="2101"/>
      <c r="J374" s="2101"/>
      <c r="K374" s="2101"/>
      <c r="L374" s="2101"/>
      <c r="M374" s="2101"/>
      <c r="N374" s="2101"/>
      <c r="O374" s="2101"/>
      <c r="P374" s="2101"/>
      <c r="Q374" s="2102"/>
      <c r="S374" s="3487"/>
    </row>
    <row r="375" spans="1:19" ht="18" customHeight="1">
      <c r="A375" s="1187"/>
      <c r="B375" s="2103"/>
      <c r="C375" s="2104" t="s">
        <v>626</v>
      </c>
      <c r="D375" s="2104"/>
      <c r="E375" s="2105"/>
      <c r="F375" s="2143"/>
      <c r="G375" s="1938"/>
      <c r="H375" s="2143"/>
      <c r="I375" s="1938"/>
      <c r="J375" s="2143"/>
      <c r="K375" s="2106"/>
      <c r="L375" s="2405" t="str">
        <f>IF(COUNTIF(B407:B449,"u")=0,"Complété","À compléter")</f>
        <v>À compléter</v>
      </c>
      <c r="M375" s="2405" t="str">
        <f>IF(COUNTIF(B407:B494,"u")=0,"Complété","À compléter")</f>
        <v>À compléter</v>
      </c>
      <c r="N375" s="2126" t="s">
        <v>219</v>
      </c>
      <c r="O375" s="353" t="str">
        <f>IF($M$73='MENU DÉROULANT'!$C$66,'FORMULAIRE PGA Eaux pluviales'!L375,'FORMULAIRE PGA Eaux pluviales'!M375)</f>
        <v>À compléter</v>
      </c>
      <c r="P375" s="2106"/>
      <c r="Q375" s="2107"/>
      <c r="S375" s="3487"/>
    </row>
    <row r="376" spans="1:19" ht="6.75" customHeight="1">
      <c r="B376" s="2103"/>
      <c r="C376" s="2105"/>
      <c r="D376" s="2105"/>
      <c r="E376" s="2105"/>
      <c r="F376" s="2106"/>
      <c r="G376" s="2106"/>
      <c r="H376" s="2106"/>
      <c r="I376" s="2106"/>
      <c r="J376" s="2106"/>
      <c r="K376" s="2106"/>
      <c r="L376" s="2106"/>
      <c r="M376" s="2106"/>
      <c r="N376" s="2106"/>
      <c r="O376" s="2106"/>
      <c r="P376" s="2106"/>
      <c r="Q376" s="2107"/>
      <c r="S376" s="3487"/>
    </row>
    <row r="377" spans="1:19" ht="17.25" customHeight="1">
      <c r="B377" s="2125"/>
      <c r="C377" s="3728" t="s">
        <v>531</v>
      </c>
      <c r="D377" s="3728"/>
      <c r="E377" s="3728"/>
      <c r="F377" s="3728"/>
      <c r="G377" s="3728"/>
      <c r="H377" s="3728"/>
      <c r="I377" s="3728"/>
      <c r="J377" s="3728"/>
      <c r="K377" s="3728"/>
      <c r="L377" s="3728"/>
      <c r="M377" s="3728"/>
      <c r="N377" s="1938"/>
      <c r="O377" s="1938"/>
      <c r="P377" s="1938"/>
      <c r="Q377" s="2128"/>
      <c r="S377" s="3487"/>
    </row>
    <row r="378" spans="1:19" ht="11.25" customHeight="1">
      <c r="B378" s="2125"/>
      <c r="C378" s="2127"/>
      <c r="D378" s="2127"/>
      <c r="E378" s="2127"/>
      <c r="F378" s="1938"/>
      <c r="G378" s="1938"/>
      <c r="H378" s="1938"/>
      <c r="I378" s="1938"/>
      <c r="J378" s="1938"/>
      <c r="K378" s="1938"/>
      <c r="L378" s="1938"/>
      <c r="M378" s="1938"/>
      <c r="N378" s="1938"/>
      <c r="O378" s="1938"/>
      <c r="P378" s="1938"/>
      <c r="Q378" s="2128"/>
      <c r="S378" s="3487"/>
    </row>
    <row r="379" spans="1:19" ht="17.25" customHeight="1">
      <c r="B379" s="2086"/>
      <c r="C379" s="2144" t="s">
        <v>627</v>
      </c>
      <c r="D379" s="2109"/>
      <c r="E379" s="2077"/>
      <c r="F379" s="2077"/>
      <c r="G379" s="1938"/>
      <c r="H379" s="1938" t="s">
        <v>628</v>
      </c>
      <c r="I379" s="2077"/>
      <c r="J379" s="2077"/>
      <c r="K379" s="2077"/>
      <c r="L379" s="2077"/>
      <c r="M379" s="2077"/>
      <c r="N379" s="2077"/>
      <c r="O379" s="2077"/>
      <c r="P379" s="2077"/>
      <c r="Q379" s="2078"/>
      <c r="S379" s="3487"/>
    </row>
    <row r="380" spans="1:19" ht="25.5" customHeight="1">
      <c r="B380" s="2086"/>
      <c r="C380" s="2116"/>
      <c r="D380" s="2109"/>
      <c r="E380" s="2077"/>
      <c r="F380" s="2077"/>
      <c r="G380" s="1938"/>
      <c r="H380" s="2145" t="s">
        <v>817</v>
      </c>
      <c r="I380" s="2077"/>
      <c r="J380" s="2077"/>
      <c r="K380" s="2077"/>
      <c r="L380" s="2077"/>
      <c r="M380" s="2077"/>
      <c r="N380" s="2077"/>
      <c r="O380" s="2077"/>
      <c r="P380" s="2077"/>
      <c r="Q380" s="2078"/>
      <c r="S380" s="3487"/>
    </row>
    <row r="381" spans="1:19" ht="16.5" customHeight="1">
      <c r="B381" s="2086"/>
      <c r="C381" s="2139" t="s">
        <v>629</v>
      </c>
      <c r="D381" s="2110"/>
      <c r="E381" s="2077"/>
      <c r="F381" s="2077"/>
      <c r="G381" s="2077"/>
      <c r="H381" s="2077"/>
      <c r="I381" s="2077"/>
      <c r="J381" s="2077"/>
      <c r="K381" s="2077"/>
      <c r="L381" s="2077"/>
      <c r="M381" s="2077"/>
      <c r="N381" s="2077"/>
      <c r="O381" s="2077"/>
      <c r="P381" s="2077"/>
      <c r="Q381" s="2078"/>
      <c r="S381" s="3487"/>
    </row>
    <row r="382" spans="1:19" ht="18.75" customHeight="1">
      <c r="B382" s="2086"/>
      <c r="C382" s="2146" t="s">
        <v>630</v>
      </c>
      <c r="D382" s="2110"/>
      <c r="E382" s="2077"/>
      <c r="F382" s="2077"/>
      <c r="G382" s="2077"/>
      <c r="H382" s="2077"/>
      <c r="I382" s="2077"/>
      <c r="J382" s="2077"/>
      <c r="K382" s="2077"/>
      <c r="L382" s="2077"/>
      <c r="M382" s="2077"/>
      <c r="N382" s="2077"/>
      <c r="O382" s="2077"/>
      <c r="P382" s="2077"/>
      <c r="Q382" s="2078"/>
      <c r="S382" s="3487"/>
    </row>
    <row r="383" spans="1:19" ht="17.25" customHeight="1">
      <c r="B383" s="2086"/>
      <c r="C383" s="2147"/>
      <c r="D383" s="2110"/>
      <c r="E383" s="2077"/>
      <c r="F383" s="2077"/>
      <c r="G383" s="2077"/>
      <c r="H383" s="2077"/>
      <c r="I383" s="2077"/>
      <c r="J383" s="2077"/>
      <c r="K383" s="2077"/>
      <c r="L383" s="2077"/>
      <c r="M383" s="2077"/>
      <c r="N383" s="2077"/>
      <c r="O383" s="2077"/>
      <c r="P383" s="2077"/>
      <c r="Q383" s="2078"/>
      <c r="S383" s="3487"/>
    </row>
    <row r="384" spans="1:19" ht="12" customHeight="1">
      <c r="B384" s="2086"/>
      <c r="C384" s="322"/>
      <c r="D384" s="323"/>
      <c r="E384" s="260"/>
      <c r="F384" s="260"/>
      <c r="G384" s="260"/>
      <c r="H384" s="260"/>
      <c r="I384" s="260"/>
      <c r="J384" s="260"/>
      <c r="K384" s="260"/>
      <c r="L384" s="260"/>
      <c r="M384" s="260"/>
      <c r="N384" s="260"/>
      <c r="O384" s="260"/>
      <c r="P384" s="261"/>
      <c r="Q384" s="2078"/>
      <c r="S384" s="3487"/>
    </row>
    <row r="385" spans="2:19" ht="20.25" customHeight="1">
      <c r="B385" s="2086"/>
      <c r="C385" s="600" t="s">
        <v>631</v>
      </c>
      <c r="D385" s="488"/>
      <c r="E385" s="488"/>
      <c r="F385" s="488"/>
      <c r="G385" s="488"/>
      <c r="H385" s="488"/>
      <c r="I385" s="488"/>
      <c r="J385" s="488"/>
      <c r="K385" s="488"/>
      <c r="L385" s="488"/>
      <c r="M385" s="488"/>
      <c r="N385" s="488"/>
      <c r="O385" s="488"/>
      <c r="P385" s="266"/>
      <c r="Q385" s="2078"/>
      <c r="S385" s="3487"/>
    </row>
    <row r="386" spans="2:19" ht="20.25" customHeight="1">
      <c r="B386" s="2086"/>
      <c r="C386" s="490" t="s">
        <v>632</v>
      </c>
      <c r="D386" s="599" t="s">
        <v>2289</v>
      </c>
      <c r="E386" s="488"/>
      <c r="F386" s="488"/>
      <c r="G386" s="488"/>
      <c r="H386" s="488"/>
      <c r="I386" s="488"/>
      <c r="J386" s="488"/>
      <c r="K386" s="488"/>
      <c r="L386" s="488"/>
      <c r="M386" s="488"/>
      <c r="N386" s="488"/>
      <c r="O386" s="488"/>
      <c r="P386" s="266"/>
      <c r="Q386" s="2078"/>
      <c r="S386" s="3487"/>
    </row>
    <row r="387" spans="2:19" ht="20.25" customHeight="1">
      <c r="B387" s="2086"/>
      <c r="C387" s="490" t="s">
        <v>632</v>
      </c>
      <c r="D387" s="599" t="s">
        <v>3467</v>
      </c>
      <c r="E387" s="488"/>
      <c r="F387" s="488"/>
      <c r="G387" s="488"/>
      <c r="H387" s="488"/>
      <c r="I387" s="488"/>
      <c r="J387" s="488"/>
      <c r="K387" s="488"/>
      <c r="L387" s="488"/>
      <c r="M387" s="488"/>
      <c r="N387" s="488"/>
      <c r="O387" s="488"/>
      <c r="P387" s="266"/>
      <c r="Q387" s="2078"/>
      <c r="S387" s="3487"/>
    </row>
    <row r="388" spans="2:19" ht="15.75" customHeight="1">
      <c r="B388" s="2086"/>
      <c r="C388" s="490"/>
      <c r="D388" s="489" t="s">
        <v>633</v>
      </c>
      <c r="E388" s="488"/>
      <c r="F388" s="488"/>
      <c r="G388" s="488"/>
      <c r="H388" s="488"/>
      <c r="I388" s="488"/>
      <c r="J388" s="488"/>
      <c r="K388" s="488"/>
      <c r="L388" s="488"/>
      <c r="M388" s="488"/>
      <c r="N388" s="488"/>
      <c r="O388" s="488"/>
      <c r="P388" s="266"/>
      <c r="Q388" s="2078"/>
      <c r="S388" s="3487"/>
    </row>
    <row r="389" spans="2:19" ht="7.5" customHeight="1">
      <c r="B389" s="2086"/>
      <c r="C389" s="490"/>
      <c r="D389" s="489"/>
      <c r="E389" s="488"/>
      <c r="F389" s="488"/>
      <c r="G389" s="488"/>
      <c r="H389" s="488"/>
      <c r="I389" s="488"/>
      <c r="J389" s="488"/>
      <c r="K389" s="488"/>
      <c r="L389" s="488"/>
      <c r="M389" s="488"/>
      <c r="N389" s="488"/>
      <c r="O389" s="488"/>
      <c r="P389" s="266"/>
      <c r="Q389" s="2078"/>
      <c r="S389" s="3487"/>
    </row>
    <row r="390" spans="2:19" ht="15" customHeight="1">
      <c r="B390" s="2086"/>
      <c r="C390" s="104"/>
      <c r="D390" s="671" t="s">
        <v>634</v>
      </c>
      <c r="E390" s="488"/>
      <c r="F390" s="488"/>
      <c r="G390" s="488"/>
      <c r="H390" s="488"/>
      <c r="I390" s="488"/>
      <c r="J390" s="488"/>
      <c r="K390" s="488"/>
      <c r="L390" s="488"/>
      <c r="M390" s="488"/>
      <c r="N390" s="488"/>
      <c r="O390" s="488"/>
      <c r="P390" s="266"/>
      <c r="Q390" s="2078"/>
      <c r="S390" s="3487"/>
    </row>
    <row r="391" spans="2:19" ht="20.25" customHeight="1">
      <c r="B391" s="2086"/>
      <c r="C391" s="104"/>
      <c r="D391" s="671" t="s">
        <v>635</v>
      </c>
      <c r="E391" s="488"/>
      <c r="F391" s="488"/>
      <c r="G391" s="488"/>
      <c r="H391" s="488"/>
      <c r="I391" s="488"/>
      <c r="J391" s="488"/>
      <c r="K391" s="488"/>
      <c r="L391" s="488"/>
      <c r="M391" s="488"/>
      <c r="N391" s="488"/>
      <c r="O391" s="488"/>
      <c r="P391" s="266"/>
      <c r="Q391" s="2078"/>
      <c r="S391" s="3487"/>
    </row>
    <row r="392" spans="2:19" ht="18.75" customHeight="1">
      <c r="B392" s="2086"/>
      <c r="C392" s="104"/>
      <c r="D392" s="669" t="s">
        <v>632</v>
      </c>
      <c r="E392" s="618" t="s">
        <v>636</v>
      </c>
      <c r="F392" s="488"/>
      <c r="G392" s="488"/>
      <c r="H392" s="488"/>
      <c r="I392" s="488"/>
      <c r="J392" s="488"/>
      <c r="K392" s="488"/>
      <c r="L392" s="488"/>
      <c r="M392" s="488"/>
      <c r="N392" s="488"/>
      <c r="O392" s="488"/>
      <c r="P392" s="266"/>
      <c r="Q392" s="2078"/>
      <c r="S392" s="3487"/>
    </row>
    <row r="393" spans="2:19" ht="18.75" customHeight="1">
      <c r="B393" s="2086"/>
      <c r="C393" s="104"/>
      <c r="D393" s="670"/>
      <c r="E393" s="489" t="s">
        <v>637</v>
      </c>
      <c r="F393" s="488"/>
      <c r="G393" s="488"/>
      <c r="H393" s="488"/>
      <c r="I393" s="488"/>
      <c r="J393" s="488"/>
      <c r="K393" s="488"/>
      <c r="L393" s="488"/>
      <c r="M393" s="488"/>
      <c r="N393" s="488"/>
      <c r="O393" s="488"/>
      <c r="P393" s="266"/>
      <c r="Q393" s="2078"/>
      <c r="S393" s="3487"/>
    </row>
    <row r="394" spans="2:19" ht="18.75" customHeight="1">
      <c r="B394" s="2086"/>
      <c r="C394" s="104"/>
      <c r="D394" s="670" t="s">
        <v>632</v>
      </c>
      <c r="E394" s="491" t="s">
        <v>638</v>
      </c>
      <c r="F394" s="488"/>
      <c r="G394" s="488"/>
      <c r="H394" s="488"/>
      <c r="I394" s="488"/>
      <c r="J394" s="488"/>
      <c r="K394" s="488"/>
      <c r="L394" s="488"/>
      <c r="M394" s="488"/>
      <c r="N394" s="488"/>
      <c r="O394" s="488"/>
      <c r="P394" s="266"/>
      <c r="Q394" s="2078"/>
      <c r="S394" s="3487"/>
    </row>
    <row r="395" spans="2:19" ht="18.75" customHeight="1">
      <c r="B395" s="2086"/>
      <c r="C395" s="104"/>
      <c r="D395" s="670" t="s">
        <v>632</v>
      </c>
      <c r="E395" s="491" t="s">
        <v>639</v>
      </c>
      <c r="F395" s="488"/>
      <c r="G395" s="488"/>
      <c r="H395" s="488"/>
      <c r="I395" s="488"/>
      <c r="J395" s="488"/>
      <c r="K395" s="488"/>
      <c r="L395" s="488"/>
      <c r="M395" s="488"/>
      <c r="N395" s="488"/>
      <c r="O395" s="488"/>
      <c r="P395" s="266"/>
      <c r="Q395" s="2078"/>
      <c r="S395" s="3487"/>
    </row>
    <row r="396" spans="2:19" ht="9" customHeight="1">
      <c r="B396" s="2086"/>
      <c r="C396" s="104"/>
      <c r="D396" s="670"/>
      <c r="E396" s="491"/>
      <c r="F396" s="488"/>
      <c r="G396" s="488"/>
      <c r="H396" s="488"/>
      <c r="I396" s="488"/>
      <c r="J396" s="488"/>
      <c r="K396" s="488"/>
      <c r="L396" s="488"/>
      <c r="M396" s="488"/>
      <c r="N396" s="488"/>
      <c r="O396" s="488"/>
      <c r="P396" s="266"/>
      <c r="Q396" s="2078"/>
      <c r="S396" s="3487"/>
    </row>
    <row r="397" spans="2:19" ht="20.25" customHeight="1">
      <c r="B397" s="2086"/>
      <c r="C397" s="600" t="s">
        <v>640</v>
      </c>
      <c r="D397" s="488"/>
      <c r="E397" s="488"/>
      <c r="F397" s="488"/>
      <c r="G397" s="488"/>
      <c r="H397" s="488"/>
      <c r="I397" s="488"/>
      <c r="J397" s="488"/>
      <c r="K397" s="488"/>
      <c r="L397" s="488"/>
      <c r="M397" s="488"/>
      <c r="N397" s="488"/>
      <c r="O397" s="488"/>
      <c r="P397" s="266"/>
      <c r="Q397" s="2078"/>
      <c r="S397" s="3487"/>
    </row>
    <row r="398" spans="2:19" ht="20.25" customHeight="1">
      <c r="B398" s="2086"/>
      <c r="C398" s="490" t="s">
        <v>632</v>
      </c>
      <c r="D398" s="599" t="s">
        <v>641</v>
      </c>
      <c r="E398" s="488"/>
      <c r="F398" s="488"/>
      <c r="G398" s="488"/>
      <c r="H398" s="488"/>
      <c r="I398" s="488"/>
      <c r="J398" s="488"/>
      <c r="K398" s="488"/>
      <c r="L398" s="488"/>
      <c r="M398" s="488"/>
      <c r="N398" s="488"/>
      <c r="O398" s="488"/>
      <c r="P398" s="266"/>
      <c r="Q398" s="2078"/>
      <c r="S398" s="3487"/>
    </row>
    <row r="399" spans="2:19" ht="6" customHeight="1">
      <c r="B399" s="2086"/>
      <c r="C399" s="490"/>
      <c r="D399" s="491"/>
      <c r="E399" s="488"/>
      <c r="F399" s="488"/>
      <c r="G399" s="488"/>
      <c r="H399" s="488"/>
      <c r="I399" s="488"/>
      <c r="J399" s="488"/>
      <c r="K399" s="488"/>
      <c r="L399" s="488"/>
      <c r="M399" s="488"/>
      <c r="N399" s="488"/>
      <c r="O399" s="488"/>
      <c r="P399" s="266"/>
      <c r="Q399" s="2078"/>
      <c r="S399" s="3487"/>
    </row>
    <row r="400" spans="2:19" ht="26.25" customHeight="1">
      <c r="B400" s="2086"/>
      <c r="C400" s="916" t="s">
        <v>642</v>
      </c>
      <c r="D400" s="489"/>
      <c r="E400" s="488"/>
      <c r="F400" s="488"/>
      <c r="G400" s="488"/>
      <c r="H400" s="488"/>
      <c r="I400" s="488"/>
      <c r="J400" s="488"/>
      <c r="K400" s="488"/>
      <c r="L400" s="488"/>
      <c r="M400" s="488"/>
      <c r="N400" s="488"/>
      <c r="O400" s="488"/>
      <c r="P400" s="266"/>
      <c r="Q400" s="2078"/>
      <c r="S400" s="3487"/>
    </row>
    <row r="401" spans="2:34" ht="21.75" customHeight="1">
      <c r="B401" s="2086"/>
      <c r="C401" s="757" t="s">
        <v>643</v>
      </c>
      <c r="D401" s="489"/>
      <c r="E401" s="488"/>
      <c r="F401" s="488"/>
      <c r="G401" s="488"/>
      <c r="H401" s="488"/>
      <c r="I401" s="488"/>
      <c r="J401" s="488"/>
      <c r="K401" s="488"/>
      <c r="L401" s="488"/>
      <c r="M401" s="488"/>
      <c r="N401" s="488"/>
      <c r="O401" s="488"/>
      <c r="P401" s="266"/>
      <c r="Q401" s="2078"/>
      <c r="S401" s="3487"/>
    </row>
    <row r="402" spans="2:34" ht="16.5" customHeight="1">
      <c r="B402" s="2086"/>
      <c r="C402" s="917" t="s">
        <v>644</v>
      </c>
      <c r="D402" s="489"/>
      <c r="E402" s="488"/>
      <c r="F402" s="488"/>
      <c r="G402" s="488"/>
      <c r="H402" s="488"/>
      <c r="I402" s="488"/>
      <c r="J402" s="488"/>
      <c r="K402" s="488"/>
      <c r="L402" s="488"/>
      <c r="M402" s="488"/>
      <c r="N402" s="488"/>
      <c r="O402" s="488"/>
      <c r="P402" s="266"/>
      <c r="Q402" s="2078"/>
      <c r="S402" s="3487"/>
    </row>
    <row r="403" spans="2:34" ht="23.25" customHeight="1">
      <c r="B403" s="2086"/>
      <c r="C403" s="918" t="s">
        <v>645</v>
      </c>
      <c r="D403" s="489"/>
      <c r="E403" s="488"/>
      <c r="F403" s="488"/>
      <c r="G403" s="488"/>
      <c r="H403" s="488"/>
      <c r="I403" s="488"/>
      <c r="J403" s="488"/>
      <c r="K403" s="488"/>
      <c r="L403" s="488"/>
      <c r="M403" s="488"/>
      <c r="N403" s="488"/>
      <c r="O403" s="488"/>
      <c r="P403" s="266"/>
      <c r="Q403" s="2078"/>
      <c r="S403" s="3487"/>
    </row>
    <row r="404" spans="2:34" ht="13.5" customHeight="1">
      <c r="B404" s="2086"/>
      <c r="C404" s="324"/>
      <c r="D404" s="325"/>
      <c r="E404" s="306"/>
      <c r="F404" s="306"/>
      <c r="G404" s="306"/>
      <c r="H404" s="306"/>
      <c r="I404" s="306"/>
      <c r="J404" s="306"/>
      <c r="K404" s="306"/>
      <c r="L404" s="306"/>
      <c r="M404" s="306"/>
      <c r="N404" s="306"/>
      <c r="O404" s="306"/>
      <c r="P404" s="307"/>
      <c r="Q404" s="2078"/>
      <c r="S404" s="3487"/>
    </row>
    <row r="405" spans="2:34" ht="16.5" customHeight="1">
      <c r="B405" s="2086"/>
      <c r="C405" s="3746"/>
      <c r="D405" s="3746"/>
      <c r="E405" s="3746"/>
      <c r="F405" s="3746"/>
      <c r="G405" s="3746"/>
      <c r="H405" s="2142"/>
      <c r="I405" s="2142"/>
      <c r="J405" s="3747"/>
      <c r="K405" s="3747"/>
      <c r="L405" s="2142"/>
      <c r="M405" s="3747"/>
      <c r="N405" s="3747"/>
      <c r="O405" s="2142"/>
      <c r="P405" s="2142"/>
      <c r="Q405" s="2078"/>
      <c r="S405" s="3487"/>
    </row>
    <row r="406" spans="2:34" ht="18" customHeight="1" thickBot="1">
      <c r="B406" s="2086"/>
      <c r="C406" s="2109"/>
      <c r="D406" s="2109"/>
      <c r="E406" s="2077"/>
      <c r="F406" s="2077"/>
      <c r="G406" s="2077"/>
      <c r="H406" s="2077"/>
      <c r="I406" s="2077"/>
      <c r="J406" s="2077"/>
      <c r="K406" s="2077"/>
      <c r="L406" s="2077"/>
      <c r="M406" s="2077"/>
      <c r="N406" s="2077"/>
      <c r="O406" s="2077"/>
      <c r="P406" s="2077"/>
      <c r="Q406" s="2078"/>
      <c r="S406" s="3487"/>
    </row>
    <row r="407" spans="2:34" ht="30" customHeight="1">
      <c r="B407" s="2086"/>
      <c r="C407" s="3214" t="s">
        <v>818</v>
      </c>
      <c r="D407" s="3215"/>
      <c r="E407" s="3215"/>
      <c r="F407" s="3216"/>
      <c r="G407" s="2134"/>
      <c r="H407" s="2134"/>
      <c r="I407" s="2134"/>
      <c r="J407" s="2134"/>
      <c r="K407" s="2134"/>
      <c r="L407" s="2134"/>
      <c r="M407" s="2134"/>
      <c r="N407" s="2134"/>
      <c r="O407" s="2135"/>
      <c r="P407" s="2134"/>
      <c r="Q407" s="2078"/>
      <c r="S407" s="3487"/>
    </row>
    <row r="408" spans="2:34" ht="3" customHeight="1" thickBot="1">
      <c r="B408" s="2086"/>
      <c r="C408" s="1064"/>
      <c r="D408" s="1063"/>
      <c r="E408" s="1063"/>
      <c r="F408" s="1065"/>
      <c r="G408" s="2092"/>
      <c r="H408" s="2092"/>
      <c r="I408" s="2092"/>
      <c r="J408" s="2092"/>
      <c r="K408" s="2092"/>
      <c r="L408" s="2092"/>
      <c r="M408" s="2092"/>
      <c r="N408" s="2092"/>
      <c r="O408" s="2092"/>
      <c r="P408" s="2092"/>
      <c r="Q408" s="2078"/>
      <c r="S408" s="3487"/>
    </row>
    <row r="409" spans="2:34" ht="19.5" customHeight="1">
      <c r="B409" s="2086"/>
      <c r="C409" s="3239" t="s">
        <v>647</v>
      </c>
      <c r="D409" s="3240"/>
      <c r="E409" s="3236" t="s">
        <v>648</v>
      </c>
      <c r="F409" s="3237"/>
      <c r="G409" s="3237"/>
      <c r="H409" s="3237"/>
      <c r="I409" s="3237"/>
      <c r="J409" s="3237"/>
      <c r="K409" s="3237"/>
      <c r="L409" s="3237"/>
      <c r="M409" s="3237"/>
      <c r="N409" s="3238"/>
      <c r="O409" s="3232" t="s">
        <v>649</v>
      </c>
      <c r="P409" s="3233"/>
      <c r="Q409" s="2078"/>
      <c r="S409" s="3487"/>
      <c r="T409" s="3358"/>
      <c r="U409" s="3359"/>
      <c r="V409" s="3359"/>
      <c r="W409" s="3359"/>
      <c r="X409" s="3359"/>
      <c r="Y409" s="3359"/>
      <c r="Z409" s="3359"/>
      <c r="AA409" s="3359"/>
      <c r="AB409" s="3359"/>
      <c r="AC409" s="3359"/>
      <c r="AD409" s="3359"/>
      <c r="AE409" s="3358"/>
      <c r="AF409" s="3358"/>
      <c r="AG409" s="3358"/>
      <c r="AH409" s="3358"/>
    </row>
    <row r="410" spans="2:34" ht="19.5" customHeight="1" thickBot="1">
      <c r="B410" s="2086"/>
      <c r="C410" s="3362"/>
      <c r="D410" s="3363"/>
      <c r="E410" s="481">
        <f>IF(E51="",0,E51)</f>
        <v>0</v>
      </c>
      <c r="F410" s="312">
        <f t="shared" ref="F410:N410" si="0">E410+1</f>
        <v>1</v>
      </c>
      <c r="G410" s="312">
        <f t="shared" si="0"/>
        <v>2</v>
      </c>
      <c r="H410" s="312">
        <f t="shared" si="0"/>
        <v>3</v>
      </c>
      <c r="I410" s="312">
        <f t="shared" si="0"/>
        <v>4</v>
      </c>
      <c r="J410" s="312">
        <f t="shared" si="0"/>
        <v>5</v>
      </c>
      <c r="K410" s="312">
        <f t="shared" si="0"/>
        <v>6</v>
      </c>
      <c r="L410" s="312">
        <f t="shared" si="0"/>
        <v>7</v>
      </c>
      <c r="M410" s="312">
        <f t="shared" si="0"/>
        <v>8</v>
      </c>
      <c r="N410" s="312">
        <f t="shared" si="0"/>
        <v>9</v>
      </c>
      <c r="O410" s="3342"/>
      <c r="P410" s="3360"/>
      <c r="Q410" s="2078"/>
      <c r="S410" s="3487"/>
      <c r="T410" s="3358"/>
      <c r="U410" s="326"/>
      <c r="V410" s="327"/>
      <c r="W410" s="327"/>
      <c r="X410" s="327"/>
      <c r="Y410" s="327"/>
      <c r="Z410" s="327"/>
      <c r="AA410" s="327"/>
      <c r="AB410" s="327"/>
      <c r="AC410" s="327"/>
      <c r="AD410" s="327"/>
      <c r="AE410" s="3358"/>
      <c r="AF410" s="3358"/>
      <c r="AG410" s="3358"/>
      <c r="AH410" s="3358"/>
    </row>
    <row r="411" spans="2:34" ht="22.5" customHeight="1" thickTop="1" thickBot="1">
      <c r="B411" s="2086"/>
      <c r="C411" s="1066" t="s">
        <v>477</v>
      </c>
      <c r="D411" s="744" t="s">
        <v>467</v>
      </c>
      <c r="E411" s="745">
        <f t="shared" ref="E411:N411" si="1">E412+E419</f>
        <v>0</v>
      </c>
      <c r="F411" s="746">
        <f t="shared" si="1"/>
        <v>0</v>
      </c>
      <c r="G411" s="746">
        <f t="shared" si="1"/>
        <v>0</v>
      </c>
      <c r="H411" s="746">
        <f t="shared" si="1"/>
        <v>0</v>
      </c>
      <c r="I411" s="746">
        <f t="shared" si="1"/>
        <v>0</v>
      </c>
      <c r="J411" s="746">
        <f t="shared" si="1"/>
        <v>0</v>
      </c>
      <c r="K411" s="746">
        <f t="shared" si="1"/>
        <v>0</v>
      </c>
      <c r="L411" s="746">
        <f t="shared" si="1"/>
        <v>0</v>
      </c>
      <c r="M411" s="746">
        <f t="shared" si="1"/>
        <v>0</v>
      </c>
      <c r="N411" s="747">
        <f t="shared" si="1"/>
        <v>0</v>
      </c>
      <c r="O411" s="3230">
        <f t="shared" ref="O411:O425" si="2">SUM(E411:N411)</f>
        <v>0</v>
      </c>
      <c r="P411" s="3231"/>
      <c r="Q411" s="2078"/>
      <c r="S411" s="3487"/>
      <c r="T411" s="662"/>
      <c r="U411" s="326"/>
      <c r="V411" s="327"/>
      <c r="W411" s="327"/>
      <c r="X411" s="327"/>
      <c r="Y411" s="327"/>
      <c r="Z411" s="327"/>
      <c r="AA411" s="327"/>
      <c r="AB411" s="327"/>
      <c r="AC411" s="327"/>
      <c r="AD411" s="327"/>
      <c r="AE411" s="662"/>
      <c r="AF411" s="662"/>
      <c r="AG411" s="662"/>
      <c r="AH411" s="662"/>
    </row>
    <row r="412" spans="2:34" ht="22.5" customHeight="1">
      <c r="B412" s="2086"/>
      <c r="C412" s="1069" t="s">
        <v>101</v>
      </c>
      <c r="D412" s="738" t="s">
        <v>650</v>
      </c>
      <c r="E412" s="739">
        <f>SUM(E413:E414)</f>
        <v>0</v>
      </c>
      <c r="F412" s="740">
        <f t="shared" ref="F412:N412" si="3">SUM(F413:F414)</f>
        <v>0</v>
      </c>
      <c r="G412" s="740">
        <f t="shared" si="3"/>
        <v>0</v>
      </c>
      <c r="H412" s="740">
        <f t="shared" si="3"/>
        <v>0</v>
      </c>
      <c r="I412" s="740">
        <f t="shared" si="3"/>
        <v>0</v>
      </c>
      <c r="J412" s="740">
        <f t="shared" si="3"/>
        <v>0</v>
      </c>
      <c r="K412" s="740">
        <f t="shared" si="3"/>
        <v>0</v>
      </c>
      <c r="L412" s="740">
        <f t="shared" si="3"/>
        <v>0</v>
      </c>
      <c r="M412" s="740">
        <f t="shared" si="3"/>
        <v>0</v>
      </c>
      <c r="N412" s="740">
        <f t="shared" si="3"/>
        <v>0</v>
      </c>
      <c r="O412" s="3274">
        <f t="shared" si="2"/>
        <v>0</v>
      </c>
      <c r="P412" s="3275"/>
      <c r="Q412" s="2078"/>
      <c r="S412" s="3487"/>
      <c r="T412" s="662"/>
      <c r="U412" s="326"/>
      <c r="V412" s="327"/>
      <c r="W412" s="327"/>
      <c r="X412" s="327"/>
      <c r="Y412" s="327"/>
      <c r="Z412" s="327"/>
      <c r="AA412" s="327"/>
      <c r="AB412" s="327"/>
      <c r="AC412" s="327"/>
      <c r="AD412" s="327"/>
      <c r="AE412" s="662"/>
      <c r="AF412" s="662"/>
      <c r="AG412" s="662"/>
      <c r="AH412" s="662"/>
    </row>
    <row r="413" spans="2:34" ht="18" customHeight="1">
      <c r="B413" s="2123" t="str">
        <f>IF(COUNTBLANK(E413:N413)&lt;10,"","u")</f>
        <v>u</v>
      </c>
      <c r="C413" s="1140" t="s">
        <v>2287</v>
      </c>
      <c r="D413" s="596"/>
      <c r="E413" s="594"/>
      <c r="F413" s="595"/>
      <c r="G413" s="595"/>
      <c r="H413" s="595"/>
      <c r="I413" s="595"/>
      <c r="J413" s="595"/>
      <c r="K413" s="595"/>
      <c r="L413" s="595"/>
      <c r="M413" s="595"/>
      <c r="N413" s="595"/>
      <c r="O413" s="3272">
        <f t="shared" si="2"/>
        <v>0</v>
      </c>
      <c r="P413" s="3273"/>
      <c r="Q413" s="2078"/>
      <c r="S413" s="3487"/>
      <c r="T413" s="328"/>
      <c r="U413" s="234"/>
      <c r="V413" s="234"/>
      <c r="W413" s="234"/>
      <c r="X413" s="234"/>
      <c r="Y413" s="234"/>
      <c r="Z413" s="234"/>
      <c r="AA413" s="234"/>
      <c r="AB413" s="234"/>
      <c r="AC413" s="234"/>
      <c r="AD413" s="234"/>
      <c r="AE413" s="234"/>
      <c r="AF413" s="234"/>
      <c r="AG413" s="234"/>
      <c r="AH413" s="234"/>
    </row>
    <row r="414" spans="2:34" ht="18" customHeight="1">
      <c r="B414" s="2123" t="str">
        <f>IF(COUNTBLANK(E414:N414)&lt;10,"","u")</f>
        <v>u</v>
      </c>
      <c r="C414" s="1068" t="s">
        <v>651</v>
      </c>
      <c r="D414" s="724" t="s">
        <v>237</v>
      </c>
      <c r="E414" s="725"/>
      <c r="F414" s="726"/>
      <c r="G414" s="726"/>
      <c r="H414" s="726"/>
      <c r="I414" s="726"/>
      <c r="J414" s="726"/>
      <c r="K414" s="726"/>
      <c r="L414" s="726"/>
      <c r="M414" s="726"/>
      <c r="N414" s="726"/>
      <c r="O414" s="3276">
        <f t="shared" si="2"/>
        <v>0</v>
      </c>
      <c r="P414" s="3277"/>
      <c r="Q414" s="2078"/>
      <c r="S414" s="3487"/>
      <c r="T414" s="328"/>
      <c r="U414" s="234"/>
      <c r="V414" s="234"/>
      <c r="W414" s="234"/>
      <c r="X414" s="234"/>
      <c r="Y414" s="234"/>
      <c r="Z414" s="234"/>
      <c r="AA414" s="234"/>
      <c r="AB414" s="234"/>
      <c r="AC414" s="234"/>
      <c r="AD414" s="234"/>
      <c r="AE414" s="234"/>
      <c r="AF414" s="234"/>
      <c r="AG414" s="234"/>
      <c r="AH414" s="234"/>
    </row>
    <row r="415" spans="2:34" ht="18" customHeight="1">
      <c r="B415" s="2123" t="str">
        <f>IF(COUNTBLANK(E415:N415)&lt;10,"","w")</f>
        <v>w</v>
      </c>
      <c r="C415" s="3201" t="s">
        <v>652</v>
      </c>
      <c r="D415" s="3202"/>
      <c r="E415" s="728"/>
      <c r="F415" s="729"/>
      <c r="G415" s="729"/>
      <c r="H415" s="729"/>
      <c r="I415" s="729"/>
      <c r="J415" s="729"/>
      <c r="K415" s="729"/>
      <c r="L415" s="729"/>
      <c r="M415" s="729"/>
      <c r="N415" s="730"/>
      <c r="O415" s="3228">
        <f t="shared" si="2"/>
        <v>0</v>
      </c>
      <c r="P415" s="3229"/>
      <c r="Q415" s="2078"/>
      <c r="S415" s="3487"/>
      <c r="T415" s="328"/>
      <c r="U415" s="234"/>
      <c r="V415" s="234"/>
      <c r="W415" s="234"/>
      <c r="X415" s="234"/>
      <c r="Y415" s="234"/>
      <c r="Z415" s="234"/>
      <c r="AA415" s="234"/>
      <c r="AB415" s="234"/>
      <c r="AC415" s="234"/>
      <c r="AD415" s="234"/>
      <c r="AE415" s="234"/>
      <c r="AF415" s="234"/>
      <c r="AG415" s="234"/>
      <c r="AH415" s="234"/>
    </row>
    <row r="416" spans="2:34" ht="18" customHeight="1">
      <c r="B416" s="2123" t="str">
        <f>IF(COUNTBLANK(E416:N416)&lt;10,"","w")</f>
        <v>w</v>
      </c>
      <c r="C416" s="3266" t="s">
        <v>653</v>
      </c>
      <c r="D416" s="3267"/>
      <c r="E416" s="716"/>
      <c r="F416" s="717"/>
      <c r="G416" s="717"/>
      <c r="H416" s="717"/>
      <c r="I416" s="717"/>
      <c r="J416" s="717"/>
      <c r="K416" s="717"/>
      <c r="L416" s="717"/>
      <c r="M416" s="717"/>
      <c r="N416" s="718"/>
      <c r="O416" s="3268">
        <f t="shared" si="2"/>
        <v>0</v>
      </c>
      <c r="P416" s="3269"/>
      <c r="Q416" s="2078"/>
      <c r="S416" s="3487"/>
    </row>
    <row r="417" spans="2:34" ht="18" customHeight="1">
      <c r="B417" s="2123" t="str">
        <f>IF(COUNTBLANK(E417:N417)&lt;10,"","w")</f>
        <v>w</v>
      </c>
      <c r="C417" s="3205" t="s">
        <v>654</v>
      </c>
      <c r="D417" s="3206"/>
      <c r="E417" s="735"/>
      <c r="F417" s="736"/>
      <c r="G417" s="736"/>
      <c r="H417" s="736"/>
      <c r="I417" s="736"/>
      <c r="J417" s="736"/>
      <c r="K417" s="736"/>
      <c r="L417" s="736"/>
      <c r="M417" s="736"/>
      <c r="N417" s="737"/>
      <c r="O417" s="3224">
        <f t="shared" si="2"/>
        <v>0</v>
      </c>
      <c r="P417" s="3225"/>
      <c r="Q417" s="2078"/>
      <c r="S417" s="3487"/>
    </row>
    <row r="418" spans="2:34" ht="18" customHeight="1" thickBot="1">
      <c r="B418" s="2123" t="str">
        <f>IF(COUNTBLANK(E418:N418)&lt;10,"","w")</f>
        <v>w</v>
      </c>
      <c r="C418" s="3203" t="s">
        <v>655</v>
      </c>
      <c r="D418" s="3204"/>
      <c r="E418" s="752"/>
      <c r="F418" s="753"/>
      <c r="G418" s="753"/>
      <c r="H418" s="753"/>
      <c r="I418" s="753"/>
      <c r="J418" s="753"/>
      <c r="K418" s="753"/>
      <c r="L418" s="753"/>
      <c r="M418" s="753"/>
      <c r="N418" s="754"/>
      <c r="O418" s="3364">
        <f t="shared" si="2"/>
        <v>0</v>
      </c>
      <c r="P418" s="3365"/>
      <c r="Q418" s="2078"/>
      <c r="S418" s="3487"/>
    </row>
    <row r="419" spans="2:34" ht="22.5" customHeight="1">
      <c r="B419" s="2086"/>
      <c r="C419" s="1067" t="s">
        <v>102</v>
      </c>
      <c r="D419" s="734" t="s">
        <v>650</v>
      </c>
      <c r="E419" s="732">
        <f>SUM(E420:E421)</f>
        <v>0</v>
      </c>
      <c r="F419" s="733">
        <f t="shared" ref="F419:N419" si="4">SUM(F420:F421)</f>
        <v>0</v>
      </c>
      <c r="G419" s="733">
        <f t="shared" si="4"/>
        <v>0</v>
      </c>
      <c r="H419" s="733">
        <f t="shared" si="4"/>
        <v>0</v>
      </c>
      <c r="I419" s="733">
        <f t="shared" si="4"/>
        <v>0</v>
      </c>
      <c r="J419" s="733">
        <f t="shared" si="4"/>
        <v>0</v>
      </c>
      <c r="K419" s="733">
        <f t="shared" si="4"/>
        <v>0</v>
      </c>
      <c r="L419" s="733">
        <f t="shared" si="4"/>
        <v>0</v>
      </c>
      <c r="M419" s="733">
        <f t="shared" si="4"/>
        <v>0</v>
      </c>
      <c r="N419" s="733">
        <f t="shared" si="4"/>
        <v>0</v>
      </c>
      <c r="O419" s="3174">
        <f t="shared" si="2"/>
        <v>0</v>
      </c>
      <c r="P419" s="3175"/>
      <c r="Q419" s="2078"/>
      <c r="S419" s="3487"/>
      <c r="T419" s="662"/>
      <c r="U419" s="326"/>
      <c r="V419" s="327"/>
      <c r="W419" s="327"/>
      <c r="X419" s="327"/>
      <c r="Y419" s="327"/>
      <c r="Z419" s="327"/>
      <c r="AA419" s="327"/>
      <c r="AB419" s="327"/>
      <c r="AC419" s="327"/>
      <c r="AD419" s="327"/>
      <c r="AE419" s="662"/>
      <c r="AF419" s="662"/>
      <c r="AG419" s="662"/>
      <c r="AH419" s="662"/>
    </row>
    <row r="420" spans="2:34" ht="18" customHeight="1">
      <c r="B420" s="2123" t="str">
        <f>IF(COUNTBLANK(E420:N420)&lt;10,"","u")</f>
        <v>u</v>
      </c>
      <c r="C420" s="1140" t="s">
        <v>2287</v>
      </c>
      <c r="D420" s="352"/>
      <c r="E420" s="570"/>
      <c r="F420" s="571"/>
      <c r="G420" s="571"/>
      <c r="H420" s="571"/>
      <c r="I420" s="571"/>
      <c r="J420" s="571"/>
      <c r="K420" s="571"/>
      <c r="L420" s="571"/>
      <c r="M420" s="571"/>
      <c r="N420" s="571"/>
      <c r="O420" s="3289">
        <f t="shared" si="2"/>
        <v>0</v>
      </c>
      <c r="P420" s="3290"/>
      <c r="Q420" s="2078"/>
      <c r="S420" s="3487"/>
      <c r="T420" s="328"/>
      <c r="U420" s="234"/>
      <c r="V420" s="234"/>
      <c r="W420" s="234"/>
      <c r="X420" s="234"/>
      <c r="Y420" s="234"/>
      <c r="Z420" s="234"/>
      <c r="AA420" s="234"/>
      <c r="AB420" s="234"/>
      <c r="AC420" s="234"/>
      <c r="AD420" s="234"/>
      <c r="AE420" s="234"/>
      <c r="AF420" s="234"/>
      <c r="AG420" s="234"/>
      <c r="AH420" s="234"/>
    </row>
    <row r="421" spans="2:34" ht="18" customHeight="1">
      <c r="B421" s="2123" t="str">
        <f>IF(COUNTBLANK(E421:N421)&lt;10,"","u")</f>
        <v>u</v>
      </c>
      <c r="C421" s="1144" t="s">
        <v>651</v>
      </c>
      <c r="D421" s="974" t="s">
        <v>237</v>
      </c>
      <c r="E421" s="973"/>
      <c r="F421" s="722"/>
      <c r="G421" s="722"/>
      <c r="H421" s="722"/>
      <c r="I421" s="722"/>
      <c r="J421" s="722"/>
      <c r="K421" s="722"/>
      <c r="L421" s="722"/>
      <c r="M421" s="722"/>
      <c r="N421" s="722"/>
      <c r="O421" s="3366">
        <f t="shared" si="2"/>
        <v>0</v>
      </c>
      <c r="P421" s="3367"/>
      <c r="Q421" s="2078"/>
      <c r="S421" s="3487"/>
      <c r="T421" s="328"/>
      <c r="U421" s="234"/>
      <c r="V421" s="234"/>
      <c r="W421" s="234"/>
      <c r="X421" s="234"/>
      <c r="Y421" s="234"/>
      <c r="Z421" s="234"/>
      <c r="AA421" s="234"/>
      <c r="AB421" s="234"/>
      <c r="AC421" s="234"/>
      <c r="AD421" s="234"/>
      <c r="AE421" s="234"/>
      <c r="AF421" s="234"/>
      <c r="AG421" s="234"/>
      <c r="AH421" s="234"/>
    </row>
    <row r="422" spans="2:34" ht="18" customHeight="1">
      <c r="B422" s="2123" t="str">
        <f>IF(COUNTBLANK(E422:N422)&lt;10,"","w")</f>
        <v>w</v>
      </c>
      <c r="C422" s="3282" t="s">
        <v>652</v>
      </c>
      <c r="D422" s="3283"/>
      <c r="E422" s="719"/>
      <c r="F422" s="720"/>
      <c r="G422" s="720"/>
      <c r="H422" s="720"/>
      <c r="I422" s="720"/>
      <c r="J422" s="720"/>
      <c r="K422" s="720"/>
      <c r="L422" s="720"/>
      <c r="M422" s="720"/>
      <c r="N422" s="721"/>
      <c r="O422" s="3246">
        <f t="shared" si="2"/>
        <v>0</v>
      </c>
      <c r="P422" s="3247"/>
      <c r="Q422" s="2078"/>
      <c r="S422" s="3487"/>
      <c r="T422" s="328"/>
      <c r="U422" s="234"/>
      <c r="V422" s="234"/>
      <c r="W422" s="234"/>
      <c r="X422" s="234"/>
      <c r="Y422" s="234"/>
      <c r="Z422" s="234"/>
      <c r="AA422" s="234"/>
      <c r="AB422" s="234"/>
      <c r="AC422" s="234"/>
      <c r="AD422" s="234"/>
      <c r="AE422" s="234"/>
      <c r="AF422" s="234"/>
      <c r="AG422" s="234"/>
      <c r="AH422" s="234"/>
    </row>
    <row r="423" spans="2:34" ht="18" customHeight="1">
      <c r="B423" s="2123" t="str">
        <f>IF(COUNTBLANK(E423:N423)&lt;10,"","w")</f>
        <v>w</v>
      </c>
      <c r="C423" s="3284" t="s">
        <v>653</v>
      </c>
      <c r="D423" s="3285"/>
      <c r="E423" s="716"/>
      <c r="F423" s="717"/>
      <c r="G423" s="717"/>
      <c r="H423" s="717"/>
      <c r="I423" s="717"/>
      <c r="J423" s="717"/>
      <c r="K423" s="717"/>
      <c r="L423" s="717"/>
      <c r="M423" s="717"/>
      <c r="N423" s="718"/>
      <c r="O423" s="3268">
        <f t="shared" si="2"/>
        <v>0</v>
      </c>
      <c r="P423" s="3269"/>
      <c r="Q423" s="2078"/>
      <c r="S423" s="3487"/>
    </row>
    <row r="424" spans="2:34" ht="18" customHeight="1">
      <c r="B424" s="2123" t="str">
        <f>IF(COUNTBLANK(E424:N424)&lt;10,"","w")</f>
        <v>w</v>
      </c>
      <c r="C424" s="3199" t="s">
        <v>654</v>
      </c>
      <c r="D424" s="3200"/>
      <c r="E424" s="735"/>
      <c r="F424" s="736"/>
      <c r="G424" s="736"/>
      <c r="H424" s="736"/>
      <c r="I424" s="736"/>
      <c r="J424" s="736"/>
      <c r="K424" s="736"/>
      <c r="L424" s="736"/>
      <c r="M424" s="736"/>
      <c r="N424" s="737"/>
      <c r="O424" s="3224">
        <f t="shared" si="2"/>
        <v>0</v>
      </c>
      <c r="P424" s="3225"/>
      <c r="Q424" s="2078"/>
      <c r="S424" s="3487"/>
    </row>
    <row r="425" spans="2:34" ht="18" customHeight="1" thickBot="1">
      <c r="B425" s="2123" t="str">
        <f>IF(COUNTBLANK(E425:N425)&lt;10,"","w")</f>
        <v>w</v>
      </c>
      <c r="C425" s="3199" t="s">
        <v>655</v>
      </c>
      <c r="D425" s="3200"/>
      <c r="E425" s="735"/>
      <c r="F425" s="736"/>
      <c r="G425" s="736"/>
      <c r="H425" s="736"/>
      <c r="I425" s="736"/>
      <c r="J425" s="736"/>
      <c r="K425" s="736"/>
      <c r="L425" s="736"/>
      <c r="M425" s="736"/>
      <c r="N425" s="737"/>
      <c r="O425" s="3224">
        <f t="shared" si="2"/>
        <v>0</v>
      </c>
      <c r="P425" s="3225"/>
      <c r="Q425" s="2078"/>
      <c r="S425" s="3487"/>
    </row>
    <row r="426" spans="2:34" ht="37.5" customHeight="1" thickBot="1">
      <c r="B426" s="2086"/>
      <c r="C426" s="3209" t="s">
        <v>539</v>
      </c>
      <c r="D426" s="3210"/>
      <c r="E426" s="3217"/>
      <c r="F426" s="3218"/>
      <c r="G426" s="3218"/>
      <c r="H426" s="3218"/>
      <c r="I426" s="3218"/>
      <c r="J426" s="3218"/>
      <c r="K426" s="3218"/>
      <c r="L426" s="3218"/>
      <c r="M426" s="3218"/>
      <c r="N426" s="3218"/>
      <c r="O426" s="3218"/>
      <c r="P426" s="3219"/>
      <c r="Q426" s="2078"/>
      <c r="S426" s="3487"/>
    </row>
    <row r="427" spans="2:34" ht="22.5" customHeight="1" thickBot="1">
      <c r="B427" s="2141"/>
      <c r="C427" s="1142" t="s">
        <v>482</v>
      </c>
      <c r="D427" s="1143" t="s">
        <v>467</v>
      </c>
      <c r="E427" s="1071">
        <f t="shared" ref="E427:N427" si="5">E428+E430+E429</f>
        <v>0</v>
      </c>
      <c r="F427" s="1072">
        <f t="shared" si="5"/>
        <v>0</v>
      </c>
      <c r="G427" s="1072">
        <f t="shared" si="5"/>
        <v>0</v>
      </c>
      <c r="H427" s="1072">
        <f t="shared" si="5"/>
        <v>0</v>
      </c>
      <c r="I427" s="1072">
        <f t="shared" si="5"/>
        <v>0</v>
      </c>
      <c r="J427" s="1072">
        <f t="shared" si="5"/>
        <v>0</v>
      </c>
      <c r="K427" s="1072">
        <f t="shared" si="5"/>
        <v>0</v>
      </c>
      <c r="L427" s="1072">
        <f t="shared" si="5"/>
        <v>0</v>
      </c>
      <c r="M427" s="1072">
        <f t="shared" si="5"/>
        <v>0</v>
      </c>
      <c r="N427" s="1073">
        <f t="shared" si="5"/>
        <v>0</v>
      </c>
      <c r="O427" s="3278">
        <f t="shared" ref="O427:O433" si="6">SUM(E427:N427)</f>
        <v>0</v>
      </c>
      <c r="P427" s="3279"/>
      <c r="Q427" s="2136"/>
      <c r="S427" s="3487"/>
      <c r="T427" s="328"/>
      <c r="U427" s="234"/>
      <c r="V427" s="234"/>
      <c r="W427" s="234"/>
      <c r="X427" s="234"/>
      <c r="Y427" s="234"/>
      <c r="Z427" s="234"/>
      <c r="AA427" s="234"/>
      <c r="AB427" s="234"/>
      <c r="AC427" s="234"/>
      <c r="AD427" s="234"/>
      <c r="AE427" s="234"/>
      <c r="AF427" s="234"/>
      <c r="AG427" s="234"/>
      <c r="AH427" s="234"/>
    </row>
    <row r="428" spans="2:34" ht="18" customHeight="1">
      <c r="B428" s="2123" t="str">
        <f>IF(COUNTBLANK(E428:N428)&lt;10,"","u")</f>
        <v>u</v>
      </c>
      <c r="C428" s="3211" t="s">
        <v>2287</v>
      </c>
      <c r="D428" s="3212"/>
      <c r="E428" s="1082"/>
      <c r="F428" s="1083"/>
      <c r="G428" s="1083"/>
      <c r="H428" s="1083"/>
      <c r="I428" s="1083"/>
      <c r="J428" s="1083"/>
      <c r="K428" s="1083"/>
      <c r="L428" s="1083"/>
      <c r="M428" s="1083"/>
      <c r="N428" s="1084"/>
      <c r="O428" s="3292">
        <f t="shared" si="6"/>
        <v>0</v>
      </c>
      <c r="P428" s="3293"/>
      <c r="Q428" s="2136"/>
      <c r="S428" s="3487"/>
      <c r="T428" s="328"/>
      <c r="U428" s="234"/>
      <c r="V428" s="234"/>
      <c r="W428" s="234"/>
      <c r="X428" s="234"/>
      <c r="Y428" s="234"/>
      <c r="Z428" s="234"/>
      <c r="AA428" s="234"/>
      <c r="AB428" s="234"/>
      <c r="AC428" s="234"/>
      <c r="AD428" s="234"/>
      <c r="AE428" s="234"/>
      <c r="AF428" s="234"/>
      <c r="AG428" s="234"/>
      <c r="AH428" s="234"/>
    </row>
    <row r="429" spans="2:34" ht="18" customHeight="1">
      <c r="B429" s="2123" t="str">
        <f>IF(COUNTBLANK(E429:N429)&lt;10,"","u")</f>
        <v>u</v>
      </c>
      <c r="C429" s="1138" t="s">
        <v>656</v>
      </c>
      <c r="D429" s="1139"/>
      <c r="E429" s="570"/>
      <c r="F429" s="571"/>
      <c r="G429" s="571"/>
      <c r="H429" s="571"/>
      <c r="I429" s="571"/>
      <c r="J429" s="571"/>
      <c r="K429" s="571"/>
      <c r="L429" s="571"/>
      <c r="M429" s="571"/>
      <c r="N429" s="572"/>
      <c r="O429" s="3289">
        <f t="shared" si="6"/>
        <v>0</v>
      </c>
      <c r="P429" s="3290"/>
      <c r="Q429" s="2136"/>
      <c r="S429" s="3487"/>
      <c r="T429" s="328"/>
      <c r="U429" s="234"/>
      <c r="V429" s="234"/>
      <c r="W429" s="234"/>
      <c r="X429" s="234"/>
      <c r="Y429" s="234"/>
      <c r="Z429" s="234"/>
      <c r="AA429" s="234"/>
      <c r="AB429" s="234"/>
      <c r="AC429" s="234"/>
      <c r="AD429" s="234"/>
      <c r="AE429" s="234"/>
      <c r="AF429" s="234"/>
      <c r="AG429" s="234"/>
      <c r="AH429" s="234"/>
    </row>
    <row r="430" spans="2:34" ht="18" customHeight="1">
      <c r="B430" s="2123" t="str">
        <f>IF(COUNTBLANK(E430:N430)&lt;10,"","u")</f>
        <v>u</v>
      </c>
      <c r="C430" s="1145" t="s">
        <v>651</v>
      </c>
      <c r="D430" s="974" t="s">
        <v>237</v>
      </c>
      <c r="E430" s="1085"/>
      <c r="F430" s="1086"/>
      <c r="G430" s="1086"/>
      <c r="H430" s="1086"/>
      <c r="I430" s="1086"/>
      <c r="J430" s="1086"/>
      <c r="K430" s="1086"/>
      <c r="L430" s="1086"/>
      <c r="M430" s="1086"/>
      <c r="N430" s="1087"/>
      <c r="O430" s="3276">
        <f t="shared" si="6"/>
        <v>0</v>
      </c>
      <c r="P430" s="3277"/>
      <c r="Q430" s="2078"/>
      <c r="S430" s="3487"/>
      <c r="T430" s="328"/>
      <c r="U430" s="234"/>
      <c r="V430" s="234"/>
      <c r="W430" s="234"/>
      <c r="X430" s="234"/>
      <c r="Y430" s="234"/>
      <c r="Z430" s="234"/>
      <c r="AA430" s="234"/>
      <c r="AB430" s="234"/>
      <c r="AC430" s="234"/>
      <c r="AD430" s="234"/>
      <c r="AE430" s="234"/>
      <c r="AF430" s="234"/>
      <c r="AG430" s="234"/>
      <c r="AH430" s="234"/>
    </row>
    <row r="431" spans="2:34" ht="18" customHeight="1">
      <c r="B431" s="2123" t="str">
        <f>IF(COUNTBLANK(E431:N431)&lt;10,"","w")</f>
        <v>w</v>
      </c>
      <c r="C431" s="3201" t="s">
        <v>653</v>
      </c>
      <c r="D431" s="3202"/>
      <c r="E431" s="728"/>
      <c r="F431" s="729"/>
      <c r="G431" s="729"/>
      <c r="H431" s="729"/>
      <c r="I431" s="729"/>
      <c r="J431" s="729"/>
      <c r="K431" s="729"/>
      <c r="L431" s="729"/>
      <c r="M431" s="729"/>
      <c r="N431" s="730"/>
      <c r="O431" s="3228">
        <f t="shared" si="6"/>
        <v>0</v>
      </c>
      <c r="P431" s="3229"/>
      <c r="Q431" s="2136"/>
      <c r="S431" s="3487"/>
    </row>
    <row r="432" spans="2:34" ht="18" customHeight="1">
      <c r="B432" s="2123" t="str">
        <f>IF(COUNTBLANK(E432:N432)&lt;10,"","w")</f>
        <v>w</v>
      </c>
      <c r="C432" s="3205" t="s">
        <v>654</v>
      </c>
      <c r="D432" s="3206"/>
      <c r="E432" s="735"/>
      <c r="F432" s="736"/>
      <c r="G432" s="736"/>
      <c r="H432" s="736"/>
      <c r="I432" s="736"/>
      <c r="J432" s="736"/>
      <c r="K432" s="736"/>
      <c r="L432" s="736"/>
      <c r="M432" s="736"/>
      <c r="N432" s="737"/>
      <c r="O432" s="3224">
        <f t="shared" si="6"/>
        <v>0</v>
      </c>
      <c r="P432" s="3225"/>
      <c r="Q432" s="2136"/>
      <c r="S432" s="3487"/>
    </row>
    <row r="433" spans="1:34" ht="18" customHeight="1" thickBot="1">
      <c r="B433" s="2123" t="str">
        <f>IF(COUNTBLANK(E433:N433)&lt;10,"","w")</f>
        <v>w</v>
      </c>
      <c r="C433" s="3205" t="s">
        <v>655</v>
      </c>
      <c r="D433" s="3206"/>
      <c r="E433" s="735"/>
      <c r="F433" s="736"/>
      <c r="G433" s="736"/>
      <c r="H433" s="736"/>
      <c r="I433" s="736"/>
      <c r="J433" s="736"/>
      <c r="K433" s="736"/>
      <c r="L433" s="736"/>
      <c r="M433" s="736"/>
      <c r="N433" s="737"/>
      <c r="O433" s="3224">
        <f t="shared" si="6"/>
        <v>0</v>
      </c>
      <c r="P433" s="3225"/>
      <c r="Q433" s="2136"/>
      <c r="S433" s="3487"/>
    </row>
    <row r="434" spans="1:34" ht="37.5" customHeight="1" thickBot="1">
      <c r="B434" s="2086"/>
      <c r="C434" s="3209" t="s">
        <v>539</v>
      </c>
      <c r="D434" s="3210"/>
      <c r="E434" s="3217"/>
      <c r="F434" s="3218"/>
      <c r="G434" s="3218"/>
      <c r="H434" s="3218"/>
      <c r="I434" s="3218"/>
      <c r="J434" s="3218"/>
      <c r="K434" s="3218"/>
      <c r="L434" s="3218"/>
      <c r="M434" s="3218"/>
      <c r="N434" s="3218"/>
      <c r="O434" s="3218"/>
      <c r="P434" s="3219"/>
      <c r="Q434" s="2078"/>
      <c r="S434" s="3487"/>
    </row>
    <row r="435" spans="1:34" ht="22.5" customHeight="1" thickBot="1">
      <c r="B435" s="2086"/>
      <c r="C435" s="1142" t="s">
        <v>657</v>
      </c>
      <c r="D435" s="1143" t="s">
        <v>467</v>
      </c>
      <c r="E435" s="1071">
        <f t="shared" ref="E435:N435" si="7">E436+E442</f>
        <v>0</v>
      </c>
      <c r="F435" s="1072">
        <f t="shared" si="7"/>
        <v>0</v>
      </c>
      <c r="G435" s="1072">
        <f t="shared" si="7"/>
        <v>0</v>
      </c>
      <c r="H435" s="1072">
        <f t="shared" si="7"/>
        <v>0</v>
      </c>
      <c r="I435" s="1072">
        <f t="shared" si="7"/>
        <v>0</v>
      </c>
      <c r="J435" s="1072">
        <f t="shared" si="7"/>
        <v>0</v>
      </c>
      <c r="K435" s="1072">
        <f t="shared" si="7"/>
        <v>0</v>
      </c>
      <c r="L435" s="1072">
        <f t="shared" si="7"/>
        <v>0</v>
      </c>
      <c r="M435" s="1072">
        <f t="shared" si="7"/>
        <v>0</v>
      </c>
      <c r="N435" s="1073">
        <f t="shared" si="7"/>
        <v>0</v>
      </c>
      <c r="O435" s="3278">
        <f t="shared" ref="O435:O447" si="8">SUM(E435:N435)</f>
        <v>0</v>
      </c>
      <c r="P435" s="3279"/>
      <c r="Q435" s="2078"/>
      <c r="S435" s="3487"/>
      <c r="T435" s="663"/>
      <c r="U435" s="11"/>
      <c r="V435" s="11"/>
      <c r="W435" s="11"/>
      <c r="X435" s="11"/>
      <c r="Y435" s="11"/>
      <c r="Z435" s="11"/>
      <c r="AA435" s="11"/>
      <c r="AB435" s="11"/>
      <c r="AC435" s="11"/>
      <c r="AD435" s="11"/>
      <c r="AE435" s="11"/>
    </row>
    <row r="436" spans="1:34" ht="22.5" customHeight="1">
      <c r="B436" s="2086"/>
      <c r="C436" s="1069" t="s">
        <v>104</v>
      </c>
      <c r="D436" s="738" t="s">
        <v>650</v>
      </c>
      <c r="E436" s="739">
        <f>SUM(E437:E438)</f>
        <v>0</v>
      </c>
      <c r="F436" s="740">
        <f t="shared" ref="F436:N436" si="9">SUM(F437:F438)</f>
        <v>0</v>
      </c>
      <c r="G436" s="740">
        <f t="shared" si="9"/>
        <v>0</v>
      </c>
      <c r="H436" s="740">
        <f t="shared" si="9"/>
        <v>0</v>
      </c>
      <c r="I436" s="740">
        <f t="shared" si="9"/>
        <v>0</v>
      </c>
      <c r="J436" s="740">
        <f t="shared" si="9"/>
        <v>0</v>
      </c>
      <c r="K436" s="740">
        <f t="shared" si="9"/>
        <v>0</v>
      </c>
      <c r="L436" s="740">
        <f t="shared" si="9"/>
        <v>0</v>
      </c>
      <c r="M436" s="740">
        <f t="shared" si="9"/>
        <v>0</v>
      </c>
      <c r="N436" s="740">
        <f t="shared" si="9"/>
        <v>0</v>
      </c>
      <c r="O436" s="3274">
        <f t="shared" si="8"/>
        <v>0</v>
      </c>
      <c r="P436" s="3275"/>
      <c r="Q436" s="2078"/>
      <c r="S436" s="3487"/>
      <c r="T436" s="662"/>
      <c r="U436" s="326"/>
      <c r="V436" s="327"/>
      <c r="W436" s="327"/>
      <c r="X436" s="327"/>
      <c r="Y436" s="327"/>
      <c r="Z436" s="327"/>
      <c r="AA436" s="327"/>
      <c r="AB436" s="327"/>
      <c r="AC436" s="327"/>
      <c r="AD436" s="327"/>
      <c r="AE436" s="662"/>
      <c r="AF436" s="662"/>
      <c r="AG436" s="662"/>
      <c r="AH436" s="662"/>
    </row>
    <row r="437" spans="1:34" ht="18" customHeight="1">
      <c r="B437" s="2123" t="str">
        <f>IF(COUNTBLANK(E437:N437)&lt;10,"","u")</f>
        <v>u</v>
      </c>
      <c r="C437" s="3211" t="s">
        <v>2287</v>
      </c>
      <c r="D437" s="3212"/>
      <c r="E437" s="570"/>
      <c r="F437" s="571"/>
      <c r="G437" s="571"/>
      <c r="H437" s="571"/>
      <c r="I437" s="571"/>
      <c r="J437" s="571"/>
      <c r="K437" s="571"/>
      <c r="L437" s="571"/>
      <c r="M437" s="571"/>
      <c r="N437" s="572"/>
      <c r="O437" s="3226">
        <f t="shared" si="8"/>
        <v>0</v>
      </c>
      <c r="P437" s="3227"/>
      <c r="Q437" s="2078"/>
      <c r="S437" s="3487"/>
      <c r="T437" s="328"/>
      <c r="U437" s="234"/>
      <c r="V437" s="234"/>
      <c r="W437" s="234"/>
      <c r="X437" s="234"/>
      <c r="Y437" s="234"/>
      <c r="Z437" s="234"/>
      <c r="AA437" s="234"/>
      <c r="AB437" s="234"/>
      <c r="AC437" s="234"/>
      <c r="AD437" s="234"/>
      <c r="AE437" s="234"/>
      <c r="AF437" s="234"/>
      <c r="AG437" s="234"/>
      <c r="AH437" s="234"/>
    </row>
    <row r="438" spans="1:34" ht="18" customHeight="1">
      <c r="B438" s="2123" t="str">
        <f>IF(COUNTBLANK(E438:N438)&lt;10,"","u")</f>
        <v>u</v>
      </c>
      <c r="C438" s="1068" t="s">
        <v>651</v>
      </c>
      <c r="D438" s="974" t="s">
        <v>237</v>
      </c>
      <c r="E438" s="1088"/>
      <c r="F438" s="722"/>
      <c r="G438" s="722"/>
      <c r="H438" s="722"/>
      <c r="I438" s="722"/>
      <c r="J438" s="722"/>
      <c r="K438" s="722"/>
      <c r="L438" s="722"/>
      <c r="M438" s="722"/>
      <c r="N438" s="723"/>
      <c r="O438" s="3226">
        <f t="shared" si="8"/>
        <v>0</v>
      </c>
      <c r="P438" s="3227"/>
      <c r="Q438" s="2078"/>
      <c r="S438" s="3487"/>
      <c r="T438" s="328"/>
      <c r="U438" s="234"/>
      <c r="V438" s="234"/>
      <c r="W438" s="234"/>
      <c r="X438" s="234"/>
      <c r="Y438" s="234"/>
      <c r="Z438" s="234"/>
      <c r="AA438" s="234"/>
      <c r="AB438" s="234"/>
      <c r="AC438" s="234"/>
      <c r="AD438" s="234"/>
      <c r="AE438" s="234"/>
      <c r="AF438" s="234"/>
      <c r="AG438" s="234"/>
      <c r="AH438" s="234"/>
    </row>
    <row r="439" spans="1:34" ht="18" customHeight="1">
      <c r="B439" s="2123" t="str">
        <f>IF(COUNTBLANK(E439:N439)&lt;10,"","w")</f>
        <v>w</v>
      </c>
      <c r="C439" s="3201" t="s">
        <v>653</v>
      </c>
      <c r="D439" s="3202"/>
      <c r="E439" s="731"/>
      <c r="F439" s="729"/>
      <c r="G439" s="729"/>
      <c r="H439" s="729"/>
      <c r="I439" s="729"/>
      <c r="J439" s="729"/>
      <c r="K439" s="729"/>
      <c r="L439" s="729"/>
      <c r="M439" s="729"/>
      <c r="N439" s="730"/>
      <c r="O439" s="3228">
        <f t="shared" si="8"/>
        <v>0</v>
      </c>
      <c r="P439" s="3229"/>
      <c r="Q439" s="2078"/>
      <c r="S439" s="3487"/>
    </row>
    <row r="440" spans="1:34" ht="18" customHeight="1">
      <c r="A440" s="28" t="s">
        <v>552</v>
      </c>
      <c r="B440" s="2123" t="str">
        <f>IF(COUNTBLANK(E440:N440)&lt;10,"","w")</f>
        <v>w</v>
      </c>
      <c r="C440" s="3205" t="s">
        <v>654</v>
      </c>
      <c r="D440" s="3206"/>
      <c r="E440" s="735"/>
      <c r="F440" s="736"/>
      <c r="G440" s="736"/>
      <c r="H440" s="736"/>
      <c r="I440" s="736"/>
      <c r="J440" s="736"/>
      <c r="K440" s="736"/>
      <c r="L440" s="736"/>
      <c r="M440" s="736"/>
      <c r="N440" s="737"/>
      <c r="O440" s="3224">
        <f t="shared" si="8"/>
        <v>0</v>
      </c>
      <c r="P440" s="3225"/>
      <c r="Q440" s="2078"/>
      <c r="S440" s="3487"/>
    </row>
    <row r="441" spans="1:34" ht="18" customHeight="1" thickBot="1">
      <c r="B441" s="2123" t="str">
        <f>IF(COUNTBLANK(E441:N441)&lt;10,"","w")</f>
        <v>w</v>
      </c>
      <c r="C441" s="3203" t="s">
        <v>655</v>
      </c>
      <c r="D441" s="3204"/>
      <c r="E441" s="752"/>
      <c r="F441" s="753"/>
      <c r="G441" s="753"/>
      <c r="H441" s="753"/>
      <c r="I441" s="753"/>
      <c r="J441" s="753"/>
      <c r="K441" s="753"/>
      <c r="L441" s="753"/>
      <c r="M441" s="753"/>
      <c r="N441" s="754"/>
      <c r="O441" s="3364">
        <f t="shared" si="8"/>
        <v>0</v>
      </c>
      <c r="P441" s="3365"/>
      <c r="Q441" s="2078"/>
      <c r="S441" s="3487"/>
    </row>
    <row r="442" spans="1:34" ht="22.5" customHeight="1">
      <c r="B442" s="2086"/>
      <c r="C442" s="1067" t="s">
        <v>105</v>
      </c>
      <c r="D442" s="734" t="s">
        <v>650</v>
      </c>
      <c r="E442" s="732">
        <f>SUM(E443:E444)</f>
        <v>0</v>
      </c>
      <c r="F442" s="733">
        <f t="shared" ref="F442:N442" si="10">SUM(F443:F444)</f>
        <v>0</v>
      </c>
      <c r="G442" s="733">
        <f t="shared" si="10"/>
        <v>0</v>
      </c>
      <c r="H442" s="733">
        <f t="shared" si="10"/>
        <v>0</v>
      </c>
      <c r="I442" s="733">
        <f t="shared" si="10"/>
        <v>0</v>
      </c>
      <c r="J442" s="733">
        <f t="shared" si="10"/>
        <v>0</v>
      </c>
      <c r="K442" s="733">
        <f t="shared" si="10"/>
        <v>0</v>
      </c>
      <c r="L442" s="733">
        <f t="shared" si="10"/>
        <v>0</v>
      </c>
      <c r="M442" s="733">
        <f t="shared" si="10"/>
        <v>0</v>
      </c>
      <c r="N442" s="733">
        <f t="shared" si="10"/>
        <v>0</v>
      </c>
      <c r="O442" s="3174">
        <f t="shared" si="8"/>
        <v>0</v>
      </c>
      <c r="P442" s="3175"/>
      <c r="Q442" s="2078"/>
      <c r="S442" s="3487"/>
      <c r="T442" s="662"/>
      <c r="U442" s="326"/>
      <c r="V442" s="327"/>
      <c r="W442" s="327"/>
      <c r="X442" s="327"/>
      <c r="Y442" s="327"/>
      <c r="Z442" s="327"/>
      <c r="AA442" s="327"/>
      <c r="AB442" s="327"/>
      <c r="AC442" s="327"/>
      <c r="AD442" s="327"/>
      <c r="AE442" s="662"/>
      <c r="AF442" s="662"/>
      <c r="AG442" s="662"/>
      <c r="AH442" s="662"/>
    </row>
    <row r="443" spans="1:34" ht="18" customHeight="1">
      <c r="B443" s="2123" t="str">
        <f>IF(COUNTBLANK(E443:N443)&lt;10,"","u")</f>
        <v>u</v>
      </c>
      <c r="C443" s="3197" t="s">
        <v>2287</v>
      </c>
      <c r="D443" s="3198"/>
      <c r="E443" s="570"/>
      <c r="F443" s="571"/>
      <c r="G443" s="571"/>
      <c r="H443" s="571"/>
      <c r="I443" s="571"/>
      <c r="J443" s="571"/>
      <c r="K443" s="571"/>
      <c r="L443" s="571"/>
      <c r="M443" s="571"/>
      <c r="N443" s="572"/>
      <c r="O443" s="3226">
        <f t="shared" si="8"/>
        <v>0</v>
      </c>
      <c r="P443" s="3227"/>
      <c r="Q443" s="2078"/>
      <c r="S443" s="3487"/>
      <c r="T443" s="328"/>
      <c r="U443" s="234"/>
      <c r="V443" s="234"/>
      <c r="W443" s="234"/>
      <c r="X443" s="234"/>
      <c r="Y443" s="234"/>
      <c r="Z443" s="234"/>
      <c r="AA443" s="234"/>
      <c r="AB443" s="234"/>
      <c r="AC443" s="234"/>
      <c r="AD443" s="234"/>
      <c r="AE443" s="234"/>
      <c r="AF443" s="234"/>
      <c r="AG443" s="234"/>
      <c r="AH443" s="234"/>
    </row>
    <row r="444" spans="1:34" ht="18" customHeight="1">
      <c r="B444" s="2123" t="str">
        <f>IF(COUNTBLANK(E444:N444)&lt;10,"","u")</f>
        <v>u</v>
      </c>
      <c r="C444" s="1068" t="s">
        <v>651</v>
      </c>
      <c r="D444" s="974" t="s">
        <v>237</v>
      </c>
      <c r="E444" s="1088"/>
      <c r="F444" s="722"/>
      <c r="G444" s="722"/>
      <c r="H444" s="722"/>
      <c r="I444" s="722"/>
      <c r="J444" s="722"/>
      <c r="K444" s="722"/>
      <c r="L444" s="722"/>
      <c r="M444" s="722"/>
      <c r="N444" s="723"/>
      <c r="O444" s="3226">
        <f t="shared" si="8"/>
        <v>0</v>
      </c>
      <c r="P444" s="3227"/>
      <c r="Q444" s="2078"/>
      <c r="S444" s="3487"/>
      <c r="T444" s="328"/>
      <c r="U444" s="234"/>
      <c r="V444" s="234"/>
      <c r="W444" s="234"/>
      <c r="X444" s="234"/>
      <c r="Y444" s="234"/>
      <c r="Z444" s="234"/>
      <c r="AA444" s="234"/>
      <c r="AB444" s="234"/>
      <c r="AC444" s="234"/>
      <c r="AD444" s="234"/>
      <c r="AE444" s="234"/>
      <c r="AF444" s="234"/>
      <c r="AG444" s="234"/>
      <c r="AH444" s="234"/>
    </row>
    <row r="445" spans="1:34" ht="18" customHeight="1">
      <c r="B445" s="2123" t="str">
        <f>IF(COUNTBLANK(E445:N445)&lt;10,"","w")</f>
        <v>w</v>
      </c>
      <c r="C445" s="3201" t="s">
        <v>653</v>
      </c>
      <c r="D445" s="3202"/>
      <c r="E445" s="728"/>
      <c r="F445" s="729"/>
      <c r="G445" s="729"/>
      <c r="H445" s="729"/>
      <c r="I445" s="729"/>
      <c r="J445" s="729"/>
      <c r="K445" s="729"/>
      <c r="L445" s="729"/>
      <c r="M445" s="729"/>
      <c r="N445" s="730"/>
      <c r="O445" s="3228">
        <f t="shared" si="8"/>
        <v>0</v>
      </c>
      <c r="P445" s="3229"/>
      <c r="Q445" s="2078"/>
      <c r="S445" s="3487"/>
    </row>
    <row r="446" spans="1:34" ht="18" customHeight="1">
      <c r="B446" s="2123" t="str">
        <f>IF(COUNTBLANK(E446:N446)&lt;10,"","w")</f>
        <v>w</v>
      </c>
      <c r="C446" s="3205" t="s">
        <v>654</v>
      </c>
      <c r="D446" s="3206"/>
      <c r="E446" s="735"/>
      <c r="F446" s="736"/>
      <c r="G446" s="736"/>
      <c r="H446" s="736"/>
      <c r="I446" s="736"/>
      <c r="J446" s="736"/>
      <c r="K446" s="736"/>
      <c r="L446" s="736"/>
      <c r="M446" s="736"/>
      <c r="N446" s="737"/>
      <c r="O446" s="3224">
        <f t="shared" si="8"/>
        <v>0</v>
      </c>
      <c r="P446" s="3225"/>
      <c r="Q446" s="2078"/>
      <c r="S446" s="3487"/>
    </row>
    <row r="447" spans="1:34" ht="18" customHeight="1" thickBot="1">
      <c r="B447" s="2123" t="str">
        <f>IF(COUNTBLANK(E447:N447)&lt;10,"","w")</f>
        <v>w</v>
      </c>
      <c r="C447" s="3205" t="s">
        <v>655</v>
      </c>
      <c r="D447" s="3206"/>
      <c r="E447" s="735"/>
      <c r="F447" s="736"/>
      <c r="G447" s="736"/>
      <c r="H447" s="736"/>
      <c r="I447" s="736"/>
      <c r="J447" s="736"/>
      <c r="K447" s="736"/>
      <c r="L447" s="736"/>
      <c r="M447" s="736"/>
      <c r="N447" s="737"/>
      <c r="O447" s="3224">
        <f t="shared" si="8"/>
        <v>0</v>
      </c>
      <c r="P447" s="3225"/>
      <c r="Q447" s="2078"/>
      <c r="S447" s="3487"/>
    </row>
    <row r="448" spans="1:34" ht="37.5" customHeight="1" thickBot="1">
      <c r="B448" s="2086"/>
      <c r="C448" s="3209" t="s">
        <v>539</v>
      </c>
      <c r="D448" s="3210"/>
      <c r="E448" s="3217"/>
      <c r="F448" s="3218"/>
      <c r="G448" s="3218"/>
      <c r="H448" s="3218"/>
      <c r="I448" s="3218"/>
      <c r="J448" s="3218"/>
      <c r="K448" s="3218"/>
      <c r="L448" s="3218"/>
      <c r="M448" s="3218"/>
      <c r="N448" s="3218"/>
      <c r="O448" s="3218"/>
      <c r="P448" s="3219"/>
      <c r="Q448" s="2078"/>
      <c r="S448" s="3487"/>
    </row>
    <row r="449" spans="2:34" ht="30" customHeight="1" thickBot="1">
      <c r="B449" s="2086"/>
      <c r="C449" s="3220" t="s">
        <v>819</v>
      </c>
      <c r="D449" s="3221"/>
      <c r="E449" s="1146">
        <f t="shared" ref="E449:N449" si="11">E411+E427+E435</f>
        <v>0</v>
      </c>
      <c r="F449" s="1147">
        <f t="shared" si="11"/>
        <v>0</v>
      </c>
      <c r="G449" s="1147">
        <f t="shared" si="11"/>
        <v>0</v>
      </c>
      <c r="H449" s="1147">
        <f t="shared" si="11"/>
        <v>0</v>
      </c>
      <c r="I449" s="1147">
        <f t="shared" si="11"/>
        <v>0</v>
      </c>
      <c r="J449" s="1147">
        <f t="shared" si="11"/>
        <v>0</v>
      </c>
      <c r="K449" s="1147">
        <f t="shared" si="11"/>
        <v>0</v>
      </c>
      <c r="L449" s="1147">
        <f t="shared" si="11"/>
        <v>0</v>
      </c>
      <c r="M449" s="1147">
        <f t="shared" si="11"/>
        <v>0</v>
      </c>
      <c r="N449" s="1148">
        <f t="shared" si="11"/>
        <v>0</v>
      </c>
      <c r="O449" s="3243">
        <f>SUM(E449:N449)</f>
        <v>0</v>
      </c>
      <c r="P449" s="3244"/>
      <c r="Q449" s="2078"/>
      <c r="S449" s="3487"/>
      <c r="T449" s="329"/>
      <c r="U449" s="11"/>
      <c r="V449" s="11"/>
      <c r="W449" s="11"/>
      <c r="X449" s="11"/>
      <c r="Y449" s="11"/>
      <c r="Z449" s="11"/>
      <c r="AA449" s="11"/>
      <c r="AB449" s="11"/>
      <c r="AC449" s="11"/>
      <c r="AD449" s="11"/>
      <c r="AE449" s="11"/>
    </row>
    <row r="450" spans="2:34">
      <c r="B450" s="2086"/>
      <c r="C450" s="2077"/>
      <c r="D450" s="2077"/>
      <c r="E450" s="2077"/>
      <c r="F450" s="2140"/>
      <c r="G450" s="2140"/>
      <c r="H450" s="2077"/>
      <c r="I450" s="2140"/>
      <c r="J450" s="2140"/>
      <c r="K450" s="2077"/>
      <c r="L450" s="2140"/>
      <c r="M450" s="2077"/>
      <c r="N450" s="2140"/>
      <c r="O450" s="2140"/>
      <c r="P450" s="2140"/>
      <c r="Q450" s="2078"/>
      <c r="S450" s="3487"/>
    </row>
    <row r="451" spans="2:34" ht="15" thickBot="1">
      <c r="B451" s="2086"/>
      <c r="C451" s="2077"/>
      <c r="D451" s="2077"/>
      <c r="E451" s="2077"/>
      <c r="F451" s="2140"/>
      <c r="G451" s="2140"/>
      <c r="H451" s="2077"/>
      <c r="I451" s="2140"/>
      <c r="J451" s="2140"/>
      <c r="K451" s="2077"/>
      <c r="L451" s="2140"/>
      <c r="M451" s="2077"/>
      <c r="N451" s="2140"/>
      <c r="O451" s="2140"/>
      <c r="P451" s="2140"/>
      <c r="Q451" s="2078"/>
      <c r="S451" s="1053"/>
    </row>
    <row r="452" spans="2:34" ht="30" customHeight="1">
      <c r="B452" s="2086"/>
      <c r="C452" s="3214" t="s">
        <v>820</v>
      </c>
      <c r="D452" s="3215"/>
      <c r="E452" s="3215"/>
      <c r="F452" s="3216"/>
      <c r="G452" s="2134"/>
      <c r="H452" s="2134"/>
      <c r="I452" s="2134"/>
      <c r="J452" s="2134"/>
      <c r="K452" s="2134"/>
      <c r="L452" s="2134"/>
      <c r="M452" s="2134"/>
      <c r="N452" s="2134"/>
      <c r="O452" s="2135"/>
      <c r="P452" s="2134"/>
      <c r="Q452" s="2078"/>
      <c r="S452" s="3487"/>
    </row>
    <row r="453" spans="2:34" ht="3" customHeight="1" thickBot="1">
      <c r="B453" s="2086"/>
      <c r="C453" s="1064"/>
      <c r="D453" s="1063"/>
      <c r="E453" s="1063"/>
      <c r="F453" s="1065"/>
      <c r="G453" s="2092"/>
      <c r="H453" s="2092"/>
      <c r="I453" s="2092"/>
      <c r="J453" s="2092"/>
      <c r="K453" s="2092"/>
      <c r="L453" s="2092"/>
      <c r="M453" s="2092"/>
      <c r="N453" s="2092"/>
      <c r="O453" s="2092"/>
      <c r="P453" s="2092"/>
      <c r="Q453" s="2078"/>
      <c r="S453" s="3487"/>
    </row>
    <row r="454" spans="2:34" ht="19.5" customHeight="1">
      <c r="B454" s="2086"/>
      <c r="C454" s="3239" t="s">
        <v>647</v>
      </c>
      <c r="D454" s="3240"/>
      <c r="E454" s="3236" t="s">
        <v>660</v>
      </c>
      <c r="F454" s="3237"/>
      <c r="G454" s="3237"/>
      <c r="H454" s="3237"/>
      <c r="I454" s="3237"/>
      <c r="J454" s="3237"/>
      <c r="K454" s="3237"/>
      <c r="L454" s="3237"/>
      <c r="M454" s="3237"/>
      <c r="N454" s="3238"/>
      <c r="O454" s="3232" t="s">
        <v>649</v>
      </c>
      <c r="P454" s="3233"/>
      <c r="Q454" s="2078"/>
      <c r="S454" s="3487"/>
    </row>
    <row r="455" spans="2:34" ht="19.5" customHeight="1" thickBot="1">
      <c r="B455" s="2086"/>
      <c r="C455" s="3241"/>
      <c r="D455" s="3242"/>
      <c r="E455" s="741">
        <f>IF(E51="",0,E51)</f>
        <v>0</v>
      </c>
      <c r="F455" s="742">
        <f t="shared" ref="F455:N455" si="12">E455+1</f>
        <v>1</v>
      </c>
      <c r="G455" s="742">
        <f t="shared" si="12"/>
        <v>2</v>
      </c>
      <c r="H455" s="742">
        <f t="shared" si="12"/>
        <v>3</v>
      </c>
      <c r="I455" s="742">
        <f t="shared" si="12"/>
        <v>4</v>
      </c>
      <c r="J455" s="742">
        <f t="shared" si="12"/>
        <v>5</v>
      </c>
      <c r="K455" s="742">
        <f t="shared" si="12"/>
        <v>6</v>
      </c>
      <c r="L455" s="742">
        <f t="shared" si="12"/>
        <v>7</v>
      </c>
      <c r="M455" s="742">
        <f t="shared" si="12"/>
        <v>8</v>
      </c>
      <c r="N455" s="743">
        <f t="shared" si="12"/>
        <v>9</v>
      </c>
      <c r="O455" s="3234"/>
      <c r="P455" s="3235"/>
      <c r="Q455" s="2078"/>
      <c r="S455" s="3487"/>
    </row>
    <row r="456" spans="2:34" ht="22.5" customHeight="1" thickBot="1">
      <c r="B456" s="2086"/>
      <c r="C456" s="1066" t="s">
        <v>477</v>
      </c>
      <c r="D456" s="744" t="s">
        <v>467</v>
      </c>
      <c r="E456" s="745">
        <f t="shared" ref="E456:N456" si="13">E457+E464</f>
        <v>0</v>
      </c>
      <c r="F456" s="746">
        <f t="shared" si="13"/>
        <v>0</v>
      </c>
      <c r="G456" s="746">
        <f t="shared" si="13"/>
        <v>0</v>
      </c>
      <c r="H456" s="746">
        <f t="shared" si="13"/>
        <v>0</v>
      </c>
      <c r="I456" s="746">
        <f t="shared" si="13"/>
        <v>0</v>
      </c>
      <c r="J456" s="746">
        <f t="shared" si="13"/>
        <v>0</v>
      </c>
      <c r="K456" s="746">
        <f t="shared" si="13"/>
        <v>0</v>
      </c>
      <c r="L456" s="746">
        <f t="shared" si="13"/>
        <v>0</v>
      </c>
      <c r="M456" s="746">
        <f t="shared" si="13"/>
        <v>0</v>
      </c>
      <c r="N456" s="747">
        <f t="shared" si="13"/>
        <v>0</v>
      </c>
      <c r="O456" s="3230">
        <f t="shared" ref="O456:O470" si="14">SUM(E456:N456)</f>
        <v>0</v>
      </c>
      <c r="P456" s="3231"/>
      <c r="Q456" s="2078"/>
      <c r="S456" s="3487"/>
      <c r="T456" s="662"/>
      <c r="U456" s="326"/>
      <c r="V456" s="327"/>
      <c r="W456" s="327"/>
      <c r="X456" s="327"/>
      <c r="Y456" s="327"/>
      <c r="Z456" s="327"/>
      <c r="AA456" s="327"/>
      <c r="AB456" s="327"/>
      <c r="AC456" s="327"/>
      <c r="AD456" s="327"/>
      <c r="AE456" s="662"/>
      <c r="AF456" s="662"/>
      <c r="AG456" s="662"/>
      <c r="AH456" s="662"/>
    </row>
    <row r="457" spans="2:34" ht="22.5" customHeight="1">
      <c r="B457" s="2086"/>
      <c r="C457" s="1067" t="s">
        <v>101</v>
      </c>
      <c r="D457" s="734" t="s">
        <v>650</v>
      </c>
      <c r="E457" s="732">
        <f>SUM(E458:E459)</f>
        <v>0</v>
      </c>
      <c r="F457" s="733">
        <f t="shared" ref="F457:N457" si="15">SUM(F458:F459)</f>
        <v>0</v>
      </c>
      <c r="G457" s="733">
        <f t="shared" si="15"/>
        <v>0</v>
      </c>
      <c r="H457" s="733">
        <f t="shared" si="15"/>
        <v>0</v>
      </c>
      <c r="I457" s="733">
        <f t="shared" si="15"/>
        <v>0</v>
      </c>
      <c r="J457" s="733">
        <f t="shared" si="15"/>
        <v>0</v>
      </c>
      <c r="K457" s="733">
        <f t="shared" si="15"/>
        <v>0</v>
      </c>
      <c r="L457" s="733">
        <f t="shared" si="15"/>
        <v>0</v>
      </c>
      <c r="M457" s="733">
        <f t="shared" si="15"/>
        <v>0</v>
      </c>
      <c r="N457" s="733">
        <f t="shared" si="15"/>
        <v>0</v>
      </c>
      <c r="O457" s="3174">
        <f t="shared" si="14"/>
        <v>0</v>
      </c>
      <c r="P457" s="3175"/>
      <c r="Q457" s="2078"/>
      <c r="S457" s="3487"/>
      <c r="T457" s="662"/>
      <c r="U457" s="326"/>
      <c r="V457" s="327"/>
      <c r="W457" s="327"/>
      <c r="X457" s="327"/>
      <c r="Y457" s="327"/>
      <c r="Z457" s="327"/>
      <c r="AA457" s="327"/>
      <c r="AB457" s="327"/>
      <c r="AC457" s="327"/>
      <c r="AD457" s="327"/>
      <c r="AE457" s="662"/>
      <c r="AF457" s="662"/>
      <c r="AG457" s="662"/>
      <c r="AH457" s="662"/>
    </row>
    <row r="458" spans="2:34" ht="18" customHeight="1">
      <c r="B458" s="2123" t="str">
        <f>IF(COUNTBLANK(E458:N458)&lt;10,"","u")</f>
        <v>u</v>
      </c>
      <c r="C458" s="3197" t="s">
        <v>2287</v>
      </c>
      <c r="D458" s="3198"/>
      <c r="E458" s="576"/>
      <c r="F458" s="577"/>
      <c r="G458" s="577"/>
      <c r="H458" s="577"/>
      <c r="I458" s="577"/>
      <c r="J458" s="577"/>
      <c r="K458" s="577"/>
      <c r="L458" s="577"/>
      <c r="M458" s="577"/>
      <c r="N458" s="578"/>
      <c r="O458" s="3226">
        <f t="shared" si="14"/>
        <v>0</v>
      </c>
      <c r="P458" s="3227"/>
      <c r="Q458" s="2078"/>
      <c r="S458" s="3487"/>
    </row>
    <row r="459" spans="2:34" ht="18" customHeight="1">
      <c r="B459" s="2123" t="str">
        <f>IF(COUNTBLANK(E459:N459)&lt;10,"","u")</f>
        <v>u</v>
      </c>
      <c r="C459" s="1068" t="s">
        <v>651</v>
      </c>
      <c r="D459" s="974" t="s">
        <v>237</v>
      </c>
      <c r="E459" s="725"/>
      <c r="F459" s="726"/>
      <c r="G459" s="726"/>
      <c r="H459" s="726"/>
      <c r="I459" s="726"/>
      <c r="J459" s="726"/>
      <c r="K459" s="726"/>
      <c r="L459" s="726"/>
      <c r="M459" s="726"/>
      <c r="N459" s="727"/>
      <c r="O459" s="3226">
        <f t="shared" si="14"/>
        <v>0</v>
      </c>
      <c r="P459" s="3227"/>
      <c r="Q459" s="2078"/>
      <c r="S459" s="3487"/>
      <c r="T459" s="328"/>
      <c r="U459" s="234"/>
      <c r="V459" s="234"/>
      <c r="W459" s="234"/>
      <c r="X459" s="234"/>
      <c r="Y459" s="234"/>
      <c r="Z459" s="234"/>
      <c r="AA459" s="234"/>
      <c r="AB459" s="234"/>
      <c r="AC459" s="234"/>
      <c r="AD459" s="234"/>
      <c r="AE459" s="234"/>
      <c r="AF459" s="234"/>
      <c r="AG459" s="234"/>
      <c r="AH459" s="234"/>
    </row>
    <row r="460" spans="2:34" ht="18" customHeight="1">
      <c r="B460" s="2123" t="str">
        <f>IF(COUNTBLANK(E460:N460)&lt;10,"","w")</f>
        <v>w</v>
      </c>
      <c r="C460" s="3201" t="s">
        <v>652</v>
      </c>
      <c r="D460" s="3202"/>
      <c r="E460" s="728"/>
      <c r="F460" s="729"/>
      <c r="G460" s="729"/>
      <c r="H460" s="729"/>
      <c r="I460" s="729"/>
      <c r="J460" s="729"/>
      <c r="K460" s="729"/>
      <c r="L460" s="729"/>
      <c r="M460" s="729"/>
      <c r="N460" s="730"/>
      <c r="O460" s="3228">
        <f t="shared" si="14"/>
        <v>0</v>
      </c>
      <c r="P460" s="3229"/>
      <c r="Q460" s="2078"/>
      <c r="S460" s="3487"/>
      <c r="T460" s="328"/>
      <c r="U460" s="234"/>
      <c r="V460" s="234"/>
      <c r="W460" s="234"/>
      <c r="X460" s="234"/>
      <c r="Y460" s="234"/>
      <c r="Z460" s="234"/>
      <c r="AA460" s="234"/>
      <c r="AB460" s="234"/>
      <c r="AC460" s="234"/>
      <c r="AD460" s="234"/>
      <c r="AE460" s="234"/>
      <c r="AF460" s="234"/>
      <c r="AG460" s="234"/>
      <c r="AH460" s="234"/>
    </row>
    <row r="461" spans="2:34" ht="18" customHeight="1">
      <c r="B461" s="2123" t="str">
        <f>IF(COUNTBLANK(E461:N461)&lt;10,"","w")</f>
        <v>w</v>
      </c>
      <c r="C461" s="3266" t="s">
        <v>653</v>
      </c>
      <c r="D461" s="3267"/>
      <c r="E461" s="716"/>
      <c r="F461" s="717"/>
      <c r="G461" s="717"/>
      <c r="H461" s="717"/>
      <c r="I461" s="717"/>
      <c r="J461" s="717"/>
      <c r="K461" s="717"/>
      <c r="L461" s="717"/>
      <c r="M461" s="717"/>
      <c r="N461" s="718"/>
      <c r="O461" s="3268">
        <f t="shared" si="14"/>
        <v>0</v>
      </c>
      <c r="P461" s="3269"/>
      <c r="Q461" s="2078"/>
      <c r="S461" s="3487"/>
    </row>
    <row r="462" spans="2:34" ht="18" customHeight="1">
      <c r="B462" s="2123" t="str">
        <f>IF(COUNTBLANK(E462:N462)&lt;10,"","w")</f>
        <v>w</v>
      </c>
      <c r="C462" s="3205" t="s">
        <v>654</v>
      </c>
      <c r="D462" s="3206"/>
      <c r="E462" s="735"/>
      <c r="F462" s="736"/>
      <c r="G462" s="736"/>
      <c r="H462" s="736"/>
      <c r="I462" s="736"/>
      <c r="J462" s="736"/>
      <c r="K462" s="736"/>
      <c r="L462" s="736"/>
      <c r="M462" s="736"/>
      <c r="N462" s="737"/>
      <c r="O462" s="3224">
        <f t="shared" si="14"/>
        <v>0</v>
      </c>
      <c r="P462" s="3225"/>
      <c r="Q462" s="2078"/>
      <c r="S462" s="3487"/>
    </row>
    <row r="463" spans="2:34" ht="18" customHeight="1" thickBot="1">
      <c r="B463" s="2123" t="str">
        <f>IF(COUNTBLANK(E463:N463)&lt;10,"","w")</f>
        <v>w</v>
      </c>
      <c r="C463" s="3266" t="s">
        <v>655</v>
      </c>
      <c r="D463" s="3267"/>
      <c r="E463" s="716"/>
      <c r="F463" s="717"/>
      <c r="G463" s="717"/>
      <c r="H463" s="717"/>
      <c r="I463" s="717"/>
      <c r="J463" s="717"/>
      <c r="K463" s="717"/>
      <c r="L463" s="717"/>
      <c r="M463" s="717"/>
      <c r="N463" s="718"/>
      <c r="O463" s="3268">
        <f t="shared" si="14"/>
        <v>0</v>
      </c>
      <c r="P463" s="3269"/>
      <c r="Q463" s="2078"/>
      <c r="S463" s="3487"/>
    </row>
    <row r="464" spans="2:34" ht="22.5" customHeight="1">
      <c r="B464" s="2086"/>
      <c r="C464" s="1069" t="s">
        <v>102</v>
      </c>
      <c r="D464" s="738" t="s">
        <v>650</v>
      </c>
      <c r="E464" s="739">
        <f>SUM(E465:E466)</f>
        <v>0</v>
      </c>
      <c r="F464" s="740">
        <f t="shared" ref="F464:N464" si="16">SUM(F465:F466)</f>
        <v>0</v>
      </c>
      <c r="G464" s="740">
        <f t="shared" si="16"/>
        <v>0</v>
      </c>
      <c r="H464" s="740">
        <f t="shared" si="16"/>
        <v>0</v>
      </c>
      <c r="I464" s="740">
        <f t="shared" si="16"/>
        <v>0</v>
      </c>
      <c r="J464" s="740">
        <f t="shared" si="16"/>
        <v>0</v>
      </c>
      <c r="K464" s="740">
        <f t="shared" si="16"/>
        <v>0</v>
      </c>
      <c r="L464" s="740">
        <f t="shared" si="16"/>
        <v>0</v>
      </c>
      <c r="M464" s="740">
        <f t="shared" si="16"/>
        <v>0</v>
      </c>
      <c r="N464" s="740">
        <f t="shared" si="16"/>
        <v>0</v>
      </c>
      <c r="O464" s="3274">
        <f t="shared" si="14"/>
        <v>0</v>
      </c>
      <c r="P464" s="3275"/>
      <c r="Q464" s="2078"/>
      <c r="S464" s="3487"/>
      <c r="T464" s="662"/>
      <c r="U464" s="326"/>
      <c r="V464" s="327"/>
      <c r="W464" s="327"/>
      <c r="X464" s="327"/>
      <c r="Y464" s="327"/>
      <c r="Z464" s="327"/>
      <c r="AA464" s="327"/>
      <c r="AB464" s="327"/>
      <c r="AC464" s="327"/>
      <c r="AD464" s="327"/>
      <c r="AE464" s="662"/>
      <c r="AF464" s="662"/>
      <c r="AG464" s="662"/>
      <c r="AH464" s="662"/>
    </row>
    <row r="465" spans="2:34" ht="18" customHeight="1">
      <c r="B465" s="2123" t="str">
        <f>IF(COUNTBLANK(E465:N465)&lt;10,"","u")</f>
        <v>u</v>
      </c>
      <c r="C465" s="3197" t="s">
        <v>2287</v>
      </c>
      <c r="D465" s="3198"/>
      <c r="E465" s="576"/>
      <c r="F465" s="577"/>
      <c r="G465" s="577"/>
      <c r="H465" s="577"/>
      <c r="I465" s="577"/>
      <c r="J465" s="577"/>
      <c r="K465" s="577"/>
      <c r="L465" s="577"/>
      <c r="M465" s="577"/>
      <c r="N465" s="578"/>
      <c r="O465" s="3226">
        <f t="shared" si="14"/>
        <v>0</v>
      </c>
      <c r="P465" s="3227"/>
      <c r="Q465" s="2078"/>
      <c r="S465" s="3487"/>
    </row>
    <row r="466" spans="2:34" ht="18" customHeight="1">
      <c r="B466" s="2123" t="str">
        <f>IF(COUNTBLANK(E466:N466)&lt;10,"","u")</f>
        <v>u</v>
      </c>
      <c r="C466" s="1068" t="s">
        <v>651</v>
      </c>
      <c r="D466" s="974" t="s">
        <v>237</v>
      </c>
      <c r="E466" s="725"/>
      <c r="F466" s="726"/>
      <c r="G466" s="726"/>
      <c r="H466" s="726"/>
      <c r="I466" s="726"/>
      <c r="J466" s="726"/>
      <c r="K466" s="726"/>
      <c r="L466" s="726"/>
      <c r="M466" s="726"/>
      <c r="N466" s="727"/>
      <c r="O466" s="3226">
        <f t="shared" si="14"/>
        <v>0</v>
      </c>
      <c r="P466" s="3227"/>
      <c r="Q466" s="2078"/>
      <c r="S466" s="3487"/>
      <c r="T466" s="328"/>
      <c r="U466" s="234"/>
      <c r="V466" s="234"/>
      <c r="W466" s="234"/>
      <c r="X466" s="234"/>
      <c r="Y466" s="234"/>
      <c r="Z466" s="234"/>
      <c r="AA466" s="234"/>
      <c r="AB466" s="234"/>
      <c r="AC466" s="234"/>
      <c r="AD466" s="234"/>
      <c r="AE466" s="234"/>
      <c r="AF466" s="234"/>
      <c r="AG466" s="234"/>
      <c r="AH466" s="234"/>
    </row>
    <row r="467" spans="2:34" ht="18" customHeight="1">
      <c r="B467" s="2123" t="str">
        <f>IF(COUNTBLANK(E467:N467)&lt;10,"","w")</f>
        <v>w</v>
      </c>
      <c r="C467" s="3201" t="s">
        <v>652</v>
      </c>
      <c r="D467" s="3202"/>
      <c r="E467" s="728"/>
      <c r="F467" s="729"/>
      <c r="G467" s="729"/>
      <c r="H467" s="729"/>
      <c r="I467" s="729"/>
      <c r="J467" s="729"/>
      <c r="K467" s="729"/>
      <c r="L467" s="729"/>
      <c r="M467" s="729"/>
      <c r="N467" s="730"/>
      <c r="O467" s="3228">
        <f t="shared" si="14"/>
        <v>0</v>
      </c>
      <c r="P467" s="3229"/>
      <c r="Q467" s="2078"/>
      <c r="S467" s="3487"/>
      <c r="T467" s="328"/>
      <c r="U467" s="234"/>
      <c r="V467" s="234"/>
      <c r="W467" s="234"/>
      <c r="X467" s="234"/>
      <c r="Y467" s="234"/>
      <c r="Z467" s="234"/>
      <c r="AA467" s="234"/>
      <c r="AB467" s="234"/>
      <c r="AC467" s="234"/>
      <c r="AD467" s="234"/>
      <c r="AE467" s="234"/>
      <c r="AF467" s="234"/>
      <c r="AG467" s="234"/>
      <c r="AH467" s="234"/>
    </row>
    <row r="468" spans="2:34" ht="18" customHeight="1">
      <c r="B468" s="2123" t="str">
        <f>IF(COUNTBLANK(E468:N468)&lt;10,"","w")</f>
        <v>w</v>
      </c>
      <c r="C468" s="3266" t="s">
        <v>653</v>
      </c>
      <c r="D468" s="3267"/>
      <c r="E468" s="716"/>
      <c r="F468" s="717"/>
      <c r="G468" s="717"/>
      <c r="H468" s="717"/>
      <c r="I468" s="717"/>
      <c r="J468" s="717"/>
      <c r="K468" s="717"/>
      <c r="L468" s="717"/>
      <c r="M468" s="717"/>
      <c r="N468" s="718"/>
      <c r="O468" s="3268">
        <f t="shared" si="14"/>
        <v>0</v>
      </c>
      <c r="P468" s="3269"/>
      <c r="Q468" s="2078"/>
      <c r="S468" s="3487"/>
    </row>
    <row r="469" spans="2:34" ht="18" customHeight="1">
      <c r="B469" s="2123" t="str">
        <f>IF(COUNTBLANK(E469:N469)&lt;10,"","w")</f>
        <v>w</v>
      </c>
      <c r="C469" s="3205" t="s">
        <v>654</v>
      </c>
      <c r="D469" s="3206"/>
      <c r="E469" s="735"/>
      <c r="F469" s="736"/>
      <c r="G469" s="736"/>
      <c r="H469" s="736"/>
      <c r="I469" s="736"/>
      <c r="J469" s="736"/>
      <c r="K469" s="736"/>
      <c r="L469" s="736"/>
      <c r="M469" s="736"/>
      <c r="N469" s="737"/>
      <c r="O469" s="3224">
        <f t="shared" si="14"/>
        <v>0</v>
      </c>
      <c r="P469" s="3225"/>
      <c r="Q469" s="2078"/>
      <c r="S469" s="3487"/>
    </row>
    <row r="470" spans="2:34" ht="18" customHeight="1" thickBot="1">
      <c r="B470" s="2123" t="str">
        <f>IF(COUNTBLANK(E470:N470)&lt;10,"","w")</f>
        <v>w</v>
      </c>
      <c r="C470" s="3266" t="s">
        <v>655</v>
      </c>
      <c r="D470" s="3267"/>
      <c r="E470" s="716"/>
      <c r="F470" s="717"/>
      <c r="G470" s="717"/>
      <c r="H470" s="717"/>
      <c r="I470" s="717"/>
      <c r="J470" s="717"/>
      <c r="K470" s="717"/>
      <c r="L470" s="717"/>
      <c r="M470" s="717"/>
      <c r="N470" s="718"/>
      <c r="O470" s="3268">
        <f t="shared" si="14"/>
        <v>0</v>
      </c>
      <c r="P470" s="3269"/>
      <c r="Q470" s="2078"/>
      <c r="S470" s="3487"/>
    </row>
    <row r="471" spans="2:34" ht="37.5" customHeight="1" thickBot="1">
      <c r="B471" s="2086"/>
      <c r="C471" s="3209" t="s">
        <v>539</v>
      </c>
      <c r="D471" s="3210"/>
      <c r="E471" s="3217"/>
      <c r="F471" s="3218"/>
      <c r="G471" s="3218"/>
      <c r="H471" s="3218"/>
      <c r="I471" s="3218"/>
      <c r="J471" s="3218"/>
      <c r="K471" s="3218"/>
      <c r="L471" s="3218"/>
      <c r="M471" s="3218"/>
      <c r="N471" s="3218"/>
      <c r="O471" s="3218"/>
      <c r="P471" s="3219"/>
      <c r="Q471" s="2078"/>
      <c r="S471" s="3487"/>
    </row>
    <row r="472" spans="2:34" ht="22.5" customHeight="1" thickBot="1">
      <c r="B472" s="2123"/>
      <c r="C472" s="1066" t="s">
        <v>482</v>
      </c>
      <c r="D472" s="744" t="s">
        <v>467</v>
      </c>
      <c r="E472" s="745">
        <f t="shared" ref="E472:N472" si="17">E473+E475+E474</f>
        <v>0</v>
      </c>
      <c r="F472" s="746">
        <f t="shared" si="17"/>
        <v>0</v>
      </c>
      <c r="G472" s="746">
        <f t="shared" si="17"/>
        <v>0</v>
      </c>
      <c r="H472" s="746">
        <f t="shared" si="17"/>
        <v>0</v>
      </c>
      <c r="I472" s="746">
        <f t="shared" si="17"/>
        <v>0</v>
      </c>
      <c r="J472" s="746">
        <f t="shared" si="17"/>
        <v>0</v>
      </c>
      <c r="K472" s="746">
        <f t="shared" si="17"/>
        <v>0</v>
      </c>
      <c r="L472" s="746">
        <f t="shared" si="17"/>
        <v>0</v>
      </c>
      <c r="M472" s="746">
        <f t="shared" si="17"/>
        <v>0</v>
      </c>
      <c r="N472" s="747">
        <f t="shared" si="17"/>
        <v>0</v>
      </c>
      <c r="O472" s="3230">
        <f t="shared" ref="O472:O478" si="18">SUM(E472:N472)</f>
        <v>0</v>
      </c>
      <c r="P472" s="3231"/>
      <c r="Q472" s="2136"/>
      <c r="S472" s="3487"/>
    </row>
    <row r="473" spans="2:34" ht="18" customHeight="1">
      <c r="B473" s="2123" t="str">
        <f>IF(COUNTBLANK(E473:N473)&lt;10,"","u")</f>
        <v>u</v>
      </c>
      <c r="C473" s="3211" t="s">
        <v>2287</v>
      </c>
      <c r="D473" s="3212"/>
      <c r="E473" s="576"/>
      <c r="F473" s="577"/>
      <c r="G473" s="577"/>
      <c r="H473" s="577"/>
      <c r="I473" s="577"/>
      <c r="J473" s="577"/>
      <c r="K473" s="577"/>
      <c r="L473" s="577"/>
      <c r="M473" s="577"/>
      <c r="N473" s="578"/>
      <c r="O473" s="3272">
        <f t="shared" si="18"/>
        <v>0</v>
      </c>
      <c r="P473" s="3273"/>
      <c r="Q473" s="2136"/>
      <c r="S473" s="3487"/>
    </row>
    <row r="474" spans="2:34" ht="18" customHeight="1">
      <c r="B474" s="2123" t="str">
        <f>IF(COUNTBLANK(E474:N474)&lt;10,"","u")</f>
        <v>u</v>
      </c>
      <c r="C474" s="3432" t="s">
        <v>656</v>
      </c>
      <c r="D474" s="3433"/>
      <c r="E474" s="725"/>
      <c r="F474" s="726"/>
      <c r="G474" s="726"/>
      <c r="H474" s="726"/>
      <c r="I474" s="726"/>
      <c r="J474" s="726"/>
      <c r="K474" s="726"/>
      <c r="L474" s="726"/>
      <c r="M474" s="726"/>
      <c r="N474" s="727"/>
      <c r="O474" s="3226">
        <f t="shared" si="18"/>
        <v>0</v>
      </c>
      <c r="P474" s="3227"/>
      <c r="Q474" s="2136"/>
      <c r="S474" s="3487"/>
    </row>
    <row r="475" spans="2:34" ht="18" customHeight="1">
      <c r="B475" s="2123" t="str">
        <f>IF(COUNTBLANK(E475:N475)&lt;10,"","u")</f>
        <v>u</v>
      </c>
      <c r="C475" s="1068" t="s">
        <v>651</v>
      </c>
      <c r="D475" s="974" t="s">
        <v>237</v>
      </c>
      <c r="E475" s="725"/>
      <c r="F475" s="726"/>
      <c r="G475" s="726"/>
      <c r="H475" s="726"/>
      <c r="I475" s="726"/>
      <c r="J475" s="726"/>
      <c r="K475" s="726"/>
      <c r="L475" s="726"/>
      <c r="M475" s="726"/>
      <c r="N475" s="727"/>
      <c r="O475" s="3226">
        <f t="shared" si="18"/>
        <v>0</v>
      </c>
      <c r="P475" s="3227"/>
      <c r="Q475" s="2078"/>
      <c r="S475" s="3487"/>
      <c r="T475" s="328"/>
      <c r="U475" s="234"/>
      <c r="V475" s="234"/>
      <c r="W475" s="234"/>
      <c r="X475" s="234"/>
      <c r="Y475" s="234"/>
      <c r="Z475" s="234"/>
      <c r="AA475" s="234"/>
      <c r="AB475" s="234"/>
      <c r="AC475" s="234"/>
      <c r="AD475" s="234"/>
      <c r="AE475" s="234"/>
      <c r="AF475" s="234"/>
      <c r="AG475" s="234"/>
      <c r="AH475" s="234"/>
    </row>
    <row r="476" spans="2:34" ht="18" customHeight="1">
      <c r="B476" s="2123" t="str">
        <f>IF(COUNTBLANK(E476:N476)&lt;10,"","w")</f>
        <v>w</v>
      </c>
      <c r="C476" s="3201" t="s">
        <v>653</v>
      </c>
      <c r="D476" s="3202"/>
      <c r="E476" s="728"/>
      <c r="F476" s="729"/>
      <c r="G476" s="729"/>
      <c r="H476" s="729"/>
      <c r="I476" s="729"/>
      <c r="J476" s="729"/>
      <c r="K476" s="729"/>
      <c r="L476" s="729"/>
      <c r="M476" s="729"/>
      <c r="N476" s="730"/>
      <c r="O476" s="3228">
        <f t="shared" si="18"/>
        <v>0</v>
      </c>
      <c r="P476" s="3229"/>
      <c r="Q476" s="2136"/>
      <c r="S476" s="3487"/>
    </row>
    <row r="477" spans="2:34" ht="18" customHeight="1">
      <c r="B477" s="2123" t="str">
        <f>IF(COUNTBLANK(E477:N477)&lt;10,"","w")</f>
        <v>w</v>
      </c>
      <c r="C477" s="3205" t="s">
        <v>654</v>
      </c>
      <c r="D477" s="3206"/>
      <c r="E477" s="735"/>
      <c r="F477" s="736"/>
      <c r="G477" s="736"/>
      <c r="H477" s="736"/>
      <c r="I477" s="736"/>
      <c r="J477" s="736"/>
      <c r="K477" s="736"/>
      <c r="L477" s="736"/>
      <c r="M477" s="736"/>
      <c r="N477" s="737"/>
      <c r="O477" s="3224">
        <f t="shared" si="18"/>
        <v>0</v>
      </c>
      <c r="P477" s="3225"/>
      <c r="Q477" s="2136"/>
      <c r="S477" s="3487"/>
    </row>
    <row r="478" spans="2:34" ht="18" customHeight="1" thickBot="1">
      <c r="B478" s="2123" t="str">
        <f>IF(COUNTBLANK(E478:N478)&lt;10,"","w")</f>
        <v>w</v>
      </c>
      <c r="C478" s="3266" t="s">
        <v>655</v>
      </c>
      <c r="D478" s="3267"/>
      <c r="E478" s="716"/>
      <c r="F478" s="717"/>
      <c r="G478" s="717"/>
      <c r="H478" s="717"/>
      <c r="I478" s="717"/>
      <c r="J478" s="717"/>
      <c r="K478" s="717"/>
      <c r="L478" s="717"/>
      <c r="M478" s="717"/>
      <c r="N478" s="718"/>
      <c r="O478" s="3268">
        <f t="shared" si="18"/>
        <v>0</v>
      </c>
      <c r="P478" s="3269"/>
      <c r="Q478" s="2136"/>
      <c r="S478" s="3487"/>
    </row>
    <row r="479" spans="2:34" ht="37.5" customHeight="1" thickBot="1">
      <c r="B479" s="2086"/>
      <c r="C479" s="3209" t="s">
        <v>539</v>
      </c>
      <c r="D479" s="3210"/>
      <c r="E479" s="3217"/>
      <c r="F479" s="3218"/>
      <c r="G479" s="3218"/>
      <c r="H479" s="3218"/>
      <c r="I479" s="3218"/>
      <c r="J479" s="3218"/>
      <c r="K479" s="3218"/>
      <c r="L479" s="3218"/>
      <c r="M479" s="3218"/>
      <c r="N479" s="3218"/>
      <c r="O479" s="3218"/>
      <c r="P479" s="3219"/>
      <c r="Q479" s="2078"/>
      <c r="S479" s="3487"/>
    </row>
    <row r="480" spans="2:34" ht="22.5" customHeight="1" thickBot="1">
      <c r="B480" s="2086"/>
      <c r="C480" s="1070" t="s">
        <v>657</v>
      </c>
      <c r="D480" s="748" t="s">
        <v>467</v>
      </c>
      <c r="E480" s="749">
        <f t="shared" ref="E480:N480" si="19">E481+E487</f>
        <v>0</v>
      </c>
      <c r="F480" s="750">
        <f t="shared" si="19"/>
        <v>0</v>
      </c>
      <c r="G480" s="750">
        <f t="shared" si="19"/>
        <v>0</v>
      </c>
      <c r="H480" s="750">
        <f t="shared" si="19"/>
        <v>0</v>
      </c>
      <c r="I480" s="750">
        <f t="shared" si="19"/>
        <v>0</v>
      </c>
      <c r="J480" s="750">
        <f t="shared" si="19"/>
        <v>0</v>
      </c>
      <c r="K480" s="750">
        <f t="shared" si="19"/>
        <v>0</v>
      </c>
      <c r="L480" s="750">
        <f t="shared" si="19"/>
        <v>0</v>
      </c>
      <c r="M480" s="750">
        <f t="shared" si="19"/>
        <v>0</v>
      </c>
      <c r="N480" s="751">
        <f t="shared" si="19"/>
        <v>0</v>
      </c>
      <c r="O480" s="3434">
        <f t="shared" ref="O480:O492" si="20">SUM(E480:N480)</f>
        <v>0</v>
      </c>
      <c r="P480" s="3435"/>
      <c r="Q480" s="2078"/>
      <c r="S480" s="3487"/>
      <c r="T480" s="663"/>
      <c r="U480" s="11"/>
      <c r="V480" s="11"/>
      <c r="W480" s="11"/>
      <c r="X480" s="11"/>
      <c r="Y480" s="11"/>
      <c r="Z480" s="11"/>
      <c r="AA480" s="11"/>
      <c r="AB480" s="11"/>
      <c r="AC480" s="11"/>
      <c r="AD480" s="11"/>
      <c r="AE480" s="11"/>
    </row>
    <row r="481" spans="2:34" ht="22.5" customHeight="1">
      <c r="B481" s="2086"/>
      <c r="C481" s="1069" t="s">
        <v>104</v>
      </c>
      <c r="D481" s="738" t="s">
        <v>650</v>
      </c>
      <c r="E481" s="739">
        <f>SUM(E482:E483)</f>
        <v>0</v>
      </c>
      <c r="F481" s="740">
        <f t="shared" ref="F481:N481" si="21">SUM(F482:F483)</f>
        <v>0</v>
      </c>
      <c r="G481" s="740">
        <f t="shared" si="21"/>
        <v>0</v>
      </c>
      <c r="H481" s="740">
        <f t="shared" si="21"/>
        <v>0</v>
      </c>
      <c r="I481" s="740">
        <f t="shared" si="21"/>
        <v>0</v>
      </c>
      <c r="J481" s="740">
        <f t="shared" si="21"/>
        <v>0</v>
      </c>
      <c r="K481" s="740">
        <f t="shared" si="21"/>
        <v>0</v>
      </c>
      <c r="L481" s="740">
        <f t="shared" si="21"/>
        <v>0</v>
      </c>
      <c r="M481" s="740">
        <f t="shared" si="21"/>
        <v>0</v>
      </c>
      <c r="N481" s="740">
        <f t="shared" si="21"/>
        <v>0</v>
      </c>
      <c r="O481" s="3274">
        <f t="shared" si="20"/>
        <v>0</v>
      </c>
      <c r="P481" s="3275"/>
      <c r="Q481" s="2078"/>
      <c r="S481" s="3487"/>
      <c r="T481" s="662"/>
      <c r="U481" s="326"/>
      <c r="V481" s="327"/>
      <c r="W481" s="327"/>
      <c r="X481" s="327"/>
      <c r="Y481" s="327"/>
      <c r="Z481" s="327"/>
      <c r="AA481" s="327"/>
      <c r="AB481" s="327"/>
      <c r="AC481" s="327"/>
      <c r="AD481" s="327"/>
      <c r="AE481" s="662"/>
      <c r="AF481" s="662"/>
      <c r="AG481" s="662"/>
      <c r="AH481" s="662"/>
    </row>
    <row r="482" spans="2:34" ht="18" customHeight="1">
      <c r="B482" s="2123" t="str">
        <f>IF(COUNTBLANK(E482:N482)&lt;10,"","u")</f>
        <v>u</v>
      </c>
      <c r="C482" s="3211" t="s">
        <v>2287</v>
      </c>
      <c r="D482" s="3212"/>
      <c r="E482" s="576"/>
      <c r="F482" s="577"/>
      <c r="G482" s="577"/>
      <c r="H482" s="577"/>
      <c r="I482" s="577"/>
      <c r="J482" s="577"/>
      <c r="K482" s="577"/>
      <c r="L482" s="577"/>
      <c r="M482" s="577"/>
      <c r="N482" s="578"/>
      <c r="O482" s="3226">
        <f t="shared" si="20"/>
        <v>0</v>
      </c>
      <c r="P482" s="3227"/>
      <c r="Q482" s="2078"/>
      <c r="S482" s="3487"/>
    </row>
    <row r="483" spans="2:34" ht="18" customHeight="1">
      <c r="B483" s="2123" t="str">
        <f>IF(COUNTBLANK(E483:N483)&lt;10,"","u")</f>
        <v>u</v>
      </c>
      <c r="C483" s="1068" t="s">
        <v>651</v>
      </c>
      <c r="D483" s="974" t="s">
        <v>237</v>
      </c>
      <c r="E483" s="725"/>
      <c r="F483" s="726"/>
      <c r="G483" s="726"/>
      <c r="H483" s="726"/>
      <c r="I483" s="726"/>
      <c r="J483" s="726"/>
      <c r="K483" s="726"/>
      <c r="L483" s="726"/>
      <c r="M483" s="726"/>
      <c r="N483" s="727"/>
      <c r="O483" s="3226">
        <f t="shared" si="20"/>
        <v>0</v>
      </c>
      <c r="P483" s="3227"/>
      <c r="Q483" s="2078"/>
      <c r="S483" s="3487"/>
      <c r="T483" s="328"/>
      <c r="U483" s="234"/>
      <c r="V483" s="234"/>
      <c r="W483" s="234"/>
      <c r="X483" s="234"/>
      <c r="Y483" s="234"/>
      <c r="Z483" s="234"/>
      <c r="AA483" s="234"/>
      <c r="AB483" s="234"/>
      <c r="AC483" s="234"/>
      <c r="AD483" s="234"/>
      <c r="AE483" s="234"/>
      <c r="AF483" s="234"/>
      <c r="AG483" s="234"/>
      <c r="AH483" s="234"/>
    </row>
    <row r="484" spans="2:34" ht="18" customHeight="1">
      <c r="B484" s="2123" t="str">
        <f>IF(COUNTBLANK(E484:N484)&lt;10,"","w")</f>
        <v>w</v>
      </c>
      <c r="C484" s="3201" t="s">
        <v>653</v>
      </c>
      <c r="D484" s="3202"/>
      <c r="E484" s="728"/>
      <c r="F484" s="729"/>
      <c r="G484" s="729"/>
      <c r="H484" s="729"/>
      <c r="I484" s="729"/>
      <c r="J484" s="729"/>
      <c r="K484" s="729"/>
      <c r="L484" s="729"/>
      <c r="M484" s="729"/>
      <c r="N484" s="730"/>
      <c r="O484" s="3228">
        <f t="shared" si="20"/>
        <v>0</v>
      </c>
      <c r="P484" s="3229"/>
      <c r="Q484" s="2078"/>
      <c r="S484" s="3487"/>
    </row>
    <row r="485" spans="2:34" ht="18" customHeight="1">
      <c r="B485" s="2123" t="str">
        <f>IF(COUNTBLANK(E485:N485)&lt;10,"","w")</f>
        <v>w</v>
      </c>
      <c r="C485" s="3205" t="s">
        <v>654</v>
      </c>
      <c r="D485" s="3206"/>
      <c r="E485" s="735"/>
      <c r="F485" s="736"/>
      <c r="G485" s="736"/>
      <c r="H485" s="736"/>
      <c r="I485" s="736"/>
      <c r="J485" s="736"/>
      <c r="K485" s="736"/>
      <c r="L485" s="736"/>
      <c r="M485" s="736"/>
      <c r="N485" s="737"/>
      <c r="O485" s="3224">
        <f t="shared" si="20"/>
        <v>0</v>
      </c>
      <c r="P485" s="3225"/>
      <c r="Q485" s="2078"/>
      <c r="S485" s="3487"/>
    </row>
    <row r="486" spans="2:34" ht="18" customHeight="1" thickBot="1">
      <c r="B486" s="2123" t="str">
        <f>IF(COUNTBLANK(E486:N486)&lt;10,"","w")</f>
        <v>w</v>
      </c>
      <c r="C486" s="3203" t="s">
        <v>655</v>
      </c>
      <c r="D486" s="3204"/>
      <c r="E486" s="752"/>
      <c r="F486" s="753"/>
      <c r="G486" s="753"/>
      <c r="H486" s="753"/>
      <c r="I486" s="753"/>
      <c r="J486" s="753"/>
      <c r="K486" s="753"/>
      <c r="L486" s="753"/>
      <c r="M486" s="753"/>
      <c r="N486" s="754"/>
      <c r="O486" s="3364">
        <f t="shared" si="20"/>
        <v>0</v>
      </c>
      <c r="P486" s="3365"/>
      <c r="Q486" s="2078"/>
      <c r="S486" s="3487"/>
    </row>
    <row r="487" spans="2:34" ht="22.5" customHeight="1">
      <c r="B487" s="2086"/>
      <c r="C487" s="1067" t="s">
        <v>105</v>
      </c>
      <c r="D487" s="734" t="s">
        <v>650</v>
      </c>
      <c r="E487" s="732">
        <f>SUM(E488:E489)</f>
        <v>0</v>
      </c>
      <c r="F487" s="733">
        <f t="shared" ref="F487:N487" si="22">SUM(F488:F489)</f>
        <v>0</v>
      </c>
      <c r="G487" s="733">
        <f t="shared" si="22"/>
        <v>0</v>
      </c>
      <c r="H487" s="733">
        <f t="shared" si="22"/>
        <v>0</v>
      </c>
      <c r="I487" s="733">
        <f t="shared" si="22"/>
        <v>0</v>
      </c>
      <c r="J487" s="733">
        <f t="shared" si="22"/>
        <v>0</v>
      </c>
      <c r="K487" s="733">
        <f t="shared" si="22"/>
        <v>0</v>
      </c>
      <c r="L487" s="733">
        <f t="shared" si="22"/>
        <v>0</v>
      </c>
      <c r="M487" s="733">
        <f t="shared" si="22"/>
        <v>0</v>
      </c>
      <c r="N487" s="733">
        <f t="shared" si="22"/>
        <v>0</v>
      </c>
      <c r="O487" s="3174">
        <f t="shared" si="20"/>
        <v>0</v>
      </c>
      <c r="P487" s="3175"/>
      <c r="Q487" s="2078"/>
      <c r="S487" s="3487"/>
      <c r="T487" s="662"/>
      <c r="U487" s="326"/>
      <c r="V487" s="327"/>
      <c r="W487" s="327"/>
      <c r="X487" s="327"/>
      <c r="Y487" s="327"/>
      <c r="Z487" s="327"/>
      <c r="AA487" s="327"/>
      <c r="AB487" s="327"/>
      <c r="AC487" s="327"/>
      <c r="AD487" s="327"/>
      <c r="AE487" s="662"/>
      <c r="AF487" s="662"/>
      <c r="AG487" s="662"/>
      <c r="AH487" s="662"/>
    </row>
    <row r="488" spans="2:34" ht="18" customHeight="1">
      <c r="B488" s="2123" t="str">
        <f>IF(COUNTBLANK(E488:N488)&lt;10,"","u")</f>
        <v>u</v>
      </c>
      <c r="C488" s="3211" t="s">
        <v>2287</v>
      </c>
      <c r="D488" s="3212"/>
      <c r="E488" s="576"/>
      <c r="F488" s="577"/>
      <c r="G488" s="577"/>
      <c r="H488" s="577"/>
      <c r="I488" s="577"/>
      <c r="J488" s="577"/>
      <c r="K488" s="577"/>
      <c r="L488" s="577"/>
      <c r="M488" s="577"/>
      <c r="N488" s="578"/>
      <c r="O488" s="3226">
        <f t="shared" si="20"/>
        <v>0</v>
      </c>
      <c r="P488" s="3227"/>
      <c r="Q488" s="2078"/>
      <c r="S488" s="3487"/>
    </row>
    <row r="489" spans="2:34" ht="18" customHeight="1">
      <c r="B489" s="2123" t="str">
        <f>IF(COUNTBLANK(E489:N489)&lt;10,"","u")</f>
        <v>u</v>
      </c>
      <c r="C489" s="1068" t="s">
        <v>651</v>
      </c>
      <c r="D489" s="974" t="s">
        <v>237</v>
      </c>
      <c r="E489" s="725"/>
      <c r="F489" s="726"/>
      <c r="G489" s="726"/>
      <c r="H489" s="726"/>
      <c r="I489" s="726"/>
      <c r="J489" s="726"/>
      <c r="K489" s="726"/>
      <c r="L489" s="726"/>
      <c r="M489" s="726"/>
      <c r="N489" s="727"/>
      <c r="O489" s="3226">
        <f t="shared" si="20"/>
        <v>0</v>
      </c>
      <c r="P489" s="3227"/>
      <c r="Q489" s="2078"/>
      <c r="S489" s="3487"/>
      <c r="T489" s="328"/>
      <c r="U489" s="234"/>
      <c r="V489" s="234"/>
      <c r="W489" s="234"/>
      <c r="X489" s="234"/>
      <c r="Y489" s="234"/>
      <c r="Z489" s="234"/>
      <c r="AA489" s="234"/>
      <c r="AB489" s="234"/>
      <c r="AC489" s="234"/>
      <c r="AD489" s="234"/>
      <c r="AE489" s="234"/>
      <c r="AF489" s="234"/>
      <c r="AG489" s="234"/>
      <c r="AH489" s="234"/>
    </row>
    <row r="490" spans="2:34" ht="18" customHeight="1">
      <c r="B490" s="2123" t="str">
        <f>IF(COUNTBLANK(E490:N490)&lt;10,"","w")</f>
        <v>w</v>
      </c>
      <c r="C490" s="3201" t="s">
        <v>653</v>
      </c>
      <c r="D490" s="3202"/>
      <c r="E490" s="728"/>
      <c r="F490" s="729"/>
      <c r="G490" s="729"/>
      <c r="H490" s="729"/>
      <c r="I490" s="729"/>
      <c r="J490" s="729"/>
      <c r="K490" s="729"/>
      <c r="L490" s="729"/>
      <c r="M490" s="729"/>
      <c r="N490" s="730"/>
      <c r="O490" s="3228">
        <f t="shared" si="20"/>
        <v>0</v>
      </c>
      <c r="P490" s="3229"/>
      <c r="Q490" s="2078"/>
      <c r="S490" s="3487"/>
    </row>
    <row r="491" spans="2:34" ht="18" customHeight="1">
      <c r="B491" s="2123" t="str">
        <f>IF(COUNTBLANK(E491:N491)&lt;10,"","w")</f>
        <v>w</v>
      </c>
      <c r="C491" s="3205" t="s">
        <v>654</v>
      </c>
      <c r="D491" s="3206"/>
      <c r="E491" s="735"/>
      <c r="F491" s="736"/>
      <c r="G491" s="736"/>
      <c r="H491" s="736"/>
      <c r="I491" s="736"/>
      <c r="J491" s="736"/>
      <c r="K491" s="736"/>
      <c r="L491" s="736"/>
      <c r="M491" s="736"/>
      <c r="N491" s="737"/>
      <c r="O491" s="3224">
        <f t="shared" si="20"/>
        <v>0</v>
      </c>
      <c r="P491" s="3225"/>
      <c r="Q491" s="2078"/>
      <c r="S491" s="3487"/>
    </row>
    <row r="492" spans="2:34" ht="18" customHeight="1" thickBot="1">
      <c r="B492" s="2123" t="str">
        <f>IF(COUNTBLANK(E492:N492)&lt;10,"","w")</f>
        <v>w</v>
      </c>
      <c r="C492" s="3205" t="s">
        <v>655</v>
      </c>
      <c r="D492" s="3206"/>
      <c r="E492" s="716"/>
      <c r="F492" s="717"/>
      <c r="G492" s="717"/>
      <c r="H492" s="717"/>
      <c r="I492" s="717"/>
      <c r="J492" s="717"/>
      <c r="K492" s="717"/>
      <c r="L492" s="717"/>
      <c r="M492" s="717"/>
      <c r="N492" s="718"/>
      <c r="O492" s="3268">
        <f t="shared" si="20"/>
        <v>0</v>
      </c>
      <c r="P492" s="3269"/>
      <c r="Q492" s="2078"/>
      <c r="S492" s="3487"/>
    </row>
    <row r="493" spans="2:34" ht="37.5" customHeight="1" thickBot="1">
      <c r="B493" s="2086"/>
      <c r="C493" s="3209" t="s">
        <v>539</v>
      </c>
      <c r="D493" s="3210"/>
      <c r="E493" s="3217"/>
      <c r="F493" s="3218"/>
      <c r="G493" s="3218"/>
      <c r="H493" s="3218"/>
      <c r="I493" s="3218"/>
      <c r="J493" s="3218"/>
      <c r="K493" s="3218"/>
      <c r="L493" s="3218"/>
      <c r="M493" s="3218"/>
      <c r="N493" s="3218"/>
      <c r="O493" s="3218"/>
      <c r="P493" s="3219"/>
      <c r="Q493" s="2078"/>
      <c r="S493" s="3487"/>
    </row>
    <row r="494" spans="2:34" ht="30" customHeight="1" thickBot="1">
      <c r="B494" s="2086"/>
      <c r="C494" s="3220" t="s">
        <v>821</v>
      </c>
      <c r="D494" s="3221"/>
      <c r="E494" s="1146">
        <f t="shared" ref="E494:N494" si="23">E456+E472+E480</f>
        <v>0</v>
      </c>
      <c r="F494" s="1147">
        <f t="shared" si="23"/>
        <v>0</v>
      </c>
      <c r="G494" s="1147">
        <f t="shared" si="23"/>
        <v>0</v>
      </c>
      <c r="H494" s="1147">
        <f t="shared" si="23"/>
        <v>0</v>
      </c>
      <c r="I494" s="1147">
        <f t="shared" si="23"/>
        <v>0</v>
      </c>
      <c r="J494" s="1147">
        <f t="shared" si="23"/>
        <v>0</v>
      </c>
      <c r="K494" s="1147">
        <f t="shared" si="23"/>
        <v>0</v>
      </c>
      <c r="L494" s="1147">
        <f t="shared" si="23"/>
        <v>0</v>
      </c>
      <c r="M494" s="1147">
        <f t="shared" si="23"/>
        <v>0</v>
      </c>
      <c r="N494" s="1148">
        <f t="shared" si="23"/>
        <v>0</v>
      </c>
      <c r="O494" s="3243">
        <f>SUM(E494:N494)</f>
        <v>0</v>
      </c>
      <c r="P494" s="3244"/>
      <c r="Q494" s="2078"/>
      <c r="S494" s="3487"/>
    </row>
    <row r="495" spans="2:34" ht="16.5" customHeight="1">
      <c r="B495" s="2086"/>
      <c r="C495" s="2129"/>
      <c r="D495" s="2077"/>
      <c r="E495" s="2077"/>
      <c r="F495" s="2077"/>
      <c r="G495" s="2077"/>
      <c r="H495" s="2077"/>
      <c r="I495" s="2077"/>
      <c r="J495" s="2077"/>
      <c r="K495" s="2077"/>
      <c r="L495" s="2077"/>
      <c r="M495" s="2077"/>
      <c r="N495" s="2077"/>
      <c r="O495" s="2077"/>
      <c r="P495" s="2077"/>
      <c r="Q495" s="2078"/>
      <c r="S495" s="3487"/>
    </row>
    <row r="496" spans="2:34" ht="17.25" customHeight="1">
      <c r="B496" s="2086"/>
      <c r="C496" s="2130" t="s">
        <v>567</v>
      </c>
      <c r="D496" s="2077"/>
      <c r="E496" s="2077"/>
      <c r="F496" s="2077"/>
      <c r="G496" s="2077"/>
      <c r="H496" s="2077"/>
      <c r="I496" s="2406" t="str">
        <f>IF((OR(ISBLANK(F626),ISBLANK(F627),ISBLANK(F631))=FALSE),"Complété","À compléter")</f>
        <v>À compléter</v>
      </c>
      <c r="J496" s="2406" t="str">
        <f>IF((OR(ISBLANK(F626),ISBLANK(F627),ISBLANK(F631),ISBLANK(K626),ISBLANK(K627),ISBLANK(K631))=FALSE),"Complété","À compléter")</f>
        <v>À compléter</v>
      </c>
      <c r="K496" s="2077"/>
      <c r="L496" s="2077"/>
      <c r="M496" s="2077"/>
      <c r="N496" s="2077"/>
      <c r="O496" s="2077"/>
      <c r="P496" s="2077"/>
      <c r="Q496" s="2078"/>
      <c r="S496" s="3487"/>
    </row>
    <row r="497" spans="1:19" ht="18" customHeight="1">
      <c r="B497" s="2086"/>
      <c r="C497" s="1938"/>
      <c r="D497" s="2131"/>
      <c r="E497" s="3743" t="s">
        <v>568</v>
      </c>
      <c r="F497" s="3743"/>
      <c r="G497" s="3743"/>
      <c r="H497" s="3744"/>
      <c r="I497" s="353" t="str">
        <f>IF($M$73='MENU DÉROULANT'!$C$66,I496,J496)</f>
        <v>À compléter</v>
      </c>
      <c r="J497" s="3727" t="s">
        <v>3454</v>
      </c>
      <c r="K497" s="3727"/>
      <c r="L497" s="3727"/>
      <c r="M497" s="3727"/>
      <c r="N497" s="3727"/>
      <c r="O497" s="3727"/>
      <c r="P497" s="3727"/>
      <c r="Q497" s="2078"/>
      <c r="S497" s="3487"/>
    </row>
    <row r="498" spans="1:19" ht="6.75" customHeight="1">
      <c r="B498" s="2086"/>
      <c r="C498" s="2077"/>
      <c r="D498" s="2131"/>
      <c r="E498" s="2131"/>
      <c r="F498" s="2131"/>
      <c r="G498" s="2131"/>
      <c r="H498" s="2131"/>
      <c r="I498" s="2077"/>
      <c r="J498" s="2132"/>
      <c r="K498" s="2132"/>
      <c r="L498" s="2132"/>
      <c r="M498" s="2132"/>
      <c r="N498" s="2132"/>
      <c r="O498" s="2132"/>
      <c r="P498" s="2132"/>
      <c r="Q498" s="2078"/>
      <c r="S498" s="3487"/>
    </row>
    <row r="499" spans="1:19" ht="18" customHeight="1">
      <c r="B499" s="2086"/>
      <c r="C499" s="2077"/>
      <c r="D499" s="3743" t="s">
        <v>569</v>
      </c>
      <c r="E499" s="3743"/>
      <c r="F499" s="3743"/>
      <c r="G499" s="3743"/>
      <c r="H499" s="3744"/>
      <c r="I499" s="353" t="str">
        <f>IF($M$73='MENU DÉROULANT'!$C$66,I500,J500)</f>
        <v>À compléter</v>
      </c>
      <c r="J499" s="3727" t="s">
        <v>3455</v>
      </c>
      <c r="K499" s="3727"/>
      <c r="L499" s="3727"/>
      <c r="M499" s="3727"/>
      <c r="N499" s="3727"/>
      <c r="O499" s="3727"/>
      <c r="P499" s="3727"/>
      <c r="Q499" s="2078"/>
      <c r="S499" s="3487"/>
    </row>
    <row r="500" spans="1:19" ht="17.25" customHeight="1">
      <c r="B500" s="2086"/>
      <c r="C500" s="2077"/>
      <c r="D500" s="2117"/>
      <c r="E500" s="2117"/>
      <c r="F500" s="2117"/>
      <c r="G500" s="2117"/>
      <c r="H500" s="2117"/>
      <c r="I500" s="2406" t="str">
        <f>IF((OR(ISBLANK(F686),ISBLANK(F690))=FALSE),"Complété","À compléter")</f>
        <v>À compléter</v>
      </c>
      <c r="J500" s="2406" t="str">
        <f>IF((OR(ISBLANK(F686),ISBLANK(F690),ISBLANK(K686),ISBLANK(K690))=FALSE),"Complété","À compléter")</f>
        <v>À compléter</v>
      </c>
      <c r="K500" s="2119"/>
      <c r="L500" s="2119"/>
      <c r="M500" s="2119"/>
      <c r="N500" s="2119"/>
      <c r="O500" s="2119"/>
      <c r="P500" s="2119"/>
      <c r="Q500" s="2078"/>
      <c r="S500" s="3487"/>
    </row>
    <row r="501" spans="1:19" ht="18" customHeight="1">
      <c r="B501" s="2086"/>
      <c r="C501" s="2120" t="s">
        <v>570</v>
      </c>
      <c r="D501" s="2117"/>
      <c r="E501" s="2117"/>
      <c r="F501" s="2117"/>
      <c r="G501" s="1938"/>
      <c r="H501" s="3745" t="s">
        <v>662</v>
      </c>
      <c r="I501" s="3745"/>
      <c r="J501" s="1938"/>
      <c r="K501" s="1938"/>
      <c r="L501" s="2119"/>
      <c r="M501" s="2119"/>
      <c r="N501" s="2119"/>
      <c r="O501" s="2119"/>
      <c r="P501" s="2119"/>
      <c r="Q501" s="2078"/>
      <c r="S501" s="3487"/>
    </row>
    <row r="502" spans="1:19" ht="15" thickBot="1">
      <c r="B502" s="2087"/>
      <c r="C502" s="2092"/>
      <c r="D502" s="2092"/>
      <c r="E502" s="2092"/>
      <c r="F502" s="2121"/>
      <c r="G502" s="2121"/>
      <c r="H502" s="2092"/>
      <c r="I502" s="2121"/>
      <c r="J502" s="2121"/>
      <c r="K502" s="2092"/>
      <c r="L502" s="2121"/>
      <c r="M502" s="2092"/>
      <c r="N502" s="2121"/>
      <c r="O502" s="2121"/>
      <c r="P502" s="2121"/>
      <c r="Q502" s="2093"/>
      <c r="S502" s="3488"/>
    </row>
    <row r="503" spans="1:19" ht="15" thickBot="1">
      <c r="B503" s="683"/>
      <c r="S503" s="614"/>
    </row>
    <row r="504" spans="1:19" ht="22.5" customHeight="1" thickBot="1">
      <c r="A504" s="1187"/>
      <c r="B504" s="1926" t="s">
        <v>663</v>
      </c>
      <c r="C504" s="1926"/>
      <c r="D504" s="1926"/>
      <c r="E504" s="1926"/>
      <c r="F504" s="1926"/>
      <c r="G504" s="1926"/>
      <c r="H504" s="1926"/>
      <c r="I504" s="1926"/>
      <c r="J504" s="1926"/>
      <c r="K504" s="1926"/>
      <c r="L504" s="2097"/>
      <c r="M504" s="2097"/>
      <c r="N504" s="2097"/>
      <c r="O504" s="3726" t="s">
        <v>155</v>
      </c>
      <c r="P504" s="3726"/>
      <c r="Q504" s="3726"/>
      <c r="S504" s="615" t="s">
        <v>521</v>
      </c>
    </row>
    <row r="505" spans="1:19" ht="9.75" customHeight="1" thickBot="1">
      <c r="S505" s="616"/>
    </row>
    <row r="506" spans="1:19" ht="8.25" customHeight="1">
      <c r="B506" s="2098"/>
      <c r="C506" s="2099"/>
      <c r="D506" s="2099"/>
      <c r="E506" s="2100"/>
      <c r="F506" s="2101"/>
      <c r="G506" s="2101"/>
      <c r="H506" s="2101"/>
      <c r="I506" s="2101"/>
      <c r="J506" s="2101"/>
      <c r="K506" s="2101"/>
      <c r="L506" s="2101"/>
      <c r="M506" s="2101"/>
      <c r="N506" s="2101"/>
      <c r="O506" s="2101"/>
      <c r="P506" s="2101"/>
      <c r="Q506" s="2102"/>
      <c r="S506" s="3486"/>
    </row>
    <row r="507" spans="1:19" ht="18" customHeight="1">
      <c r="B507" s="2103"/>
      <c r="C507" s="2104" t="s">
        <v>664</v>
      </c>
      <c r="D507" s="2104"/>
      <c r="E507" s="2105"/>
      <c r="F507" s="2106"/>
      <c r="G507" s="2106"/>
      <c r="H507" s="2106"/>
      <c r="I507" s="2106"/>
      <c r="J507" s="2106"/>
      <c r="K507" s="2106"/>
      <c r="L507" s="2405" t="str">
        <f>IF((COUNTBLANK(B515:B540)=ROWS(B515:B540)),"Complété","À compléter")</f>
        <v>À compléter</v>
      </c>
      <c r="M507" s="2405" t="str">
        <f>IF((COUNTBLANK(B515:B567)=ROWS(B515:B567)),"Complété","À compléter")</f>
        <v>À compléter</v>
      </c>
      <c r="N507" s="2126" t="s">
        <v>219</v>
      </c>
      <c r="O507" s="353" t="str">
        <f>IF($M$73='MENU DÉROULANT'!$C$66,'FORMULAIRE PGA Eaux pluviales'!L507,'FORMULAIRE PGA Eaux pluviales'!M507)</f>
        <v>À compléter</v>
      </c>
      <c r="P507" s="2106"/>
      <c r="Q507" s="2107"/>
      <c r="S507" s="3487"/>
    </row>
    <row r="508" spans="1:19" ht="6.75" customHeight="1">
      <c r="B508" s="2103"/>
      <c r="C508" s="2105"/>
      <c r="D508" s="2105"/>
      <c r="E508" s="2105"/>
      <c r="F508" s="2106"/>
      <c r="G508" s="2106"/>
      <c r="H508" s="2106"/>
      <c r="I508" s="2106"/>
      <c r="J508" s="2106"/>
      <c r="K508" s="2106"/>
      <c r="L508" s="2106"/>
      <c r="M508" s="2106"/>
      <c r="N508" s="2106"/>
      <c r="O508" s="2106"/>
      <c r="P508" s="2106"/>
      <c r="Q508" s="2107"/>
      <c r="S508" s="3487"/>
    </row>
    <row r="509" spans="1:19" ht="17.25" customHeight="1">
      <c r="B509" s="2125"/>
      <c r="C509" s="3728" t="s">
        <v>531</v>
      </c>
      <c r="D509" s="3728"/>
      <c r="E509" s="3728"/>
      <c r="F509" s="3728"/>
      <c r="G509" s="3728"/>
      <c r="H509" s="3728"/>
      <c r="I509" s="3728"/>
      <c r="J509" s="3728"/>
      <c r="K509" s="3728"/>
      <c r="L509" s="3728"/>
      <c r="M509" s="3728"/>
      <c r="N509" s="1938"/>
      <c r="O509" s="1938"/>
      <c r="P509" s="1938"/>
      <c r="Q509" s="2128"/>
      <c r="S509" s="3487"/>
    </row>
    <row r="510" spans="1:19" ht="15" customHeight="1">
      <c r="B510" s="2125"/>
      <c r="C510" s="2127"/>
      <c r="D510" s="2127"/>
      <c r="E510" s="2127"/>
      <c r="F510" s="1938"/>
      <c r="G510" s="1938"/>
      <c r="H510" s="1938"/>
      <c r="I510" s="1938"/>
      <c r="J510" s="1938"/>
      <c r="K510" s="1938"/>
      <c r="L510" s="1938"/>
      <c r="M510" s="1938"/>
      <c r="N510" s="1938"/>
      <c r="O510" s="1938"/>
      <c r="P510" s="1938"/>
      <c r="Q510" s="2128"/>
      <c r="S510" s="3487"/>
    </row>
    <row r="511" spans="1:19" ht="17.25" customHeight="1">
      <c r="B511" s="2086"/>
      <c r="C511" s="2127" t="s">
        <v>822</v>
      </c>
      <c r="D511" s="2109"/>
      <c r="E511" s="2077"/>
      <c r="F511" s="2077"/>
      <c r="G511" s="2077"/>
      <c r="H511" s="2077"/>
      <c r="I511" s="2077"/>
      <c r="J511" s="2077"/>
      <c r="K511" s="2077"/>
      <c r="L511" s="2077"/>
      <c r="M511" s="2077"/>
      <c r="N511" s="2077"/>
      <c r="O511" s="2077"/>
      <c r="P511" s="2077"/>
      <c r="Q511" s="2078"/>
      <c r="S511" s="3487"/>
    </row>
    <row r="512" spans="1:19" ht="23.25" customHeight="1">
      <c r="B512" s="2086"/>
      <c r="C512" s="2138" t="s">
        <v>666</v>
      </c>
      <c r="D512" s="2109"/>
      <c r="E512" s="2077"/>
      <c r="F512" s="2077"/>
      <c r="G512" s="2077"/>
      <c r="H512" s="2077"/>
      <c r="I512" s="2077"/>
      <c r="J512" s="2077"/>
      <c r="K512" s="2077"/>
      <c r="L512" s="2077"/>
      <c r="M512" s="2077"/>
      <c r="N512" s="2077"/>
      <c r="O512" s="2077"/>
      <c r="P512" s="2077"/>
      <c r="Q512" s="2078"/>
      <c r="S512" s="3487"/>
    </row>
    <row r="513" spans="2:19" ht="16.5" customHeight="1">
      <c r="B513" s="2086"/>
      <c r="C513" s="2139" t="s">
        <v>667</v>
      </c>
      <c r="D513" s="2110"/>
      <c r="E513" s="2077"/>
      <c r="F513" s="2077"/>
      <c r="G513" s="2077"/>
      <c r="H513" s="2077"/>
      <c r="I513" s="2077"/>
      <c r="J513" s="2077"/>
      <c r="K513" s="2077"/>
      <c r="L513" s="2077"/>
      <c r="M513" s="2077"/>
      <c r="N513" s="2077"/>
      <c r="O513" s="2077"/>
      <c r="P513" s="2077"/>
      <c r="Q513" s="2078"/>
      <c r="S513" s="3487"/>
    </row>
    <row r="514" spans="2:19" ht="16.5" customHeight="1" thickBot="1">
      <c r="B514" s="2086"/>
      <c r="C514" s="2109"/>
      <c r="D514" s="2109"/>
      <c r="E514" s="2077"/>
      <c r="F514" s="2077"/>
      <c r="G514" s="2077"/>
      <c r="H514" s="2077"/>
      <c r="I514" s="2077"/>
      <c r="J514" s="2077"/>
      <c r="K514" s="2077"/>
      <c r="L514" s="2077"/>
      <c r="M514" s="2077"/>
      <c r="N514" s="2077"/>
      <c r="O514" s="2077"/>
      <c r="P514" s="2077"/>
      <c r="Q514" s="2078"/>
      <c r="S514" s="3487"/>
    </row>
    <row r="515" spans="2:19" ht="30" customHeight="1">
      <c r="B515" s="2086"/>
      <c r="C515" s="3214" t="s">
        <v>818</v>
      </c>
      <c r="D515" s="3215"/>
      <c r="E515" s="3215"/>
      <c r="F515" s="3216"/>
      <c r="G515" s="2134"/>
      <c r="H515" s="2134"/>
      <c r="I515" s="2134"/>
      <c r="J515" s="2134"/>
      <c r="K515" s="2134"/>
      <c r="L515" s="2134"/>
      <c r="M515" s="2134"/>
      <c r="N515" s="2134"/>
      <c r="O515" s="2135"/>
      <c r="P515" s="2134"/>
      <c r="Q515" s="2078"/>
      <c r="S515" s="3487"/>
    </row>
    <row r="516" spans="2:19" ht="3" customHeight="1" thickBot="1">
      <c r="B516" s="2086"/>
      <c r="C516" s="1064"/>
      <c r="D516" s="1063"/>
      <c r="E516" s="1063"/>
      <c r="F516" s="1065"/>
      <c r="G516" s="2092"/>
      <c r="H516" s="2092"/>
      <c r="I516" s="2092"/>
      <c r="J516" s="2092"/>
      <c r="K516" s="2092"/>
      <c r="L516" s="2092"/>
      <c r="M516" s="2092"/>
      <c r="N516" s="2092"/>
      <c r="O516" s="2092"/>
      <c r="P516" s="2092"/>
      <c r="Q516" s="2078"/>
      <c r="S516" s="3487"/>
    </row>
    <row r="517" spans="2:19" ht="19.5" customHeight="1">
      <c r="B517" s="2086"/>
      <c r="C517" s="3239" t="s">
        <v>668</v>
      </c>
      <c r="D517" s="3240"/>
      <c r="E517" s="3236" t="s">
        <v>669</v>
      </c>
      <c r="F517" s="3237"/>
      <c r="G517" s="3237"/>
      <c r="H517" s="3237"/>
      <c r="I517" s="3237"/>
      <c r="J517" s="3237"/>
      <c r="K517" s="3237"/>
      <c r="L517" s="3237"/>
      <c r="M517" s="3237"/>
      <c r="N517" s="3237"/>
      <c r="O517" s="3232" t="s">
        <v>649</v>
      </c>
      <c r="P517" s="3233"/>
      <c r="Q517" s="2078"/>
      <c r="S517" s="3487"/>
    </row>
    <row r="518" spans="2:19" ht="19.5" customHeight="1" thickBot="1">
      <c r="B518" s="2086"/>
      <c r="C518" s="3241"/>
      <c r="D518" s="3242"/>
      <c r="E518" s="741">
        <f>IF(E51="",0,E51)</f>
        <v>0</v>
      </c>
      <c r="F518" s="742">
        <f t="shared" ref="F518:N518" si="24">E518+1</f>
        <v>1</v>
      </c>
      <c r="G518" s="742">
        <f t="shared" si="24"/>
        <v>2</v>
      </c>
      <c r="H518" s="742">
        <f t="shared" si="24"/>
        <v>3</v>
      </c>
      <c r="I518" s="742">
        <f t="shared" si="24"/>
        <v>4</v>
      </c>
      <c r="J518" s="742">
        <f t="shared" si="24"/>
        <v>5</v>
      </c>
      <c r="K518" s="742">
        <f t="shared" si="24"/>
        <v>6</v>
      </c>
      <c r="L518" s="742">
        <f t="shared" si="24"/>
        <v>7</v>
      </c>
      <c r="M518" s="742">
        <f t="shared" si="24"/>
        <v>8</v>
      </c>
      <c r="N518" s="1149">
        <f t="shared" si="24"/>
        <v>9</v>
      </c>
      <c r="O518" s="3234"/>
      <c r="P518" s="3235"/>
      <c r="Q518" s="2078"/>
      <c r="S518" s="3487"/>
    </row>
    <row r="519" spans="2:19" ht="18" customHeight="1" thickBot="1">
      <c r="B519" s="2103"/>
      <c r="C519" s="1066" t="s">
        <v>477</v>
      </c>
      <c r="D519" s="1150"/>
      <c r="E519" s="1150"/>
      <c r="F519" s="1150"/>
      <c r="G519" s="1150"/>
      <c r="H519" s="1150"/>
      <c r="I519" s="1150"/>
      <c r="J519" s="1150"/>
      <c r="K519" s="1150"/>
      <c r="L519" s="1150"/>
      <c r="M519" s="1150"/>
      <c r="N519" s="1150"/>
      <c r="O519" s="1150"/>
      <c r="P519" s="1151"/>
      <c r="Q519" s="2078"/>
      <c r="S519" s="3487"/>
    </row>
    <row r="520" spans="2:19" ht="18" customHeight="1">
      <c r="B520" s="2103"/>
      <c r="C520" s="3436" t="s">
        <v>79</v>
      </c>
      <c r="D520" s="3437"/>
      <c r="E520" s="699">
        <f t="shared" ref="E520:N520" si="25">E411</f>
        <v>0</v>
      </c>
      <c r="F520" s="700">
        <f t="shared" si="25"/>
        <v>0</v>
      </c>
      <c r="G520" s="700">
        <f t="shared" si="25"/>
        <v>0</v>
      </c>
      <c r="H520" s="700">
        <f t="shared" si="25"/>
        <v>0</v>
      </c>
      <c r="I520" s="700">
        <f t="shared" si="25"/>
        <v>0</v>
      </c>
      <c r="J520" s="700">
        <f t="shared" si="25"/>
        <v>0</v>
      </c>
      <c r="K520" s="700">
        <f t="shared" si="25"/>
        <v>0</v>
      </c>
      <c r="L520" s="700">
        <f t="shared" si="25"/>
        <v>0</v>
      </c>
      <c r="M520" s="700">
        <f t="shared" si="25"/>
        <v>0</v>
      </c>
      <c r="N520" s="701">
        <f t="shared" si="25"/>
        <v>0</v>
      </c>
      <c r="O520" s="3421">
        <f>SUM(E520:N520)</f>
        <v>0</v>
      </c>
      <c r="P520" s="3422"/>
      <c r="Q520" s="2078"/>
      <c r="S520" s="3487"/>
    </row>
    <row r="521" spans="2:19" ht="18" customHeight="1">
      <c r="B521" s="2123" t="str">
        <f>IF(COUNTBLANK(E521:N521)&lt;10,"","u")</f>
        <v>u</v>
      </c>
      <c r="C521" s="3392" t="s">
        <v>80</v>
      </c>
      <c r="D521" s="3393"/>
      <c r="E521" s="573"/>
      <c r="F521" s="574"/>
      <c r="G521" s="574"/>
      <c r="H521" s="574"/>
      <c r="I521" s="574"/>
      <c r="J521" s="574"/>
      <c r="K521" s="574"/>
      <c r="L521" s="574"/>
      <c r="M521" s="574"/>
      <c r="N521" s="575"/>
      <c r="O521" s="3394">
        <f>SUM(E521:N521)</f>
        <v>0</v>
      </c>
      <c r="P521" s="3395"/>
      <c r="Q521" s="2078"/>
      <c r="S521" s="3487"/>
    </row>
    <row r="522" spans="2:19" ht="18" customHeight="1">
      <c r="B522" s="2123" t="str">
        <f>IF(COUNTBLANK(E522:N522)&lt;10,"","u")</f>
        <v>u</v>
      </c>
      <c r="C522" s="3428" t="s">
        <v>3491</v>
      </c>
      <c r="D522" s="3429"/>
      <c r="E522" s="607"/>
      <c r="F522" s="608"/>
      <c r="G522" s="608"/>
      <c r="H522" s="608"/>
      <c r="I522" s="608"/>
      <c r="J522" s="608"/>
      <c r="K522" s="608"/>
      <c r="L522" s="608"/>
      <c r="M522" s="608"/>
      <c r="N522" s="609"/>
      <c r="O522" s="3272">
        <f>SUM(E522:N522)</f>
        <v>0</v>
      </c>
      <c r="P522" s="3273"/>
      <c r="Q522" s="2078"/>
      <c r="S522" s="3487"/>
    </row>
    <row r="523" spans="2:19" ht="18" customHeight="1">
      <c r="B523" s="2123"/>
      <c r="C523" s="1160" t="s">
        <v>3492</v>
      </c>
      <c r="D523" s="603"/>
      <c r="E523" s="687">
        <f>E521+E522</f>
        <v>0</v>
      </c>
      <c r="F523" s="688">
        <f t="shared" ref="F523:N523" si="26">F521+F522</f>
        <v>0</v>
      </c>
      <c r="G523" s="688">
        <f t="shared" si="26"/>
        <v>0</v>
      </c>
      <c r="H523" s="688">
        <f t="shared" si="26"/>
        <v>0</v>
      </c>
      <c r="I523" s="688">
        <f t="shared" si="26"/>
        <v>0</v>
      </c>
      <c r="J523" s="688">
        <f t="shared" si="26"/>
        <v>0</v>
      </c>
      <c r="K523" s="688">
        <f t="shared" si="26"/>
        <v>0</v>
      </c>
      <c r="L523" s="688">
        <f t="shared" si="26"/>
        <v>0</v>
      </c>
      <c r="M523" s="688">
        <f t="shared" si="26"/>
        <v>0</v>
      </c>
      <c r="N523" s="689">
        <f t="shared" si="26"/>
        <v>0</v>
      </c>
      <c r="O523" s="3430">
        <f>SUM(E523:N523)</f>
        <v>0</v>
      </c>
      <c r="P523" s="3431"/>
      <c r="Q523" s="2078"/>
      <c r="S523" s="3487"/>
    </row>
    <row r="524" spans="2:19" ht="18" customHeight="1" thickBot="1">
      <c r="B524" s="2137"/>
      <c r="C524" s="3191" t="s">
        <v>83</v>
      </c>
      <c r="D524" s="3192"/>
      <c r="E524" s="690">
        <f t="shared" ref="E524:N524" si="27">IF((E520-E521-E522)&lt;0,0,(E520-E521-E522))</f>
        <v>0</v>
      </c>
      <c r="F524" s="691">
        <f t="shared" si="27"/>
        <v>0</v>
      </c>
      <c r="G524" s="691">
        <f t="shared" si="27"/>
        <v>0</v>
      </c>
      <c r="H524" s="691">
        <f t="shared" si="27"/>
        <v>0</v>
      </c>
      <c r="I524" s="691">
        <f t="shared" si="27"/>
        <v>0</v>
      </c>
      <c r="J524" s="691">
        <f t="shared" si="27"/>
        <v>0</v>
      </c>
      <c r="K524" s="691">
        <f t="shared" si="27"/>
        <v>0</v>
      </c>
      <c r="L524" s="691">
        <f t="shared" si="27"/>
        <v>0</v>
      </c>
      <c r="M524" s="691">
        <f t="shared" si="27"/>
        <v>0</v>
      </c>
      <c r="N524" s="692">
        <f t="shared" si="27"/>
        <v>0</v>
      </c>
      <c r="O524" s="3406">
        <f>SUM(E524:N524)</f>
        <v>0</v>
      </c>
      <c r="P524" s="3407"/>
      <c r="Q524" s="2136"/>
      <c r="S524" s="3487"/>
    </row>
    <row r="525" spans="2:19" ht="32.25" customHeight="1" thickBot="1">
      <c r="B525" s="2137"/>
      <c r="C525" s="3209" t="s">
        <v>539</v>
      </c>
      <c r="D525" s="3210"/>
      <c r="E525" s="3387"/>
      <c r="F525" s="3388"/>
      <c r="G525" s="3388"/>
      <c r="H525" s="3388"/>
      <c r="I525" s="3388"/>
      <c r="J525" s="3388"/>
      <c r="K525" s="3388"/>
      <c r="L525" s="3388"/>
      <c r="M525" s="3388"/>
      <c r="N525" s="3388"/>
      <c r="O525" s="3388"/>
      <c r="P525" s="3389"/>
      <c r="Q525" s="2136"/>
      <c r="S525" s="3487"/>
    </row>
    <row r="526" spans="2:19" ht="18" customHeight="1" thickBot="1">
      <c r="B526" s="2137"/>
      <c r="C526" s="1066" t="s">
        <v>482</v>
      </c>
      <c r="D526" s="1150"/>
      <c r="E526" s="1150"/>
      <c r="F526" s="1150"/>
      <c r="G526" s="1150"/>
      <c r="H526" s="1150"/>
      <c r="I526" s="1150"/>
      <c r="J526" s="1150"/>
      <c r="K526" s="1150"/>
      <c r="L526" s="1150"/>
      <c r="M526" s="1150"/>
      <c r="N526" s="1150"/>
      <c r="O526" s="1150"/>
      <c r="P526" s="1151"/>
      <c r="Q526" s="2078"/>
      <c r="S526" s="3487"/>
    </row>
    <row r="527" spans="2:19" ht="18" customHeight="1">
      <c r="B527" s="2137"/>
      <c r="C527" s="3413" t="s">
        <v>79</v>
      </c>
      <c r="D527" s="3414"/>
      <c r="E527" s="693">
        <f t="shared" ref="E527:N527" si="28">E427</f>
        <v>0</v>
      </c>
      <c r="F527" s="694">
        <f t="shared" si="28"/>
        <v>0</v>
      </c>
      <c r="G527" s="694">
        <f t="shared" si="28"/>
        <v>0</v>
      </c>
      <c r="H527" s="694">
        <f t="shared" si="28"/>
        <v>0</v>
      </c>
      <c r="I527" s="694">
        <f t="shared" si="28"/>
        <v>0</v>
      </c>
      <c r="J527" s="694">
        <f t="shared" si="28"/>
        <v>0</v>
      </c>
      <c r="K527" s="694">
        <f t="shared" si="28"/>
        <v>0</v>
      </c>
      <c r="L527" s="694">
        <f t="shared" si="28"/>
        <v>0</v>
      </c>
      <c r="M527" s="694">
        <f t="shared" si="28"/>
        <v>0</v>
      </c>
      <c r="N527" s="695">
        <f t="shared" si="28"/>
        <v>0</v>
      </c>
      <c r="O527" s="3408">
        <f t="shared" ref="O527:O532" si="29">SUM(E527:N527)</f>
        <v>0</v>
      </c>
      <c r="P527" s="3409"/>
      <c r="Q527" s="2078"/>
      <c r="S527" s="3487"/>
    </row>
    <row r="528" spans="2:19" ht="18" customHeight="1">
      <c r="B528" s="2133"/>
      <c r="C528" s="1152" t="s">
        <v>84</v>
      </c>
      <c r="D528" s="531"/>
      <c r="E528" s="696">
        <f t="shared" ref="E528:N528" si="30">IF((E520-E521-E522)&lt;0,-(E520-E521-E522),0)</f>
        <v>0</v>
      </c>
      <c r="F528" s="697">
        <f t="shared" si="30"/>
        <v>0</v>
      </c>
      <c r="G528" s="697">
        <f t="shared" si="30"/>
        <v>0</v>
      </c>
      <c r="H528" s="697">
        <f t="shared" si="30"/>
        <v>0</v>
      </c>
      <c r="I528" s="697">
        <f t="shared" si="30"/>
        <v>0</v>
      </c>
      <c r="J528" s="697">
        <f t="shared" si="30"/>
        <v>0</v>
      </c>
      <c r="K528" s="697">
        <f t="shared" si="30"/>
        <v>0</v>
      </c>
      <c r="L528" s="697">
        <f t="shared" si="30"/>
        <v>0</v>
      </c>
      <c r="M528" s="697">
        <f t="shared" si="30"/>
        <v>0</v>
      </c>
      <c r="N528" s="698">
        <f t="shared" si="30"/>
        <v>0</v>
      </c>
      <c r="O528" s="3438">
        <f t="shared" si="29"/>
        <v>0</v>
      </c>
      <c r="P528" s="3439"/>
      <c r="Q528" s="2078"/>
      <c r="S528" s="3487"/>
    </row>
    <row r="529" spans="2:19" ht="18" customHeight="1">
      <c r="B529" s="2123" t="str">
        <f>IF(COUNTBLANK(E529:N529)&lt;10,"","u")</f>
        <v>u</v>
      </c>
      <c r="C529" s="3368" t="s">
        <v>85</v>
      </c>
      <c r="D529" s="3369"/>
      <c r="E529" s="576"/>
      <c r="F529" s="577"/>
      <c r="G529" s="577"/>
      <c r="H529" s="577"/>
      <c r="I529" s="577"/>
      <c r="J529" s="577"/>
      <c r="K529" s="577"/>
      <c r="L529" s="577"/>
      <c r="M529" s="577"/>
      <c r="N529" s="578"/>
      <c r="O529" s="3272">
        <f t="shared" si="29"/>
        <v>0</v>
      </c>
      <c r="P529" s="3273"/>
      <c r="Q529" s="2078"/>
      <c r="S529" s="3487"/>
    </row>
    <row r="530" spans="2:19" ht="18" customHeight="1">
      <c r="B530" s="2123" t="str">
        <f>IF(COUNTBLANK(E530:N530)&lt;10,"","u")</f>
        <v>u</v>
      </c>
      <c r="C530" s="3370" t="s">
        <v>86</v>
      </c>
      <c r="D530" s="3371"/>
      <c r="E530" s="570"/>
      <c r="F530" s="571"/>
      <c r="G530" s="571"/>
      <c r="H530" s="571"/>
      <c r="I530" s="571"/>
      <c r="J530" s="571"/>
      <c r="K530" s="571"/>
      <c r="L530" s="571"/>
      <c r="M530" s="571"/>
      <c r="N530" s="572"/>
      <c r="O530" s="3289">
        <f t="shared" si="29"/>
        <v>0</v>
      </c>
      <c r="P530" s="3290"/>
      <c r="Q530" s="2078"/>
      <c r="S530" s="3487"/>
    </row>
    <row r="531" spans="2:19" ht="18" customHeight="1">
      <c r="B531" s="2123"/>
      <c r="C531" s="1152" t="s">
        <v>3492</v>
      </c>
      <c r="D531" s="531"/>
      <c r="E531" s="699">
        <f>E529+E530</f>
        <v>0</v>
      </c>
      <c r="F531" s="700">
        <f t="shared" ref="F531:N531" si="31">F529+F530</f>
        <v>0</v>
      </c>
      <c r="G531" s="700">
        <f t="shared" si="31"/>
        <v>0</v>
      </c>
      <c r="H531" s="700">
        <f t="shared" si="31"/>
        <v>0</v>
      </c>
      <c r="I531" s="700">
        <f t="shared" si="31"/>
        <v>0</v>
      </c>
      <c r="J531" s="700">
        <f t="shared" si="31"/>
        <v>0</v>
      </c>
      <c r="K531" s="700">
        <f t="shared" si="31"/>
        <v>0</v>
      </c>
      <c r="L531" s="700">
        <f t="shared" si="31"/>
        <v>0</v>
      </c>
      <c r="M531" s="700">
        <f t="shared" si="31"/>
        <v>0</v>
      </c>
      <c r="N531" s="701">
        <f t="shared" si="31"/>
        <v>0</v>
      </c>
      <c r="O531" s="3421">
        <f t="shared" si="29"/>
        <v>0</v>
      </c>
      <c r="P531" s="3422"/>
      <c r="Q531" s="2078"/>
      <c r="S531" s="3487"/>
    </row>
    <row r="532" spans="2:19" ht="18" customHeight="1" thickBot="1">
      <c r="B532" s="2103"/>
      <c r="C532" s="3191" t="s">
        <v>83</v>
      </c>
      <c r="D532" s="3192"/>
      <c r="E532" s="702">
        <f t="shared" ref="E532:N532" si="32">E527-E528-E529-E530</f>
        <v>0</v>
      </c>
      <c r="F532" s="703">
        <f t="shared" si="32"/>
        <v>0</v>
      </c>
      <c r="G532" s="703">
        <f t="shared" si="32"/>
        <v>0</v>
      </c>
      <c r="H532" s="703">
        <f t="shared" si="32"/>
        <v>0</v>
      </c>
      <c r="I532" s="703">
        <f t="shared" si="32"/>
        <v>0</v>
      </c>
      <c r="J532" s="703">
        <f t="shared" si="32"/>
        <v>0</v>
      </c>
      <c r="K532" s="703">
        <f t="shared" si="32"/>
        <v>0</v>
      </c>
      <c r="L532" s="703">
        <f t="shared" si="32"/>
        <v>0</v>
      </c>
      <c r="M532" s="703">
        <f t="shared" si="32"/>
        <v>0</v>
      </c>
      <c r="N532" s="704">
        <f t="shared" si="32"/>
        <v>0</v>
      </c>
      <c r="O532" s="3406">
        <f t="shared" si="29"/>
        <v>0</v>
      </c>
      <c r="P532" s="3407"/>
      <c r="Q532" s="2136"/>
      <c r="S532" s="3487"/>
    </row>
    <row r="533" spans="2:19" ht="32.25" customHeight="1" thickBot="1">
      <c r="B533" s="2103"/>
      <c r="C533" s="3209" t="s">
        <v>539</v>
      </c>
      <c r="D533" s="3210"/>
      <c r="E533" s="3387"/>
      <c r="F533" s="3388"/>
      <c r="G533" s="3388"/>
      <c r="H533" s="3388"/>
      <c r="I533" s="3388"/>
      <c r="J533" s="3388"/>
      <c r="K533" s="3388"/>
      <c r="L533" s="3388"/>
      <c r="M533" s="3388"/>
      <c r="N533" s="3388"/>
      <c r="O533" s="3388"/>
      <c r="P533" s="3389"/>
      <c r="Q533" s="2136"/>
      <c r="S533" s="3487"/>
    </row>
    <row r="534" spans="2:19" ht="18" customHeight="1" thickBot="1">
      <c r="B534" s="2103"/>
      <c r="C534" s="1066" t="s">
        <v>657</v>
      </c>
      <c r="D534" s="1150"/>
      <c r="E534" s="1150"/>
      <c r="F534" s="1150"/>
      <c r="G534" s="1150"/>
      <c r="H534" s="1150"/>
      <c r="I534" s="1150"/>
      <c r="J534" s="1150"/>
      <c r="K534" s="1150"/>
      <c r="L534" s="1150"/>
      <c r="M534" s="1150"/>
      <c r="N534" s="1150"/>
      <c r="O534" s="1150"/>
      <c r="P534" s="1151"/>
      <c r="Q534" s="2078"/>
      <c r="S534" s="3487"/>
    </row>
    <row r="535" spans="2:19" ht="18" customHeight="1">
      <c r="B535" s="2103"/>
      <c r="C535" s="3396" t="s">
        <v>79</v>
      </c>
      <c r="D535" s="3397"/>
      <c r="E535" s="684">
        <f t="shared" ref="E535:N535" si="33">E435</f>
        <v>0</v>
      </c>
      <c r="F535" s="685">
        <f t="shared" si="33"/>
        <v>0</v>
      </c>
      <c r="G535" s="685">
        <f t="shared" si="33"/>
        <v>0</v>
      </c>
      <c r="H535" s="685">
        <f t="shared" si="33"/>
        <v>0</v>
      </c>
      <c r="I535" s="685">
        <f t="shared" si="33"/>
        <v>0</v>
      </c>
      <c r="J535" s="685">
        <f t="shared" si="33"/>
        <v>0</v>
      </c>
      <c r="K535" s="685">
        <f t="shared" si="33"/>
        <v>0</v>
      </c>
      <c r="L535" s="685">
        <f t="shared" si="33"/>
        <v>0</v>
      </c>
      <c r="M535" s="685">
        <f t="shared" si="33"/>
        <v>0</v>
      </c>
      <c r="N535" s="686">
        <f t="shared" si="33"/>
        <v>0</v>
      </c>
      <c r="O535" s="3400">
        <f>SUM(E535:N535)</f>
        <v>0</v>
      </c>
      <c r="P535" s="3401"/>
      <c r="Q535" s="2078"/>
      <c r="S535" s="3487"/>
    </row>
    <row r="536" spans="2:19" ht="18" customHeight="1">
      <c r="B536" s="2123" t="str">
        <f>IF(COUNTBLANK(E536:N536)&lt;10,"","u")</f>
        <v>u</v>
      </c>
      <c r="C536" s="3368" t="s">
        <v>85</v>
      </c>
      <c r="D536" s="3369"/>
      <c r="E536" s="576"/>
      <c r="F536" s="577"/>
      <c r="G536" s="577"/>
      <c r="H536" s="577"/>
      <c r="I536" s="577"/>
      <c r="J536" s="577"/>
      <c r="K536" s="577"/>
      <c r="L536" s="577"/>
      <c r="M536" s="577"/>
      <c r="N536" s="578"/>
      <c r="O536" s="3272">
        <f>SUM(E536:N536)</f>
        <v>0</v>
      </c>
      <c r="P536" s="3273"/>
      <c r="Q536" s="2078"/>
      <c r="S536" s="3487"/>
    </row>
    <row r="537" spans="2:19" ht="18" customHeight="1">
      <c r="B537" s="2123" t="str">
        <f>IF(COUNTBLANK(E537:N537)&lt;10,"","u")</f>
        <v>u</v>
      </c>
      <c r="C537" s="3370" t="s">
        <v>86</v>
      </c>
      <c r="D537" s="3371"/>
      <c r="E537" s="570"/>
      <c r="F537" s="571"/>
      <c r="G537" s="571"/>
      <c r="H537" s="571"/>
      <c r="I537" s="571"/>
      <c r="J537" s="571"/>
      <c r="K537" s="571"/>
      <c r="L537" s="571"/>
      <c r="M537" s="571"/>
      <c r="N537" s="572"/>
      <c r="O537" s="3404">
        <f>SUM(E537:N537)</f>
        <v>0</v>
      </c>
      <c r="P537" s="3405"/>
      <c r="Q537" s="2078"/>
      <c r="S537" s="3487"/>
    </row>
    <row r="538" spans="2:19" ht="18" customHeight="1">
      <c r="B538" s="2123"/>
      <c r="C538" s="1152" t="s">
        <v>3492</v>
      </c>
      <c r="D538" s="531"/>
      <c r="E538" s="699">
        <f>E536+E537</f>
        <v>0</v>
      </c>
      <c r="F538" s="700">
        <f t="shared" ref="F538:N538" si="34">F536+F537</f>
        <v>0</v>
      </c>
      <c r="G538" s="700">
        <f t="shared" si="34"/>
        <v>0</v>
      </c>
      <c r="H538" s="700">
        <f t="shared" si="34"/>
        <v>0</v>
      </c>
      <c r="I538" s="700">
        <f t="shared" si="34"/>
        <v>0</v>
      </c>
      <c r="J538" s="700">
        <f t="shared" si="34"/>
        <v>0</v>
      </c>
      <c r="K538" s="700">
        <f t="shared" si="34"/>
        <v>0</v>
      </c>
      <c r="L538" s="700">
        <f t="shared" si="34"/>
        <v>0</v>
      </c>
      <c r="M538" s="700">
        <f t="shared" si="34"/>
        <v>0</v>
      </c>
      <c r="N538" s="701">
        <f t="shared" si="34"/>
        <v>0</v>
      </c>
      <c r="O538" s="3421">
        <f>SUM(E538:N538)</f>
        <v>0</v>
      </c>
      <c r="P538" s="3422"/>
      <c r="Q538" s="2078"/>
      <c r="S538" s="3487"/>
    </row>
    <row r="539" spans="2:19" ht="18" customHeight="1" thickBot="1">
      <c r="B539" s="2103"/>
      <c r="C539" s="3191" t="s">
        <v>83</v>
      </c>
      <c r="D539" s="3192"/>
      <c r="E539" s="684">
        <f t="shared" ref="E539:N539" si="35">E535-E536-E537</f>
        <v>0</v>
      </c>
      <c r="F539" s="685">
        <f t="shared" si="35"/>
        <v>0</v>
      </c>
      <c r="G539" s="685">
        <f t="shared" si="35"/>
        <v>0</v>
      </c>
      <c r="H539" s="685">
        <f t="shared" si="35"/>
        <v>0</v>
      </c>
      <c r="I539" s="685">
        <f t="shared" si="35"/>
        <v>0</v>
      </c>
      <c r="J539" s="685">
        <f t="shared" si="35"/>
        <v>0</v>
      </c>
      <c r="K539" s="685">
        <f t="shared" si="35"/>
        <v>0</v>
      </c>
      <c r="L539" s="685">
        <f t="shared" si="35"/>
        <v>0</v>
      </c>
      <c r="M539" s="685">
        <f t="shared" si="35"/>
        <v>0</v>
      </c>
      <c r="N539" s="685">
        <f t="shared" si="35"/>
        <v>0</v>
      </c>
      <c r="O539" s="3406">
        <f>SUM(E539:N539)</f>
        <v>0</v>
      </c>
      <c r="P539" s="3407"/>
      <c r="Q539" s="2136"/>
      <c r="S539" s="3487"/>
    </row>
    <row r="540" spans="2:19" ht="32.25" customHeight="1" thickBot="1">
      <c r="B540" s="2103"/>
      <c r="C540" s="3209" t="s">
        <v>539</v>
      </c>
      <c r="D540" s="3210"/>
      <c r="E540" s="3387"/>
      <c r="F540" s="3388"/>
      <c r="G540" s="3388"/>
      <c r="H540" s="3388"/>
      <c r="I540" s="3388"/>
      <c r="J540" s="3388"/>
      <c r="K540" s="3388"/>
      <c r="L540" s="3388"/>
      <c r="M540" s="3388"/>
      <c r="N540" s="3388"/>
      <c r="O540" s="3388"/>
      <c r="P540" s="3389"/>
      <c r="Q540" s="2136"/>
      <c r="S540" s="3487"/>
    </row>
    <row r="541" spans="2:19" ht="18.75" customHeight="1" thickBot="1">
      <c r="B541" s="2086"/>
      <c r="C541" s="2109"/>
      <c r="D541" s="2109"/>
      <c r="E541" s="2077"/>
      <c r="F541" s="2077"/>
      <c r="G541" s="2077"/>
      <c r="H541" s="2077"/>
      <c r="I541" s="2077"/>
      <c r="J541" s="2077"/>
      <c r="K541" s="2077"/>
      <c r="L541" s="2077"/>
      <c r="M541" s="2077"/>
      <c r="N541" s="2077"/>
      <c r="O541" s="2077"/>
      <c r="P541" s="2077"/>
      <c r="Q541" s="2078"/>
      <c r="S541" s="3487"/>
    </row>
    <row r="542" spans="2:19" ht="30" customHeight="1">
      <c r="B542" s="2086"/>
      <c r="C542" s="3214" t="s">
        <v>820</v>
      </c>
      <c r="D542" s="3215"/>
      <c r="E542" s="3215"/>
      <c r="F542" s="3216"/>
      <c r="G542" s="2134"/>
      <c r="H542" s="2134"/>
      <c r="I542" s="2134"/>
      <c r="J542" s="2134"/>
      <c r="K542" s="2134"/>
      <c r="L542" s="2134"/>
      <c r="M542" s="2134"/>
      <c r="N542" s="2134"/>
      <c r="O542" s="2135"/>
      <c r="P542" s="2134"/>
      <c r="Q542" s="2078"/>
      <c r="S542" s="3487"/>
    </row>
    <row r="543" spans="2:19" ht="3" customHeight="1" thickBot="1">
      <c r="B543" s="2086"/>
      <c r="C543" s="1064"/>
      <c r="D543" s="1063"/>
      <c r="E543" s="1063"/>
      <c r="F543" s="1065"/>
      <c r="G543" s="2092"/>
      <c r="H543" s="2092"/>
      <c r="I543" s="2092"/>
      <c r="J543" s="2092"/>
      <c r="K543" s="2092"/>
      <c r="L543" s="2092"/>
      <c r="M543" s="2092"/>
      <c r="N543" s="2092"/>
      <c r="O543" s="2092"/>
      <c r="P543" s="2092"/>
      <c r="Q543" s="2078"/>
      <c r="S543" s="3487"/>
    </row>
    <row r="544" spans="2:19" ht="19.5" customHeight="1">
      <c r="B544" s="2086"/>
      <c r="C544" s="3239" t="s">
        <v>668</v>
      </c>
      <c r="D544" s="3240"/>
      <c r="E544" s="3236" t="s">
        <v>669</v>
      </c>
      <c r="F544" s="3237"/>
      <c r="G544" s="3237"/>
      <c r="H544" s="3237"/>
      <c r="I544" s="3237"/>
      <c r="J544" s="3237"/>
      <c r="K544" s="3237"/>
      <c r="L544" s="3237"/>
      <c r="M544" s="3237"/>
      <c r="N544" s="3237"/>
      <c r="O544" s="3232" t="s">
        <v>649</v>
      </c>
      <c r="P544" s="3233"/>
      <c r="Q544" s="2078"/>
      <c r="S544" s="3487"/>
    </row>
    <row r="545" spans="2:19" ht="19.5" customHeight="1" thickBot="1">
      <c r="B545" s="2086"/>
      <c r="C545" s="3402"/>
      <c r="D545" s="3403"/>
      <c r="E545" s="1155">
        <f>IF(E51="",0,E51)</f>
        <v>0</v>
      </c>
      <c r="F545" s="1156">
        <f t="shared" ref="F545:N545" si="36">E545+1</f>
        <v>1</v>
      </c>
      <c r="G545" s="1156">
        <f t="shared" si="36"/>
        <v>2</v>
      </c>
      <c r="H545" s="1156">
        <f t="shared" si="36"/>
        <v>3</v>
      </c>
      <c r="I545" s="1156">
        <f t="shared" si="36"/>
        <v>4</v>
      </c>
      <c r="J545" s="1156">
        <f t="shared" si="36"/>
        <v>5</v>
      </c>
      <c r="K545" s="1156">
        <f t="shared" si="36"/>
        <v>6</v>
      </c>
      <c r="L545" s="1156">
        <f t="shared" si="36"/>
        <v>7</v>
      </c>
      <c r="M545" s="1156">
        <f t="shared" si="36"/>
        <v>8</v>
      </c>
      <c r="N545" s="1157">
        <f t="shared" si="36"/>
        <v>9</v>
      </c>
      <c r="O545" s="3398"/>
      <c r="P545" s="3399"/>
      <c r="Q545" s="2078"/>
      <c r="S545" s="3487"/>
    </row>
    <row r="546" spans="2:19" ht="18.75" customHeight="1" thickBot="1">
      <c r="B546" s="2103"/>
      <c r="C546" s="1142" t="s">
        <v>477</v>
      </c>
      <c r="D546" s="1153"/>
      <c r="E546" s="1153"/>
      <c r="F546" s="1153"/>
      <c r="G546" s="1153"/>
      <c r="H546" s="1153"/>
      <c r="I546" s="1153"/>
      <c r="J546" s="1153"/>
      <c r="K546" s="1153"/>
      <c r="L546" s="1153"/>
      <c r="M546" s="1153"/>
      <c r="N546" s="1153"/>
      <c r="O546" s="1153"/>
      <c r="P546" s="1154"/>
      <c r="Q546" s="2078"/>
      <c r="S546" s="3487"/>
    </row>
    <row r="547" spans="2:19" ht="18.75" customHeight="1">
      <c r="B547" s="2103"/>
      <c r="C547" s="3396" t="s">
        <v>79</v>
      </c>
      <c r="D547" s="3397"/>
      <c r="E547" s="684">
        <f t="shared" ref="E547:N547" si="37">E456</f>
        <v>0</v>
      </c>
      <c r="F547" s="685">
        <f t="shared" si="37"/>
        <v>0</v>
      </c>
      <c r="G547" s="685">
        <f t="shared" si="37"/>
        <v>0</v>
      </c>
      <c r="H547" s="685">
        <f t="shared" si="37"/>
        <v>0</v>
      </c>
      <c r="I547" s="685">
        <f t="shared" si="37"/>
        <v>0</v>
      </c>
      <c r="J547" s="685">
        <f t="shared" si="37"/>
        <v>0</v>
      </c>
      <c r="K547" s="685">
        <f t="shared" si="37"/>
        <v>0</v>
      </c>
      <c r="L547" s="685">
        <f t="shared" si="37"/>
        <v>0</v>
      </c>
      <c r="M547" s="685">
        <f t="shared" si="37"/>
        <v>0</v>
      </c>
      <c r="N547" s="686">
        <f t="shared" si="37"/>
        <v>0</v>
      </c>
      <c r="O547" s="3400">
        <f>SUM(E547:N547)</f>
        <v>0</v>
      </c>
      <c r="P547" s="3401"/>
      <c r="Q547" s="2078"/>
      <c r="S547" s="3487"/>
    </row>
    <row r="548" spans="2:19" ht="18.75" customHeight="1">
      <c r="B548" s="2123" t="str">
        <f>IF(COUNTBLANK(E548:N548)&lt;10,"","u")</f>
        <v>u</v>
      </c>
      <c r="C548" s="3392" t="s">
        <v>80</v>
      </c>
      <c r="D548" s="3393"/>
      <c r="E548" s="573"/>
      <c r="F548" s="574"/>
      <c r="G548" s="574"/>
      <c r="H548" s="574"/>
      <c r="I548" s="574"/>
      <c r="J548" s="574"/>
      <c r="K548" s="574"/>
      <c r="L548" s="574"/>
      <c r="M548" s="574"/>
      <c r="N548" s="579"/>
      <c r="O548" s="3394">
        <f>SUM(E548:N548)</f>
        <v>0</v>
      </c>
      <c r="P548" s="3395"/>
      <c r="Q548" s="2078"/>
      <c r="S548" s="3487"/>
    </row>
    <row r="549" spans="2:19" ht="18" customHeight="1">
      <c r="B549" s="2123" t="str">
        <f>IF(COUNTBLANK(E549:N549)&lt;10,"","u")</f>
        <v>u</v>
      </c>
      <c r="C549" s="3428" t="s">
        <v>3468</v>
      </c>
      <c r="D549" s="3429"/>
      <c r="E549" s="607"/>
      <c r="F549" s="608"/>
      <c r="G549" s="608"/>
      <c r="H549" s="608"/>
      <c r="I549" s="608"/>
      <c r="J549" s="608"/>
      <c r="K549" s="608"/>
      <c r="L549" s="608"/>
      <c r="M549" s="608"/>
      <c r="N549" s="609"/>
      <c r="O549" s="3272">
        <f>SUM(E549:N549)</f>
        <v>0</v>
      </c>
      <c r="P549" s="3273"/>
      <c r="Q549" s="2078"/>
      <c r="S549" s="3487"/>
    </row>
    <row r="550" spans="2:19" ht="18" customHeight="1">
      <c r="B550" s="2123"/>
      <c r="C550" s="1152" t="s">
        <v>3469</v>
      </c>
      <c r="D550" s="531"/>
      <c r="E550" s="699">
        <f>E548+E549</f>
        <v>0</v>
      </c>
      <c r="F550" s="700">
        <f t="shared" ref="F550:N550" si="38">F548+F549</f>
        <v>0</v>
      </c>
      <c r="G550" s="700">
        <f t="shared" si="38"/>
        <v>0</v>
      </c>
      <c r="H550" s="700">
        <f t="shared" si="38"/>
        <v>0</v>
      </c>
      <c r="I550" s="700">
        <f t="shared" si="38"/>
        <v>0</v>
      </c>
      <c r="J550" s="700">
        <f t="shared" si="38"/>
        <v>0</v>
      </c>
      <c r="K550" s="700">
        <f t="shared" si="38"/>
        <v>0</v>
      </c>
      <c r="L550" s="700">
        <f t="shared" si="38"/>
        <v>0</v>
      </c>
      <c r="M550" s="700">
        <f t="shared" si="38"/>
        <v>0</v>
      </c>
      <c r="N550" s="701">
        <f t="shared" si="38"/>
        <v>0</v>
      </c>
      <c r="O550" s="3421">
        <f>SUM(E550:N550)</f>
        <v>0</v>
      </c>
      <c r="P550" s="3422"/>
      <c r="Q550" s="2078"/>
      <c r="S550" s="3487"/>
    </row>
    <row r="551" spans="2:19" ht="18" customHeight="1" thickBot="1">
      <c r="B551" s="2103"/>
      <c r="C551" s="3426" t="s">
        <v>83</v>
      </c>
      <c r="D551" s="3427"/>
      <c r="E551" s="1158">
        <f>IF((E547-E548-E549)&lt;0,0,(E547-E548-E549))</f>
        <v>0</v>
      </c>
      <c r="F551" s="1159">
        <f t="shared" ref="F551:N551" si="39">IF((F547-F548-F549)&lt;0,0,(F547-F548-F549))</f>
        <v>0</v>
      </c>
      <c r="G551" s="1159">
        <f t="shared" si="39"/>
        <v>0</v>
      </c>
      <c r="H551" s="1159">
        <f t="shared" si="39"/>
        <v>0</v>
      </c>
      <c r="I551" s="1159">
        <f t="shared" si="39"/>
        <v>0</v>
      </c>
      <c r="J551" s="1159">
        <f t="shared" si="39"/>
        <v>0</v>
      </c>
      <c r="K551" s="1159">
        <f t="shared" si="39"/>
        <v>0</v>
      </c>
      <c r="L551" s="1159">
        <f t="shared" si="39"/>
        <v>0</v>
      </c>
      <c r="M551" s="1159">
        <f t="shared" si="39"/>
        <v>0</v>
      </c>
      <c r="N551" s="1159">
        <f t="shared" si="39"/>
        <v>0</v>
      </c>
      <c r="O551" s="3390">
        <f>SUM(E551:N551)</f>
        <v>0</v>
      </c>
      <c r="P551" s="3391"/>
      <c r="Q551" s="2136"/>
      <c r="S551" s="3487"/>
    </row>
    <row r="552" spans="2:19" ht="32.25" customHeight="1" thickBot="1">
      <c r="B552" s="2103"/>
      <c r="C552" s="3209" t="s">
        <v>539</v>
      </c>
      <c r="D552" s="3210"/>
      <c r="E552" s="3387"/>
      <c r="F552" s="3388"/>
      <c r="G552" s="3388"/>
      <c r="H552" s="3388"/>
      <c r="I552" s="3388"/>
      <c r="J552" s="3388"/>
      <c r="K552" s="3388"/>
      <c r="L552" s="3388"/>
      <c r="M552" s="3388"/>
      <c r="N552" s="3388"/>
      <c r="O552" s="3388"/>
      <c r="P552" s="3389"/>
      <c r="Q552" s="2136"/>
      <c r="S552" s="3487"/>
    </row>
    <row r="553" spans="2:19" ht="18" customHeight="1" thickBot="1">
      <c r="B553" s="2103"/>
      <c r="C553" s="1142" t="s">
        <v>482</v>
      </c>
      <c r="D553" s="1153"/>
      <c r="E553" s="1153"/>
      <c r="F553" s="1153"/>
      <c r="G553" s="1153"/>
      <c r="H553" s="1153"/>
      <c r="I553" s="1153"/>
      <c r="J553" s="1153"/>
      <c r="K553" s="1153"/>
      <c r="L553" s="1153"/>
      <c r="M553" s="1153"/>
      <c r="N553" s="1153"/>
      <c r="O553" s="1153"/>
      <c r="P553" s="1154"/>
      <c r="Q553" s="2078"/>
      <c r="S553" s="3487"/>
    </row>
    <row r="554" spans="2:19" ht="18" customHeight="1">
      <c r="B554" s="2103"/>
      <c r="C554" s="3413" t="s">
        <v>79</v>
      </c>
      <c r="D554" s="3414"/>
      <c r="E554" s="705">
        <f t="shared" ref="E554:N554" si="40">E472</f>
        <v>0</v>
      </c>
      <c r="F554" s="706">
        <f t="shared" si="40"/>
        <v>0</v>
      </c>
      <c r="G554" s="706">
        <f t="shared" si="40"/>
        <v>0</v>
      </c>
      <c r="H554" s="706">
        <f t="shared" si="40"/>
        <v>0</v>
      </c>
      <c r="I554" s="706">
        <f t="shared" si="40"/>
        <v>0</v>
      </c>
      <c r="J554" s="706">
        <f t="shared" si="40"/>
        <v>0</v>
      </c>
      <c r="K554" s="706">
        <f t="shared" si="40"/>
        <v>0</v>
      </c>
      <c r="L554" s="706">
        <f t="shared" si="40"/>
        <v>0</v>
      </c>
      <c r="M554" s="706">
        <f t="shared" si="40"/>
        <v>0</v>
      </c>
      <c r="N554" s="707">
        <f t="shared" si="40"/>
        <v>0</v>
      </c>
      <c r="O554" s="3442">
        <f t="shared" ref="O554:O559" si="41">SUM(E554:N554)</f>
        <v>0</v>
      </c>
      <c r="P554" s="3443"/>
      <c r="Q554" s="2078"/>
      <c r="S554" s="3487"/>
    </row>
    <row r="555" spans="2:19" ht="18" customHeight="1">
      <c r="B555" s="2133"/>
      <c r="C555" s="1152" t="s">
        <v>84</v>
      </c>
      <c r="D555" s="531"/>
      <c r="E555" s="708">
        <f>IF((E547-E548-E549)&lt;0,-(E547-E548-E549),0)</f>
        <v>0</v>
      </c>
      <c r="F555" s="709">
        <f t="shared" ref="F555:N555" si="42">IF((F547-F548-F549)&lt;0,-(F547-F548-F549),0)</f>
        <v>0</v>
      </c>
      <c r="G555" s="709">
        <f t="shared" si="42"/>
        <v>0</v>
      </c>
      <c r="H555" s="709">
        <f t="shared" si="42"/>
        <v>0</v>
      </c>
      <c r="I555" s="709">
        <f t="shared" si="42"/>
        <v>0</v>
      </c>
      <c r="J555" s="709">
        <f t="shared" si="42"/>
        <v>0</v>
      </c>
      <c r="K555" s="709">
        <f t="shared" si="42"/>
        <v>0</v>
      </c>
      <c r="L555" s="709">
        <f t="shared" si="42"/>
        <v>0</v>
      </c>
      <c r="M555" s="709">
        <f t="shared" si="42"/>
        <v>0</v>
      </c>
      <c r="N555" s="710">
        <f t="shared" si="42"/>
        <v>0</v>
      </c>
      <c r="O555" s="3440">
        <f t="shared" si="41"/>
        <v>0</v>
      </c>
      <c r="P555" s="3441"/>
      <c r="Q555" s="2078"/>
      <c r="S555" s="3487"/>
    </row>
    <row r="556" spans="2:19" ht="18" customHeight="1">
      <c r="B556" s="2123" t="str">
        <f>IF(COUNTBLANK(E556:N556)&lt;10,"","u")</f>
        <v>u</v>
      </c>
      <c r="C556" s="3368" t="s">
        <v>85</v>
      </c>
      <c r="D556" s="3369"/>
      <c r="E556" s="576"/>
      <c r="F556" s="577"/>
      <c r="G556" s="577"/>
      <c r="H556" s="577"/>
      <c r="I556" s="577"/>
      <c r="J556" s="577"/>
      <c r="K556" s="577"/>
      <c r="L556" s="577"/>
      <c r="M556" s="577"/>
      <c r="N556" s="578"/>
      <c r="O556" s="3272">
        <f t="shared" si="41"/>
        <v>0</v>
      </c>
      <c r="P556" s="3273"/>
      <c r="Q556" s="2078"/>
      <c r="S556" s="3487"/>
    </row>
    <row r="557" spans="2:19" ht="18" customHeight="1">
      <c r="B557" s="2123" t="str">
        <f>IF(COUNTBLANK(E557:N557)&lt;10,"","u")</f>
        <v>u</v>
      </c>
      <c r="C557" s="3370" t="s">
        <v>86</v>
      </c>
      <c r="D557" s="3371"/>
      <c r="E557" s="576"/>
      <c r="F557" s="577"/>
      <c r="G557" s="577"/>
      <c r="H557" s="577"/>
      <c r="I557" s="577"/>
      <c r="J557" s="577"/>
      <c r="K557" s="577"/>
      <c r="L557" s="577"/>
      <c r="M557" s="577"/>
      <c r="N557" s="578"/>
      <c r="O557" s="3272">
        <f t="shared" si="41"/>
        <v>0</v>
      </c>
      <c r="P557" s="3273"/>
      <c r="Q557" s="2078"/>
      <c r="S557" s="3487"/>
    </row>
    <row r="558" spans="2:19" ht="18" customHeight="1">
      <c r="B558" s="2123"/>
      <c r="C558" s="1152" t="s">
        <v>3492</v>
      </c>
      <c r="D558" s="531"/>
      <c r="E558" s="699">
        <f>E556+E557</f>
        <v>0</v>
      </c>
      <c r="F558" s="700">
        <f t="shared" ref="F558:N558" si="43">F556+F557</f>
        <v>0</v>
      </c>
      <c r="G558" s="700">
        <f t="shared" si="43"/>
        <v>0</v>
      </c>
      <c r="H558" s="700">
        <f t="shared" si="43"/>
        <v>0</v>
      </c>
      <c r="I558" s="700">
        <f t="shared" si="43"/>
        <v>0</v>
      </c>
      <c r="J558" s="700">
        <f t="shared" si="43"/>
        <v>0</v>
      </c>
      <c r="K558" s="700">
        <f t="shared" si="43"/>
        <v>0</v>
      </c>
      <c r="L558" s="700">
        <f t="shared" si="43"/>
        <v>0</v>
      </c>
      <c r="M558" s="700">
        <f t="shared" si="43"/>
        <v>0</v>
      </c>
      <c r="N558" s="701">
        <f t="shared" si="43"/>
        <v>0</v>
      </c>
      <c r="O558" s="3421">
        <f t="shared" si="41"/>
        <v>0</v>
      </c>
      <c r="P558" s="3422"/>
      <c r="Q558" s="2078"/>
      <c r="S558" s="3487"/>
    </row>
    <row r="559" spans="2:19" ht="18" customHeight="1" thickBot="1">
      <c r="B559" s="2103"/>
      <c r="C559" s="3426" t="s">
        <v>83</v>
      </c>
      <c r="D559" s="3427"/>
      <c r="E559" s="1158">
        <f>E554-E555-E556-E557</f>
        <v>0</v>
      </c>
      <c r="F559" s="1159">
        <f t="shared" ref="F559:N559" si="44">F554-F555-F556-F557</f>
        <v>0</v>
      </c>
      <c r="G559" s="1159">
        <f t="shared" si="44"/>
        <v>0</v>
      </c>
      <c r="H559" s="1159">
        <f t="shared" si="44"/>
        <v>0</v>
      </c>
      <c r="I559" s="1159">
        <f t="shared" si="44"/>
        <v>0</v>
      </c>
      <c r="J559" s="1159">
        <f t="shared" si="44"/>
        <v>0</v>
      </c>
      <c r="K559" s="1159">
        <f t="shared" si="44"/>
        <v>0</v>
      </c>
      <c r="L559" s="1159">
        <f t="shared" si="44"/>
        <v>0</v>
      </c>
      <c r="M559" s="1159">
        <f t="shared" si="44"/>
        <v>0</v>
      </c>
      <c r="N559" s="1159">
        <f t="shared" si="44"/>
        <v>0</v>
      </c>
      <c r="O559" s="3390">
        <f t="shared" si="41"/>
        <v>0</v>
      </c>
      <c r="P559" s="3391"/>
      <c r="Q559" s="2136"/>
      <c r="S559" s="3487"/>
    </row>
    <row r="560" spans="2:19" ht="32.25" customHeight="1" thickBot="1">
      <c r="B560" s="2103"/>
      <c r="C560" s="3209" t="s">
        <v>539</v>
      </c>
      <c r="D560" s="3210"/>
      <c r="E560" s="3387"/>
      <c r="F560" s="3388"/>
      <c r="G560" s="3388"/>
      <c r="H560" s="3388"/>
      <c r="I560" s="3388"/>
      <c r="J560" s="3388"/>
      <c r="K560" s="3388"/>
      <c r="L560" s="3388"/>
      <c r="M560" s="3388"/>
      <c r="N560" s="3388"/>
      <c r="O560" s="3388"/>
      <c r="P560" s="3389"/>
      <c r="Q560" s="2136"/>
      <c r="S560" s="3487"/>
    </row>
    <row r="561" spans="2:19" ht="18" customHeight="1" thickBot="1">
      <c r="B561" s="2103"/>
      <c r="C561" s="1142" t="s">
        <v>657</v>
      </c>
      <c r="D561" s="1153"/>
      <c r="E561" s="1153"/>
      <c r="F561" s="1153"/>
      <c r="G561" s="1153"/>
      <c r="H561" s="1153"/>
      <c r="I561" s="1153"/>
      <c r="J561" s="1153"/>
      <c r="K561" s="1153"/>
      <c r="L561" s="1153"/>
      <c r="M561" s="1153"/>
      <c r="N561" s="1153"/>
      <c r="O561" s="1153"/>
      <c r="P561" s="1154"/>
      <c r="Q561" s="2078"/>
      <c r="S561" s="3487"/>
    </row>
    <row r="562" spans="2:19" ht="18" customHeight="1">
      <c r="B562" s="2103"/>
      <c r="C562" s="3396" t="s">
        <v>79</v>
      </c>
      <c r="D562" s="3397"/>
      <c r="E562" s="684">
        <f t="shared" ref="E562:N562" si="45">E480</f>
        <v>0</v>
      </c>
      <c r="F562" s="685">
        <f t="shared" si="45"/>
        <v>0</v>
      </c>
      <c r="G562" s="685">
        <f t="shared" si="45"/>
        <v>0</v>
      </c>
      <c r="H562" s="685">
        <f t="shared" si="45"/>
        <v>0</v>
      </c>
      <c r="I562" s="685">
        <f t="shared" si="45"/>
        <v>0</v>
      </c>
      <c r="J562" s="685">
        <f t="shared" si="45"/>
        <v>0</v>
      </c>
      <c r="K562" s="685">
        <f t="shared" si="45"/>
        <v>0</v>
      </c>
      <c r="L562" s="685">
        <f t="shared" si="45"/>
        <v>0</v>
      </c>
      <c r="M562" s="685">
        <f t="shared" si="45"/>
        <v>0</v>
      </c>
      <c r="N562" s="686">
        <f t="shared" si="45"/>
        <v>0</v>
      </c>
      <c r="O562" s="3400">
        <f>SUM(E562:N562)</f>
        <v>0</v>
      </c>
      <c r="P562" s="3401"/>
      <c r="Q562" s="2078"/>
      <c r="S562" s="3487"/>
    </row>
    <row r="563" spans="2:19" ht="18" customHeight="1">
      <c r="B563" s="2123" t="str">
        <f>IF(COUNTBLANK(E563:N563)&lt;10,"","u")</f>
        <v>u</v>
      </c>
      <c r="C563" s="3368" t="s">
        <v>85</v>
      </c>
      <c r="D563" s="3369"/>
      <c r="E563" s="576"/>
      <c r="F563" s="577"/>
      <c r="G563" s="577"/>
      <c r="H563" s="577"/>
      <c r="I563" s="577"/>
      <c r="J563" s="577"/>
      <c r="K563" s="577"/>
      <c r="L563" s="577"/>
      <c r="M563" s="577"/>
      <c r="N563" s="578"/>
      <c r="O563" s="3272">
        <f>SUM(E563:N563)</f>
        <v>0</v>
      </c>
      <c r="P563" s="3273"/>
      <c r="Q563" s="2078"/>
      <c r="S563" s="3487"/>
    </row>
    <row r="564" spans="2:19" ht="18" customHeight="1">
      <c r="B564" s="2123" t="str">
        <f>IF(COUNTBLANK(E564:N564)&lt;10,"","u")</f>
        <v>u</v>
      </c>
      <c r="C564" s="3370" t="s">
        <v>86</v>
      </c>
      <c r="D564" s="3371"/>
      <c r="E564" s="576"/>
      <c r="F564" s="577"/>
      <c r="G564" s="577"/>
      <c r="H564" s="577"/>
      <c r="I564" s="577"/>
      <c r="J564" s="577"/>
      <c r="K564" s="577"/>
      <c r="L564" s="577"/>
      <c r="M564" s="577"/>
      <c r="N564" s="578"/>
      <c r="O564" s="3404">
        <f>SUM(E564:N564)</f>
        <v>0</v>
      </c>
      <c r="P564" s="3405"/>
      <c r="Q564" s="2078"/>
      <c r="S564" s="3487"/>
    </row>
    <row r="565" spans="2:19" ht="18" customHeight="1">
      <c r="B565" s="2123"/>
      <c r="C565" s="1152" t="s">
        <v>3469</v>
      </c>
      <c r="D565" s="531"/>
      <c r="E565" s="699">
        <f>E563+E564</f>
        <v>0</v>
      </c>
      <c r="F565" s="700">
        <f t="shared" ref="F565:N565" si="46">F563+F564</f>
        <v>0</v>
      </c>
      <c r="G565" s="700">
        <f t="shared" si="46"/>
        <v>0</v>
      </c>
      <c r="H565" s="700">
        <f t="shared" si="46"/>
        <v>0</v>
      </c>
      <c r="I565" s="700">
        <f t="shared" si="46"/>
        <v>0</v>
      </c>
      <c r="J565" s="700">
        <f t="shared" si="46"/>
        <v>0</v>
      </c>
      <c r="K565" s="700">
        <f t="shared" si="46"/>
        <v>0</v>
      </c>
      <c r="L565" s="700">
        <f t="shared" si="46"/>
        <v>0</v>
      </c>
      <c r="M565" s="700">
        <f t="shared" si="46"/>
        <v>0</v>
      </c>
      <c r="N565" s="701">
        <f t="shared" si="46"/>
        <v>0</v>
      </c>
      <c r="O565" s="3421">
        <f>SUM(E565:N565)</f>
        <v>0</v>
      </c>
      <c r="P565" s="3422"/>
      <c r="Q565" s="2078"/>
      <c r="S565" s="3487"/>
    </row>
    <row r="566" spans="2:19" ht="18" customHeight="1" thickBot="1">
      <c r="B566" s="2103"/>
      <c r="C566" s="3426" t="s">
        <v>83</v>
      </c>
      <c r="D566" s="3427"/>
      <c r="E566" s="1158">
        <f t="shared" ref="E566:N566" si="47">E562-E563-E564</f>
        <v>0</v>
      </c>
      <c r="F566" s="1159">
        <f t="shared" si="47"/>
        <v>0</v>
      </c>
      <c r="G566" s="1159">
        <f t="shared" si="47"/>
        <v>0</v>
      </c>
      <c r="H566" s="1159">
        <f t="shared" si="47"/>
        <v>0</v>
      </c>
      <c r="I566" s="1159">
        <f t="shared" si="47"/>
        <v>0</v>
      </c>
      <c r="J566" s="1159">
        <f t="shared" si="47"/>
        <v>0</v>
      </c>
      <c r="K566" s="1159">
        <f t="shared" si="47"/>
        <v>0</v>
      </c>
      <c r="L566" s="1159">
        <f t="shared" si="47"/>
        <v>0</v>
      </c>
      <c r="M566" s="1159">
        <f t="shared" si="47"/>
        <v>0</v>
      </c>
      <c r="N566" s="1159">
        <f t="shared" si="47"/>
        <v>0</v>
      </c>
      <c r="O566" s="3390">
        <f>SUM(E566:N566)</f>
        <v>0</v>
      </c>
      <c r="P566" s="3391"/>
      <c r="Q566" s="2136"/>
      <c r="S566" s="3487"/>
    </row>
    <row r="567" spans="2:19" ht="32.25" customHeight="1" thickBot="1">
      <c r="B567" s="2103"/>
      <c r="C567" s="3209" t="s">
        <v>539</v>
      </c>
      <c r="D567" s="3210"/>
      <c r="E567" s="3387"/>
      <c r="F567" s="3388"/>
      <c r="G567" s="3388"/>
      <c r="H567" s="3388"/>
      <c r="I567" s="3388"/>
      <c r="J567" s="3388"/>
      <c r="K567" s="3388"/>
      <c r="L567" s="3388"/>
      <c r="M567" s="3388"/>
      <c r="N567" s="3388"/>
      <c r="O567" s="3388"/>
      <c r="P567" s="3389"/>
      <c r="Q567" s="2136"/>
      <c r="S567" s="3487"/>
    </row>
    <row r="568" spans="2:19" ht="16.5" customHeight="1">
      <c r="B568" s="2086"/>
      <c r="C568" s="2129"/>
      <c r="D568" s="2077"/>
      <c r="E568" s="2077"/>
      <c r="F568" s="2077"/>
      <c r="G568" s="2077"/>
      <c r="H568" s="2077"/>
      <c r="I568" s="2077"/>
      <c r="J568" s="2077"/>
      <c r="K568" s="2077"/>
      <c r="L568" s="2077"/>
      <c r="M568" s="2077"/>
      <c r="N568" s="2077"/>
      <c r="O568" s="2077"/>
      <c r="P568" s="2077"/>
      <c r="Q568" s="2078"/>
      <c r="S568" s="3487"/>
    </row>
    <row r="569" spans="2:19" ht="17.25" customHeight="1">
      <c r="B569" s="2086"/>
      <c r="C569" s="2130" t="s">
        <v>567</v>
      </c>
      <c r="D569" s="2077"/>
      <c r="E569" s="2077"/>
      <c r="F569" s="2077"/>
      <c r="G569" s="2077"/>
      <c r="H569" s="2077"/>
      <c r="I569" s="2406" t="str">
        <f>IF((OR(ISBLANK(F634),ISBLANK(F635),ISBLANK(F636))=FALSE),"Complété","À compléter")</f>
        <v>À compléter</v>
      </c>
      <c r="J569" s="2406" t="str">
        <f>IF((OR(ISBLANK(F634),ISBLANK(F635),ISBLANK(F636),ISBLANK(K634),ISBLANK(K635),ISBLANK(K636))=FALSE),"Complété","À compléter")</f>
        <v>À compléter</v>
      </c>
      <c r="K569" s="2077"/>
      <c r="L569" s="2077"/>
      <c r="M569" s="2077"/>
      <c r="N569" s="2077"/>
      <c r="O569" s="2077"/>
      <c r="P569" s="2077"/>
      <c r="Q569" s="2078"/>
      <c r="S569" s="3487"/>
    </row>
    <row r="570" spans="2:19" ht="18" customHeight="1">
      <c r="B570" s="2086"/>
      <c r="C570" s="1938"/>
      <c r="D570" s="2131"/>
      <c r="E570" s="3743" t="s">
        <v>568</v>
      </c>
      <c r="F570" s="3743"/>
      <c r="G570" s="3743"/>
      <c r="H570" s="3744"/>
      <c r="I570" s="353" t="str">
        <f>IF($M$73='MENU DÉROULANT'!$C$66,I569,J569)</f>
        <v>À compléter</v>
      </c>
      <c r="J570" s="3727" t="s">
        <v>3454</v>
      </c>
      <c r="K570" s="3727"/>
      <c r="L570" s="3727"/>
      <c r="M570" s="3727"/>
      <c r="N570" s="3727"/>
      <c r="O570" s="3727"/>
      <c r="P570" s="3727"/>
      <c r="Q570" s="2078"/>
      <c r="S570" s="3487"/>
    </row>
    <row r="571" spans="2:19" ht="6.75" customHeight="1">
      <c r="B571" s="2086"/>
      <c r="C571" s="2077"/>
      <c r="D571" s="2131"/>
      <c r="E571" s="2131"/>
      <c r="F571" s="2131"/>
      <c r="G571" s="2131"/>
      <c r="H571" s="2131"/>
      <c r="I571" s="2077"/>
      <c r="J571" s="2132"/>
      <c r="K571" s="2132"/>
      <c r="L571" s="2132"/>
      <c r="M571" s="2132"/>
      <c r="N571" s="2132"/>
      <c r="O571" s="2132"/>
      <c r="P571" s="2132"/>
      <c r="Q571" s="2078"/>
      <c r="S571" s="3487"/>
    </row>
    <row r="572" spans="2:19" ht="18" customHeight="1">
      <c r="B572" s="2086"/>
      <c r="C572" s="2077"/>
      <c r="D572" s="3743" t="s">
        <v>569</v>
      </c>
      <c r="E572" s="3743"/>
      <c r="F572" s="3743"/>
      <c r="G572" s="3743"/>
      <c r="H572" s="3744"/>
      <c r="I572" s="353" t="str">
        <f>IF($M$73='MENU DÉROULANT'!$C$66,I573,J573)</f>
        <v>À compléter</v>
      </c>
      <c r="J572" s="3727" t="s">
        <v>3455</v>
      </c>
      <c r="K572" s="3727"/>
      <c r="L572" s="3727"/>
      <c r="M572" s="3727"/>
      <c r="N572" s="3727"/>
      <c r="O572" s="3727"/>
      <c r="P572" s="3727"/>
      <c r="Q572" s="2078"/>
      <c r="S572" s="3487"/>
    </row>
    <row r="573" spans="2:19" ht="22.5" customHeight="1">
      <c r="B573" s="2086"/>
      <c r="C573" s="2077"/>
      <c r="D573" s="2117"/>
      <c r="E573" s="2117"/>
      <c r="F573" s="2117"/>
      <c r="G573" s="2117"/>
      <c r="H573" s="2117"/>
      <c r="I573" s="2406" t="str">
        <f>IF((OR(ISBLANK(F693),ISBLANK(F694),ISBLANK(F695))=FALSE),"Complété","À compléter")</f>
        <v>À compléter</v>
      </c>
      <c r="J573" s="2406" t="str">
        <f>IF((OR(ISBLANK(F693),ISBLANK(F694),ISBLANK(F695),ISBLANK(K693),ISBLANK(K694),ISBLANK(K695))=FALSE),"Complété","À compléter")</f>
        <v>À compléter</v>
      </c>
      <c r="K573" s="2119"/>
      <c r="L573" s="2119"/>
      <c r="M573" s="2119"/>
      <c r="N573" s="2119"/>
      <c r="O573" s="2119"/>
      <c r="P573" s="2119"/>
      <c r="Q573" s="2078"/>
      <c r="S573" s="3487"/>
    </row>
    <row r="574" spans="2:19" ht="18" customHeight="1">
      <c r="B574" s="2086"/>
      <c r="C574" s="2120" t="s">
        <v>570</v>
      </c>
      <c r="D574" s="2117"/>
      <c r="E574" s="2117"/>
      <c r="F574" s="2117"/>
      <c r="G574" s="1938"/>
      <c r="H574" s="3745" t="s">
        <v>670</v>
      </c>
      <c r="I574" s="3745"/>
      <c r="J574" s="1938"/>
      <c r="K574" s="1938"/>
      <c r="L574" s="2119"/>
      <c r="M574" s="2119"/>
      <c r="N574" s="2119"/>
      <c r="O574" s="2119"/>
      <c r="P574" s="2119"/>
      <c r="Q574" s="2078"/>
      <c r="S574" s="3487"/>
    </row>
    <row r="575" spans="2:19" ht="15" thickBot="1">
      <c r="B575" s="2087"/>
      <c r="C575" s="2092"/>
      <c r="D575" s="2092"/>
      <c r="E575" s="2092"/>
      <c r="F575" s="2121"/>
      <c r="G575" s="2121"/>
      <c r="H575" s="2092"/>
      <c r="I575" s="2121"/>
      <c r="J575" s="2121"/>
      <c r="K575" s="2092"/>
      <c r="L575" s="2121"/>
      <c r="M575" s="2092"/>
      <c r="N575" s="2121"/>
      <c r="O575" s="2121"/>
      <c r="P575" s="2121"/>
      <c r="Q575" s="2093"/>
      <c r="S575" s="3488"/>
    </row>
    <row r="576" spans="2:19" ht="15" thickBot="1">
      <c r="S576" s="614"/>
    </row>
    <row r="577" spans="1:19" ht="22.5" customHeight="1" thickBot="1">
      <c r="A577" s="1187"/>
      <c r="B577" s="1926" t="s">
        <v>671</v>
      </c>
      <c r="C577" s="1926"/>
      <c r="D577" s="1926"/>
      <c r="E577" s="1926"/>
      <c r="F577" s="1926"/>
      <c r="G577" s="1926"/>
      <c r="H577" s="1926"/>
      <c r="I577" s="1926"/>
      <c r="J577" s="1926"/>
      <c r="K577" s="1926"/>
      <c r="L577" s="2097"/>
      <c r="M577" s="2097"/>
      <c r="N577" s="2097"/>
      <c r="O577" s="3726" t="s">
        <v>155</v>
      </c>
      <c r="P577" s="3726"/>
      <c r="Q577" s="3726"/>
      <c r="S577" s="615" t="s">
        <v>521</v>
      </c>
    </row>
    <row r="578" spans="1:19" ht="9.75" customHeight="1" thickBot="1">
      <c r="S578" s="616"/>
    </row>
    <row r="579" spans="1:19" ht="8.25" customHeight="1">
      <c r="B579" s="2098"/>
      <c r="C579" s="2099"/>
      <c r="D579" s="2099"/>
      <c r="E579" s="2100"/>
      <c r="F579" s="2101"/>
      <c r="G579" s="2101"/>
      <c r="H579" s="2101"/>
      <c r="I579" s="2101"/>
      <c r="J579" s="2101"/>
      <c r="K579" s="2101"/>
      <c r="L579" s="2101"/>
      <c r="M579" s="2101"/>
      <c r="N579" s="2101"/>
      <c r="O579" s="2101"/>
      <c r="P579" s="2101"/>
      <c r="Q579" s="2102"/>
      <c r="S579" s="3486"/>
    </row>
    <row r="580" spans="1:19" ht="18" customHeight="1">
      <c r="B580" s="2103"/>
      <c r="C580" s="2104" t="s">
        <v>672</v>
      </c>
      <c r="D580" s="2104"/>
      <c r="E580" s="2105"/>
      <c r="F580" s="2106"/>
      <c r="G580" s="2106"/>
      <c r="H580" s="2106"/>
      <c r="I580" s="2106"/>
      <c r="J580" s="2106"/>
      <c r="K580" s="2106"/>
      <c r="L580" s="2106"/>
      <c r="M580" s="2106"/>
      <c r="N580" s="2126" t="s">
        <v>219</v>
      </c>
      <c r="O580" s="353" t="str">
        <f>IF((COUNTBLANK(B602:B638)=ROWS(B602:B638)),"Complété","À compléter")</f>
        <v>À compléter</v>
      </c>
      <c r="P580" s="2106"/>
      <c r="Q580" s="2107"/>
      <c r="S580" s="3487"/>
    </row>
    <row r="581" spans="1:19" ht="9.75" customHeight="1">
      <c r="B581" s="2103"/>
      <c r="C581" s="2105"/>
      <c r="D581" s="2105"/>
      <c r="E581" s="2105"/>
      <c r="F581" s="2106"/>
      <c r="G581" s="2106"/>
      <c r="H581" s="2106"/>
      <c r="I581" s="2106"/>
      <c r="J581" s="2106"/>
      <c r="K581" s="2106"/>
      <c r="L581" s="2106"/>
      <c r="M581" s="2106"/>
      <c r="N581" s="2106"/>
      <c r="O581" s="2106"/>
      <c r="P581" s="2106"/>
      <c r="Q581" s="2107"/>
      <c r="S581" s="3487"/>
    </row>
    <row r="582" spans="1:19" ht="17.25" customHeight="1">
      <c r="B582" s="2125"/>
      <c r="C582" s="3728" t="s">
        <v>531</v>
      </c>
      <c r="D582" s="3728"/>
      <c r="E582" s="3728"/>
      <c r="F582" s="3728"/>
      <c r="G582" s="3728"/>
      <c r="H582" s="3728"/>
      <c r="I582" s="3728"/>
      <c r="J582" s="3728"/>
      <c r="K582" s="3728"/>
      <c r="L582" s="3728"/>
      <c r="M582" s="3728"/>
      <c r="N582" s="1938"/>
      <c r="O582" s="1938"/>
      <c r="P582" s="1938"/>
      <c r="Q582" s="2128"/>
      <c r="S582" s="3487"/>
    </row>
    <row r="583" spans="1:19" ht="15" customHeight="1">
      <c r="B583" s="2125"/>
      <c r="C583" s="2127"/>
      <c r="D583" s="2127"/>
      <c r="E583" s="2127"/>
      <c r="F583" s="1938"/>
      <c r="G583" s="1938"/>
      <c r="H583" s="1938"/>
      <c r="I583" s="1938"/>
      <c r="J583" s="1938"/>
      <c r="K583" s="1938"/>
      <c r="L583" s="1938"/>
      <c r="M583" s="1938"/>
      <c r="N583" s="1938"/>
      <c r="O583" s="1938"/>
      <c r="P583" s="1938"/>
      <c r="Q583" s="2128"/>
      <c r="S583" s="3487"/>
    </row>
    <row r="584" spans="1:19">
      <c r="B584" s="2086"/>
      <c r="C584" s="2116" t="s">
        <v>673</v>
      </c>
      <c r="D584" s="2109"/>
      <c r="E584" s="2077"/>
      <c r="F584" s="2077"/>
      <c r="G584" s="2077"/>
      <c r="H584" s="2077"/>
      <c r="I584" s="2077"/>
      <c r="J584" s="2077"/>
      <c r="K584" s="2077"/>
      <c r="L584" s="2077"/>
      <c r="M584" s="2077"/>
      <c r="N584" s="2077"/>
      <c r="O584" s="2077"/>
      <c r="P584" s="2077"/>
      <c r="Q584" s="2078"/>
      <c r="S584" s="3487"/>
    </row>
    <row r="585" spans="1:19" ht="9" customHeight="1">
      <c r="B585" s="2086"/>
      <c r="C585" s="2109"/>
      <c r="D585" s="2109"/>
      <c r="E585" s="2077"/>
      <c r="F585" s="2077"/>
      <c r="G585" s="2077"/>
      <c r="H585" s="2077"/>
      <c r="I585" s="2077"/>
      <c r="J585" s="2077"/>
      <c r="K585" s="2077"/>
      <c r="L585" s="2077"/>
      <c r="M585" s="2077"/>
      <c r="N585" s="2077"/>
      <c r="O585" s="2077"/>
      <c r="P585" s="2077"/>
      <c r="Q585" s="2078"/>
      <c r="S585" s="3487"/>
    </row>
    <row r="586" spans="1:19" ht="9" customHeight="1">
      <c r="B586" s="2086"/>
      <c r="C586" s="258"/>
      <c r="D586" s="259"/>
      <c r="E586" s="260"/>
      <c r="F586" s="260"/>
      <c r="G586" s="260"/>
      <c r="H586" s="260"/>
      <c r="I586" s="260"/>
      <c r="J586" s="260"/>
      <c r="K586" s="260"/>
      <c r="L586" s="260"/>
      <c r="M586" s="260"/>
      <c r="N586" s="260"/>
      <c r="O586" s="260"/>
      <c r="P586" s="261"/>
      <c r="Q586" s="2078"/>
      <c r="S586" s="3487"/>
    </row>
    <row r="587" spans="1:19" ht="16.5" customHeight="1">
      <c r="B587" s="2086"/>
      <c r="C587" s="3383" t="s">
        <v>186</v>
      </c>
      <c r="D587" s="3384"/>
      <c r="E587" s="332" t="s">
        <v>187</v>
      </c>
      <c r="F587" s="333" t="s">
        <v>188</v>
      </c>
      <c r="G587" s="334"/>
      <c r="H587" s="335"/>
      <c r="I587" s="335"/>
      <c r="J587" s="335"/>
      <c r="K587" s="335"/>
      <c r="L587" s="335"/>
      <c r="M587" s="335"/>
      <c r="N587" s="335"/>
      <c r="O587" s="335"/>
      <c r="P587" s="266"/>
      <c r="Q587" s="2078"/>
      <c r="S587" s="3487"/>
    </row>
    <row r="588" spans="1:19" ht="16.5" customHeight="1">
      <c r="B588" s="2086"/>
      <c r="C588" s="3385" t="s">
        <v>189</v>
      </c>
      <c r="D588" s="3386"/>
      <c r="E588" s="199" t="s">
        <v>190</v>
      </c>
      <c r="F588" s="336" t="s">
        <v>191</v>
      </c>
      <c r="G588" s="337"/>
      <c r="H588" s="338"/>
      <c r="I588" s="338"/>
      <c r="J588" s="338"/>
      <c r="K588" s="338"/>
      <c r="L588" s="338"/>
      <c r="M588" s="338"/>
      <c r="N588" s="338"/>
      <c r="O588" s="338"/>
      <c r="P588" s="266"/>
      <c r="Q588" s="2078"/>
      <c r="S588" s="3487"/>
    </row>
    <row r="589" spans="1:19" ht="16.5" customHeight="1">
      <c r="B589" s="2086"/>
      <c r="C589" s="302"/>
      <c r="D589" s="303"/>
      <c r="E589" s="196" t="s">
        <v>192</v>
      </c>
      <c r="F589" s="336" t="s">
        <v>193</v>
      </c>
      <c r="G589" s="337"/>
      <c r="H589" s="338"/>
      <c r="I589" s="338"/>
      <c r="J589" s="338"/>
      <c r="K589" s="338"/>
      <c r="L589" s="338"/>
      <c r="M589" s="338"/>
      <c r="N589" s="338"/>
      <c r="O589" s="338"/>
      <c r="P589" s="266"/>
      <c r="Q589" s="2078"/>
      <c r="S589" s="3487"/>
    </row>
    <row r="590" spans="1:19" ht="16.5" customHeight="1">
      <c r="B590" s="2086"/>
      <c r="C590" s="302"/>
      <c r="D590" s="303"/>
      <c r="E590" s="192" t="s">
        <v>194</v>
      </c>
      <c r="F590" s="336" t="s">
        <v>195</v>
      </c>
      <c r="G590" s="337"/>
      <c r="H590" s="338"/>
      <c r="I590" s="338"/>
      <c r="J590" s="338"/>
      <c r="K590" s="338"/>
      <c r="L590" s="338"/>
      <c r="M590" s="338"/>
      <c r="N590" s="338"/>
      <c r="O590" s="338"/>
      <c r="P590" s="266"/>
      <c r="Q590" s="2078"/>
      <c r="S590" s="3487"/>
    </row>
    <row r="591" spans="1:19" ht="16.5" customHeight="1">
      <c r="B591" s="2086"/>
      <c r="C591" s="302"/>
      <c r="D591" s="303"/>
      <c r="E591" s="189" t="s">
        <v>196</v>
      </c>
      <c r="F591" s="336" t="s">
        <v>197</v>
      </c>
      <c r="G591" s="337"/>
      <c r="H591" s="338"/>
      <c r="I591" s="338"/>
      <c r="J591" s="338"/>
      <c r="K591" s="338"/>
      <c r="L591" s="338"/>
      <c r="M591" s="338"/>
      <c r="N591" s="338"/>
      <c r="O591" s="338"/>
      <c r="P591" s="266"/>
      <c r="Q591" s="2078"/>
      <c r="S591" s="3487"/>
    </row>
    <row r="592" spans="1:19" ht="12" customHeight="1">
      <c r="B592" s="2086"/>
      <c r="C592" s="304"/>
      <c r="D592" s="305"/>
      <c r="E592" s="271"/>
      <c r="F592" s="339"/>
      <c r="G592" s="340"/>
      <c r="H592" s="271"/>
      <c r="I592" s="306"/>
      <c r="J592" s="306"/>
      <c r="K592" s="306"/>
      <c r="L592" s="306"/>
      <c r="M592" s="306"/>
      <c r="N592" s="306"/>
      <c r="O592" s="306"/>
      <c r="P592" s="307"/>
      <c r="Q592" s="2078"/>
      <c r="S592" s="3487"/>
    </row>
    <row r="593" spans="2:19" ht="18" customHeight="1">
      <c r="B593" s="2086"/>
      <c r="C593" s="2109"/>
      <c r="D593" s="2109"/>
      <c r="E593" s="2077"/>
      <c r="F593" s="2077"/>
      <c r="G593" s="2077"/>
      <c r="H593" s="2077"/>
      <c r="I593" s="2077"/>
      <c r="J593" s="2077"/>
      <c r="K593" s="2077"/>
      <c r="L593" s="2077"/>
      <c r="M593" s="2077"/>
      <c r="N593" s="2077"/>
      <c r="O593" s="2077"/>
      <c r="P593" s="2077"/>
      <c r="Q593" s="2078"/>
      <c r="S593" s="3487"/>
    </row>
    <row r="594" spans="2:19" ht="16.5" customHeight="1">
      <c r="B594" s="2086"/>
      <c r="C594" s="2116" t="s">
        <v>3470</v>
      </c>
      <c r="D594" s="2109"/>
      <c r="E594" s="2077"/>
      <c r="F594" s="2077"/>
      <c r="G594" s="2077"/>
      <c r="H594" s="2077"/>
      <c r="I594" s="2077"/>
      <c r="J594" s="2077"/>
      <c r="K594" s="2077"/>
      <c r="L594" s="2077"/>
      <c r="M594" s="2077"/>
      <c r="N594" s="2077"/>
      <c r="O594" s="2077"/>
      <c r="P594" s="2077"/>
      <c r="Q594" s="2078"/>
      <c r="S594" s="3487"/>
    </row>
    <row r="595" spans="2:19" ht="4.5" customHeight="1">
      <c r="B595" s="2086"/>
      <c r="C595" s="2116"/>
      <c r="D595" s="2109"/>
      <c r="E595" s="2077"/>
      <c r="F595" s="2077"/>
      <c r="G595" s="2077"/>
      <c r="H595" s="2077"/>
      <c r="I595" s="2077"/>
      <c r="J595" s="2077"/>
      <c r="K595" s="2077"/>
      <c r="L595" s="2077"/>
      <c r="M595" s="2077"/>
      <c r="N595" s="2077"/>
      <c r="O595" s="2077"/>
      <c r="P595" s="2077"/>
      <c r="Q595" s="2078"/>
      <c r="S595" s="3487"/>
    </row>
    <row r="596" spans="2:19" ht="16.5" customHeight="1">
      <c r="B596" s="2086"/>
      <c r="C596" s="2116" t="s">
        <v>674</v>
      </c>
      <c r="D596" s="2109"/>
      <c r="E596" s="2077"/>
      <c r="F596" s="2077"/>
      <c r="G596" s="2077"/>
      <c r="H596" s="2077"/>
      <c r="I596" s="2077"/>
      <c r="J596" s="2077"/>
      <c r="K596" s="2077"/>
      <c r="L596" s="1938"/>
      <c r="M596" s="2077"/>
      <c r="N596" s="1938"/>
      <c r="O596" s="2077"/>
      <c r="P596" s="2077"/>
      <c r="Q596" s="2078"/>
      <c r="S596" s="3487"/>
    </row>
    <row r="597" spans="2:19" ht="24.75" customHeight="1">
      <c r="B597" s="2086"/>
      <c r="C597" s="2124" t="s">
        <v>675</v>
      </c>
      <c r="D597" s="2109"/>
      <c r="E597" s="2077"/>
      <c r="F597" s="2077"/>
      <c r="G597" s="2077"/>
      <c r="H597" s="2077"/>
      <c r="I597" s="2077"/>
      <c r="J597" s="2077"/>
      <c r="K597" s="2077"/>
      <c r="L597" s="2077"/>
      <c r="M597" s="2077"/>
      <c r="N597" s="2077"/>
      <c r="O597" s="2077"/>
      <c r="P597" s="2077"/>
      <c r="Q597" s="2078"/>
      <c r="S597" s="3487"/>
    </row>
    <row r="598" spans="2:19" ht="24" customHeight="1">
      <c r="B598" s="2086"/>
      <c r="C598" s="2155" t="s">
        <v>676</v>
      </c>
      <c r="D598" s="2109"/>
      <c r="E598" s="2077"/>
      <c r="F598" s="2077"/>
      <c r="G598" s="2077"/>
      <c r="H598" s="2077"/>
      <c r="I598" s="2077"/>
      <c r="J598" s="2077"/>
      <c r="K598" s="2077"/>
      <c r="L598" s="2077"/>
      <c r="M598" s="2077"/>
      <c r="N598" s="2077"/>
      <c r="O598" s="2077"/>
      <c r="P598" s="2077"/>
      <c r="Q598" s="2078"/>
      <c r="S598" s="3487"/>
    </row>
    <row r="599" spans="2:19" ht="18.75" customHeight="1">
      <c r="B599" s="2086"/>
      <c r="C599" s="2109"/>
      <c r="D599" s="2109"/>
      <c r="E599" s="2077"/>
      <c r="F599" s="2077"/>
      <c r="G599" s="2077"/>
      <c r="H599" s="2077"/>
      <c r="I599" s="2077"/>
      <c r="J599" s="2077"/>
      <c r="K599" s="2077"/>
      <c r="L599" s="2077"/>
      <c r="M599" s="2077"/>
      <c r="N599" s="2077"/>
      <c r="O599" s="2077"/>
      <c r="P599" s="2077"/>
      <c r="Q599" s="2078"/>
      <c r="S599" s="3487"/>
    </row>
    <row r="600" spans="2:19" ht="22.5" customHeight="1">
      <c r="B600" s="2086"/>
      <c r="C600" s="1938" t="s">
        <v>552</v>
      </c>
      <c r="D600" s="1938"/>
      <c r="E600" s="1938"/>
      <c r="F600" s="3449" t="s">
        <v>818</v>
      </c>
      <c r="G600" s="3450"/>
      <c r="H600" s="3450"/>
      <c r="I600" s="3450"/>
      <c r="J600" s="3450"/>
      <c r="K600" s="3449" t="s">
        <v>820</v>
      </c>
      <c r="L600" s="3450"/>
      <c r="M600" s="3450"/>
      <c r="N600" s="3450"/>
      <c r="O600" s="3450"/>
      <c r="P600" s="311"/>
      <c r="Q600" s="2078"/>
      <c r="S600" s="3487"/>
    </row>
    <row r="601" spans="2:19" ht="3" customHeight="1">
      <c r="B601" s="2086"/>
      <c r="C601" s="2077"/>
      <c r="D601" s="2077"/>
      <c r="E601" s="2077"/>
      <c r="F601" s="2077"/>
      <c r="G601" s="2077"/>
      <c r="H601" s="2077"/>
      <c r="I601" s="2077"/>
      <c r="J601" s="2077"/>
      <c r="K601" s="2077"/>
      <c r="L601" s="2077"/>
      <c r="M601" s="2077"/>
      <c r="N601" s="2077"/>
      <c r="O601" s="2077"/>
      <c r="P601" s="2077"/>
      <c r="Q601" s="2078"/>
      <c r="S601" s="3487"/>
    </row>
    <row r="602" spans="2:19" ht="23.25" customHeight="1">
      <c r="B602" s="2086"/>
      <c r="C602" s="3376" t="s">
        <v>677</v>
      </c>
      <c r="D602" s="3377"/>
      <c r="E602" s="3378"/>
      <c r="F602" s="3415" t="s">
        <v>678</v>
      </c>
      <c r="G602" s="3416"/>
      <c r="H602" s="3417" t="s">
        <v>679</v>
      </c>
      <c r="I602" s="3417"/>
      <c r="J602" s="3417"/>
      <c r="K602" s="3415" t="s">
        <v>678</v>
      </c>
      <c r="L602" s="3416"/>
      <c r="M602" s="3417" t="s">
        <v>679</v>
      </c>
      <c r="N602" s="3417"/>
      <c r="O602" s="3417"/>
      <c r="P602" s="342"/>
      <c r="Q602" s="2078"/>
      <c r="S602" s="3487"/>
    </row>
    <row r="603" spans="2:19" ht="29.25" customHeight="1">
      <c r="B603" s="2086"/>
      <c r="C603" s="3379"/>
      <c r="D603" s="3380"/>
      <c r="E603" s="3381"/>
      <c r="F603" s="471" t="s">
        <v>680</v>
      </c>
      <c r="G603" s="343" t="s">
        <v>95</v>
      </c>
      <c r="H603" s="463" t="s">
        <v>681</v>
      </c>
      <c r="I603" s="3374" t="s">
        <v>682</v>
      </c>
      <c r="J603" s="3375"/>
      <c r="K603" s="471" t="s">
        <v>680</v>
      </c>
      <c r="L603" s="343" t="s">
        <v>95</v>
      </c>
      <c r="M603" s="463" t="s">
        <v>681</v>
      </c>
      <c r="N603" s="3374" t="s">
        <v>682</v>
      </c>
      <c r="O603" s="3382"/>
      <c r="P603" s="3375"/>
      <c r="Q603" s="2078"/>
      <c r="S603" s="3487"/>
    </row>
    <row r="604" spans="2:19" ht="21.75" customHeight="1">
      <c r="B604" s="2122"/>
      <c r="C604" s="677" t="s">
        <v>683</v>
      </c>
      <c r="D604" s="525"/>
      <c r="E604" s="526" t="s">
        <v>684</v>
      </c>
      <c r="F604" s="527" t="str">
        <f>IF(H604=1,"1- Très faible",IF(H604=2,"2- Faible",IF(H604=3,"3- Moyen",IF(H604=4,"4- Bon",IF(H604=5,"5- Excellent","")))))</f>
        <v/>
      </c>
      <c r="G604" s="13" t="str">
        <f>IF(OR(SUM(G605:G610)=0,H604=0),"",(SUM(G605:G610)/(6-I604)*6))</f>
        <v/>
      </c>
      <c r="H604" s="528">
        <f>IF(I604=6,0,IF(I604=0,ROUNDDOWN(AVERAGE(G605:G610),0),ROUNDDOWN((SUM(G605:G610)/(6-I604)),0)))</f>
        <v>0</v>
      </c>
      <c r="I604" s="715">
        <f>COUNTIF(F605:F610,"Ne s'applique pas")</f>
        <v>0</v>
      </c>
      <c r="J604" s="529"/>
      <c r="K604" s="527" t="str">
        <f>IF(M604=1,"1- Très faible",IF(M604=2,"2- Faible",IF(M604=3,"3- Moyen",IF(M604=4,"4- Bon",IF(M604=5,"5- Excellent","")))))</f>
        <v/>
      </c>
      <c r="L604" s="13" t="str">
        <f>IF(OR(SUM(L605:L610)=0,M604=0),"",(SUM(L605:L610)/(6-N604)*6))</f>
        <v/>
      </c>
      <c r="M604" s="528">
        <f>IF(N604=6,0,IF(N604=0,ROUNDDOWN(AVERAGE(L605:L610),0),ROUNDDOWN((SUM(L605:L610)/(6-N604)),0)))</f>
        <v>0</v>
      </c>
      <c r="N604" s="715">
        <f>COUNTIF(K605:K610,"Ne s'applique pas")</f>
        <v>0</v>
      </c>
      <c r="O604" s="3257"/>
      <c r="P604" s="3258"/>
      <c r="Q604" s="2078"/>
      <c r="S604" s="3487"/>
    </row>
    <row r="605" spans="2:19" ht="18" customHeight="1">
      <c r="B605" s="2123" t="str">
        <f t="shared" ref="B605:B610" si="48">IF(OR(ISBLANK($L$74),ISBLANK(F605))=FALSE,"",IF(OR(ISBLANK(F605),ISBLANK(K605))=FALSE,"","u"))</f>
        <v>u</v>
      </c>
      <c r="C605" s="3451" t="s">
        <v>685</v>
      </c>
      <c r="D605" s="3452"/>
      <c r="E605" s="3453"/>
      <c r="F605" s="675"/>
      <c r="G605" s="524">
        <f t="shared" ref="G605:G610" si="49">IF(F605=$E$587,1,IF(F605=$E$588,2,IF(F605=$E$589,3,IF(F605=$E$590,4,IF(F605=$E$591,5,0)))))</f>
        <v>0</v>
      </c>
      <c r="H605" s="2998"/>
      <c r="I605" s="3423"/>
      <c r="J605" s="3425"/>
      <c r="K605" s="675"/>
      <c r="L605" s="524">
        <f t="shared" ref="L605:L610" si="50">IF(K605=$E$587,1,IF(K605=$E$588,2,IF(K605=$E$589,3,IF(K605=$E$590,4,IF(K605=$E$591,5,0)))))</f>
        <v>0</v>
      </c>
      <c r="M605" s="2998"/>
      <c r="N605" s="3423"/>
      <c r="O605" s="3424"/>
      <c r="P605" s="3425"/>
      <c r="Q605" s="2078"/>
      <c r="R605" s="296"/>
      <c r="S605" s="3487"/>
    </row>
    <row r="606" spans="2:19" ht="18" customHeight="1">
      <c r="B606" s="2123" t="str">
        <f t="shared" si="48"/>
        <v>u</v>
      </c>
      <c r="C606" s="3259" t="s">
        <v>686</v>
      </c>
      <c r="D606" s="3260"/>
      <c r="E606" s="3261"/>
      <c r="F606" s="675"/>
      <c r="G606" s="14">
        <f t="shared" si="49"/>
        <v>0</v>
      </c>
      <c r="H606" s="2997"/>
      <c r="I606" s="3254"/>
      <c r="J606" s="3256"/>
      <c r="K606" s="674"/>
      <c r="L606" s="14">
        <f t="shared" si="50"/>
        <v>0</v>
      </c>
      <c r="M606" s="2997"/>
      <c r="N606" s="3254"/>
      <c r="O606" s="3255"/>
      <c r="P606" s="3256"/>
      <c r="Q606" s="2078"/>
      <c r="S606" s="3487"/>
    </row>
    <row r="607" spans="2:19" ht="18" customHeight="1">
      <c r="B607" s="2123" t="str">
        <f t="shared" si="48"/>
        <v>u</v>
      </c>
      <c r="C607" s="3259" t="s">
        <v>687</v>
      </c>
      <c r="D607" s="3260"/>
      <c r="E607" s="3261"/>
      <c r="F607" s="675"/>
      <c r="G607" s="14">
        <f t="shared" si="49"/>
        <v>0</v>
      </c>
      <c r="H607" s="2997"/>
      <c r="I607" s="3254"/>
      <c r="J607" s="3256"/>
      <c r="K607" s="674"/>
      <c r="L607" s="14">
        <f t="shared" si="50"/>
        <v>0</v>
      </c>
      <c r="M607" s="2997"/>
      <c r="N607" s="3254"/>
      <c r="O607" s="3255"/>
      <c r="P607" s="3256"/>
      <c r="Q607" s="2078"/>
      <c r="S607" s="3487"/>
    </row>
    <row r="608" spans="2:19" ht="18" customHeight="1">
      <c r="B608" s="2123" t="str">
        <f t="shared" si="48"/>
        <v>u</v>
      </c>
      <c r="C608" s="3259" t="s">
        <v>688</v>
      </c>
      <c r="D608" s="3260"/>
      <c r="E608" s="3261"/>
      <c r="F608" s="675"/>
      <c r="G608" s="14">
        <f t="shared" si="49"/>
        <v>0</v>
      </c>
      <c r="H608" s="2997"/>
      <c r="I608" s="3254"/>
      <c r="J608" s="3256"/>
      <c r="K608" s="674"/>
      <c r="L608" s="14">
        <f t="shared" si="50"/>
        <v>0</v>
      </c>
      <c r="M608" s="2997"/>
      <c r="N608" s="3254"/>
      <c r="O608" s="3255"/>
      <c r="P608" s="3256"/>
      <c r="Q608" s="2078"/>
      <c r="S608" s="3487"/>
    </row>
    <row r="609" spans="2:19" ht="18" customHeight="1">
      <c r="B609" s="2123" t="str">
        <f t="shared" si="48"/>
        <v>u</v>
      </c>
      <c r="C609" s="3259" t="s">
        <v>689</v>
      </c>
      <c r="D609" s="3260"/>
      <c r="E609" s="3261"/>
      <c r="F609" s="675"/>
      <c r="G609" s="14">
        <f t="shared" si="49"/>
        <v>0</v>
      </c>
      <c r="H609" s="2997"/>
      <c r="I609" s="3254"/>
      <c r="J609" s="3256"/>
      <c r="K609" s="674"/>
      <c r="L609" s="14">
        <f t="shared" si="50"/>
        <v>0</v>
      </c>
      <c r="M609" s="2997"/>
      <c r="N609" s="3254"/>
      <c r="O609" s="3255"/>
      <c r="P609" s="3256"/>
      <c r="Q609" s="2078"/>
      <c r="S609" s="3487"/>
    </row>
    <row r="610" spans="2:19" ht="18" customHeight="1">
      <c r="B610" s="2123" t="str">
        <f t="shared" si="48"/>
        <v>u</v>
      </c>
      <c r="C610" s="3454" t="s">
        <v>690</v>
      </c>
      <c r="D610" s="3455"/>
      <c r="E610" s="3456"/>
      <c r="F610" s="675"/>
      <c r="G610" s="523">
        <f t="shared" si="49"/>
        <v>0</v>
      </c>
      <c r="H610" s="2999"/>
      <c r="I610" s="3446"/>
      <c r="J610" s="3447"/>
      <c r="K610" s="676"/>
      <c r="L610" s="523">
        <f t="shared" si="50"/>
        <v>0</v>
      </c>
      <c r="M610" s="2999"/>
      <c r="N610" s="3446"/>
      <c r="O610" s="3448"/>
      <c r="P610" s="3447"/>
      <c r="Q610" s="2078"/>
      <c r="S610" s="3487"/>
    </row>
    <row r="611" spans="2:19" ht="35.25" customHeight="1">
      <c r="B611" s="2123"/>
      <c r="C611" s="3248" t="s">
        <v>691</v>
      </c>
      <c r="D611" s="3249"/>
      <c r="E611" s="3250"/>
      <c r="F611" s="3251"/>
      <c r="G611" s="3252"/>
      <c r="H611" s="3252"/>
      <c r="I611" s="3252"/>
      <c r="J611" s="3252"/>
      <c r="K611" s="3251"/>
      <c r="L611" s="3252"/>
      <c r="M611" s="3252"/>
      <c r="N611" s="3252"/>
      <c r="O611" s="3252"/>
      <c r="P611" s="3253"/>
      <c r="Q611" s="2078"/>
      <c r="S611" s="3487"/>
    </row>
    <row r="612" spans="2:19" ht="21.75" customHeight="1">
      <c r="B612" s="2122"/>
      <c r="C612" s="677" t="s">
        <v>692</v>
      </c>
      <c r="D612" s="328"/>
      <c r="E612" s="8" t="s">
        <v>693</v>
      </c>
      <c r="F612" s="12" t="str">
        <f>IF(H612=1,"1- Très faible",IF(H612=2,"2- Faible",IF(H612=3,"3- Moyen",IF(H612=4,"4- Bon",IF(H612=5,"5- Excellent","")))))</f>
        <v/>
      </c>
      <c r="G612" s="521" t="str">
        <f>IF(SUM(G613:G614)=0,"",SUM(G613:G614))</f>
        <v/>
      </c>
      <c r="H612" s="15">
        <f>ROUNDDOWN(AVERAGE(G613:G614),0)</f>
        <v>0</v>
      </c>
      <c r="I612" s="16"/>
      <c r="J612" s="18"/>
      <c r="K612" s="12" t="str">
        <f>IF(M612=1,"1- Très faible",IF(M612=2,"2- Faible",IF(M612=3,"3- Moyen",IF(M612=4,"4- Bon",IF(M612=5,"5- Excellent","")))))</f>
        <v/>
      </c>
      <c r="L612" s="521" t="str">
        <f>IF(SUM(L613:L614)=0,"",SUM(L613:L614))</f>
        <v/>
      </c>
      <c r="M612" s="15">
        <f>ROUNDDOWN(AVERAGE(L613:L614),0)</f>
        <v>0</v>
      </c>
      <c r="N612" s="16"/>
      <c r="O612" s="3444"/>
      <c r="P612" s="3445"/>
      <c r="Q612" s="2078"/>
      <c r="S612" s="3487"/>
    </row>
    <row r="613" spans="2:19" ht="18" customHeight="1">
      <c r="B613" s="2123" t="str">
        <f>IF(OR(ISBLANK($L$74),ISBLANK(F613))=FALSE,"",IF(OR(ISBLANK(F613),ISBLANK(K613))=FALSE,"","u"))</f>
        <v>u</v>
      </c>
      <c r="C613" s="3418" t="s">
        <v>694</v>
      </c>
      <c r="D613" s="3419"/>
      <c r="E613" s="3420"/>
      <c r="F613" s="674"/>
      <c r="G613" s="14">
        <f>IF(F613=$E$587,1,IF(F613=$E$588,2,IF(F613=$E$589,3,IF(F613=$E$590,4,IF(F613=$E$591,5,0)))))</f>
        <v>0</v>
      </c>
      <c r="H613" s="2997"/>
      <c r="I613" s="3254"/>
      <c r="J613" s="3256"/>
      <c r="K613" s="674"/>
      <c r="L613" s="14">
        <f>IF(K613=$E$587,1,IF(K613=$E$588,2,IF(K613=$E$589,3,IF(K613=$E$590,4,IF(K613=$E$591,5,0)))))</f>
        <v>0</v>
      </c>
      <c r="M613" s="2997"/>
      <c r="N613" s="3254"/>
      <c r="O613" s="3255"/>
      <c r="P613" s="3256"/>
      <c r="Q613" s="2078"/>
      <c r="S613" s="3487"/>
    </row>
    <row r="614" spans="2:19" ht="18" customHeight="1">
      <c r="B614" s="2123" t="str">
        <f>IF(OR(ISBLANK($L$74),ISBLANK(F614))=FALSE,"",IF(OR(ISBLANK(F614),ISBLANK(K614))=FALSE,"","u"))</f>
        <v>u</v>
      </c>
      <c r="C614" s="3259" t="s">
        <v>695</v>
      </c>
      <c r="D614" s="3260"/>
      <c r="E614" s="3261"/>
      <c r="F614" s="674"/>
      <c r="G614" s="522">
        <f>IF(F614=$E$587,1,IF(F614=$E$588,2,IF(F614=$E$589,3,IF(F614=$E$590,4,IF(F614=$E$591,5,0)))))</f>
        <v>0</v>
      </c>
      <c r="H614" s="2997"/>
      <c r="I614" s="3254"/>
      <c r="J614" s="3256"/>
      <c r="K614" s="674"/>
      <c r="L614" s="522">
        <f>IF(K614=$E$587,1,IF(K614=$E$588,2,IF(K614=$E$589,3,IF(K614=$E$590,4,IF(K614=$E$591,5,0)))))</f>
        <v>0</v>
      </c>
      <c r="M614" s="2997"/>
      <c r="N614" s="3254"/>
      <c r="O614" s="3255"/>
      <c r="P614" s="3256"/>
      <c r="Q614" s="2078"/>
      <c r="S614" s="3487"/>
    </row>
    <row r="615" spans="2:19" ht="35.25" customHeight="1">
      <c r="B615" s="2123"/>
      <c r="C615" s="3248" t="s">
        <v>691</v>
      </c>
      <c r="D615" s="3249"/>
      <c r="E615" s="3250"/>
      <c r="F615" s="3251"/>
      <c r="G615" s="3252"/>
      <c r="H615" s="3252"/>
      <c r="I615" s="3252"/>
      <c r="J615" s="3252"/>
      <c r="K615" s="3251"/>
      <c r="L615" s="3252"/>
      <c r="M615" s="3252"/>
      <c r="N615" s="3252"/>
      <c r="O615" s="3252"/>
      <c r="P615" s="3253"/>
      <c r="Q615" s="2078"/>
      <c r="S615" s="3487"/>
    </row>
    <row r="616" spans="2:19" ht="21.75" customHeight="1">
      <c r="B616" s="2122"/>
      <c r="C616" s="677" t="s">
        <v>601</v>
      </c>
      <c r="D616" s="328"/>
      <c r="E616" s="8" t="s">
        <v>693</v>
      </c>
      <c r="F616" s="12" t="str">
        <f>IF(H616=1,"1- Très faible",IF(H616=2,"2- Faible",IF(H616=3,"3- Moyen",IF(H616=4,"4- Bon",IF(H616=5,"5- Excellent","")))))</f>
        <v/>
      </c>
      <c r="G616" s="13" t="str">
        <f>IF(SUM(G617:G618)=0,"",SUM(G617:G618))</f>
        <v/>
      </c>
      <c r="H616" s="15">
        <f>ROUNDDOWN(AVERAGE(G617:G618),0)</f>
        <v>0</v>
      </c>
      <c r="I616" s="16"/>
      <c r="J616" s="18"/>
      <c r="K616" s="12" t="str">
        <f>IF(M616=1,"1- Très faible",IF(M616=2,"2- Faible",IF(M616=3,"3- Moyen",IF(M616=4,"4- Bon",IF(M616=5,"5- Excellent","")))))</f>
        <v/>
      </c>
      <c r="L616" s="13" t="str">
        <f>IF(SUM(L617:L618)=0,"",SUM(L617:L618))</f>
        <v/>
      </c>
      <c r="M616" s="15">
        <f>ROUNDDOWN(AVERAGE(L617:L618),0)</f>
        <v>0</v>
      </c>
      <c r="N616" s="16"/>
      <c r="O616" s="3257"/>
      <c r="P616" s="3258"/>
      <c r="Q616" s="2078"/>
      <c r="S616" s="3487"/>
    </row>
    <row r="617" spans="2:19" ht="18" customHeight="1">
      <c r="B617" s="2123" t="str">
        <f>IF(OR(ISBLANK($L$74),ISBLANK(F617))=FALSE,"",IF(OR(ISBLANK(F617),ISBLANK(K617))=FALSE,"","u"))</f>
        <v>u</v>
      </c>
      <c r="C617" s="3410" t="s">
        <v>696</v>
      </c>
      <c r="D617" s="3411"/>
      <c r="E617" s="3412"/>
      <c r="F617" s="674"/>
      <c r="G617" s="14">
        <f>IF(F617=$E$587,1,IF(F617=$E$588,2,IF(F617=$E$589,3,IF(F617=$E$590,4,IF(F617=$E$591,5,0)))))</f>
        <v>0</v>
      </c>
      <c r="H617" s="2997"/>
      <c r="I617" s="3254"/>
      <c r="J617" s="3256"/>
      <c r="K617" s="674"/>
      <c r="L617" s="14">
        <f>IF(K617=$E$587,1,IF(K617=$E$588,2,IF(K617=$E$589,3,IF(K617=$E$590,4,IF(K617=$E$591,5,0)))))</f>
        <v>0</v>
      </c>
      <c r="M617" s="2997"/>
      <c r="N617" s="3254"/>
      <c r="O617" s="3255"/>
      <c r="P617" s="3256"/>
      <c r="Q617" s="2078"/>
      <c r="S617" s="3487"/>
    </row>
    <row r="618" spans="2:19" ht="18" customHeight="1">
      <c r="B618" s="2123" t="str">
        <f>IF(OR(ISBLANK($L$74),ISBLANK(F618))=FALSE,"",IF(OR(ISBLANK(F618),ISBLANK(K618))=FALSE,"","u"))</f>
        <v>u</v>
      </c>
      <c r="C618" s="3259" t="s">
        <v>697</v>
      </c>
      <c r="D618" s="3260"/>
      <c r="E618" s="3261"/>
      <c r="F618" s="674"/>
      <c r="G618" s="522">
        <f>IF(F618=$E$587,1,IF(F618=$E$588,2,IF(F618=$E$589,3,IF(F618=$E$590,4,IF(F618=$E$591,5,0)))))</f>
        <v>0</v>
      </c>
      <c r="H618" s="2997"/>
      <c r="I618" s="3254"/>
      <c r="J618" s="3256"/>
      <c r="K618" s="674"/>
      <c r="L618" s="522">
        <f>IF(K618=$E$587,1,IF(K618=$E$588,2,IF(K618=$E$589,3,IF(K618=$E$590,4,IF(K618=$E$591,5,0)))))</f>
        <v>0</v>
      </c>
      <c r="M618" s="2997"/>
      <c r="N618" s="3254"/>
      <c r="O618" s="3255"/>
      <c r="P618" s="3256"/>
      <c r="Q618" s="2078"/>
      <c r="S618" s="3487"/>
    </row>
    <row r="619" spans="2:19" ht="35.25" customHeight="1">
      <c r="B619" s="2123"/>
      <c r="C619" s="3248" t="s">
        <v>691</v>
      </c>
      <c r="D619" s="3249"/>
      <c r="E619" s="3250"/>
      <c r="F619" s="3251"/>
      <c r="G619" s="3252"/>
      <c r="H619" s="3252"/>
      <c r="I619" s="3252"/>
      <c r="J619" s="3252"/>
      <c r="K619" s="3251"/>
      <c r="L619" s="3252"/>
      <c r="M619" s="3252"/>
      <c r="N619" s="3252"/>
      <c r="O619" s="3252"/>
      <c r="P619" s="3253"/>
      <c r="Q619" s="2078"/>
      <c r="S619" s="3487"/>
    </row>
    <row r="620" spans="2:19" ht="21.75" customHeight="1">
      <c r="B620" s="2122"/>
      <c r="C620" s="677" t="s">
        <v>698</v>
      </c>
      <c r="D620" s="328"/>
      <c r="E620" s="8" t="s">
        <v>693</v>
      </c>
      <c r="F620" s="12" t="str">
        <f>IF(H620=1,"1- Très faible",IF(H620=2,"2- Faible",IF(H620=3,"3- Moyen",IF(H620=4,"4- Bon",IF(H620=5,"5- Excellent","")))))</f>
        <v/>
      </c>
      <c r="G620" s="521" t="str">
        <f>IF(SUM(G621:G622)=0,"",SUM(G621:G622))</f>
        <v/>
      </c>
      <c r="H620" s="15">
        <f>ROUNDDOWN(AVERAGE(G621:G622),0)</f>
        <v>0</v>
      </c>
      <c r="I620" s="16"/>
      <c r="J620" s="18"/>
      <c r="K620" s="12" t="str">
        <f>IF(M620=1,"1- Très faible",IF(M620=2,"2- Faible",IF(M620=3,"3- Moyen",IF(M620=4,"4- Bon",IF(M620=5,"5- Excellent","")))))</f>
        <v/>
      </c>
      <c r="L620" s="521" t="str">
        <f>IF(SUM(L621:L622)=0,"",SUM(L621:L622))</f>
        <v/>
      </c>
      <c r="M620" s="15">
        <f>ROUNDDOWN(AVERAGE(L621:L622),0)</f>
        <v>0</v>
      </c>
      <c r="N620" s="16"/>
      <c r="O620" s="3444"/>
      <c r="P620" s="3445"/>
      <c r="Q620" s="2078"/>
      <c r="S620" s="3487"/>
    </row>
    <row r="621" spans="2:19" ht="18" customHeight="1">
      <c r="B621" s="2123" t="str">
        <f>IF(OR(ISBLANK($L$74),ISBLANK(F621))=FALSE,"",IF(OR(ISBLANK(F621),ISBLANK(K621))=FALSE,"","u"))</f>
        <v>u</v>
      </c>
      <c r="C621" s="3410" t="s">
        <v>699</v>
      </c>
      <c r="D621" s="3411"/>
      <c r="E621" s="3412"/>
      <c r="F621" s="674"/>
      <c r="G621" s="522">
        <f>IF(F621=$E$587,1,IF(F621=$E$588,2,IF(F621=$E$589,3,IF(F621=$E$590,4,IF(F621=$E$591,5,0)))))</f>
        <v>0</v>
      </c>
      <c r="H621" s="2997"/>
      <c r="I621" s="3254"/>
      <c r="J621" s="3256"/>
      <c r="K621" s="674"/>
      <c r="L621" s="522">
        <f>IF(K621=$E$587,1,IF(K621=$E$588,2,IF(K621=$E$589,3,IF(K621=$E$590,4,IF(K621=$E$591,5,0)))))</f>
        <v>0</v>
      </c>
      <c r="M621" s="2997"/>
      <c r="N621" s="3254"/>
      <c r="O621" s="3255"/>
      <c r="P621" s="3256"/>
      <c r="Q621" s="2078"/>
      <c r="S621" s="3487"/>
    </row>
    <row r="622" spans="2:19" ht="18" customHeight="1">
      <c r="B622" s="2123" t="str">
        <f>IF(OR(ISBLANK($L$74),ISBLANK(F622))=FALSE,"",IF(OR(ISBLANK(F622),ISBLANK(K622))=FALSE,"","u"))</f>
        <v>u</v>
      </c>
      <c r="C622" s="3259" t="s">
        <v>700</v>
      </c>
      <c r="D622" s="3260"/>
      <c r="E622" s="3261"/>
      <c r="F622" s="674"/>
      <c r="G622" s="522">
        <f>IF(F622=$E$587,1,IF(F622=$E$588,2,IF(F622=$E$589,3,IF(F622=$E$590,4,IF(F622=$E$591,5,0)))))</f>
        <v>0</v>
      </c>
      <c r="H622" s="2997"/>
      <c r="I622" s="3254"/>
      <c r="J622" s="3256"/>
      <c r="K622" s="674"/>
      <c r="L622" s="522">
        <f>IF(K622=$E$587,1,IF(K622=$E$588,2,IF(K622=$E$589,3,IF(K622=$E$590,4,IF(K622=$E$591,5,0)))))</f>
        <v>0</v>
      </c>
      <c r="M622" s="2997"/>
      <c r="N622" s="3254"/>
      <c r="O622" s="3255"/>
      <c r="P622" s="3256"/>
      <c r="Q622" s="2078"/>
      <c r="S622" s="3487"/>
    </row>
    <row r="623" spans="2:19" ht="35.25" customHeight="1">
      <c r="B623" s="2123"/>
      <c r="C623" s="3248" t="s">
        <v>691</v>
      </c>
      <c r="D623" s="3249"/>
      <c r="E623" s="3250"/>
      <c r="F623" s="3251"/>
      <c r="G623" s="3252"/>
      <c r="H623" s="3252"/>
      <c r="I623" s="3252"/>
      <c r="J623" s="3252"/>
      <c r="K623" s="3251"/>
      <c r="L623" s="3252"/>
      <c r="M623" s="3252"/>
      <c r="N623" s="3252"/>
      <c r="O623" s="3252"/>
      <c r="P623" s="3253"/>
      <c r="Q623" s="2078"/>
      <c r="S623" s="3487"/>
    </row>
    <row r="624" spans="2:19" ht="21.75" customHeight="1">
      <c r="B624" s="2122"/>
      <c r="C624" s="677" t="s">
        <v>701</v>
      </c>
      <c r="D624" s="679"/>
      <c r="E624" s="8" t="s">
        <v>702</v>
      </c>
      <c r="F624" s="12" t="str">
        <f>IF(H624=1,"1- Très faible",IF(H624=2,"2- Faible",IF(H624=3,"3- Moyen",IF(H624=4,"4- Bon",IF(H624=5,"5- Excellent","")))))</f>
        <v/>
      </c>
      <c r="G624" s="13" t="str">
        <f>IF(SUM(G625:G627)=0,"",SUM(G625:G627))</f>
        <v/>
      </c>
      <c r="H624" s="15">
        <f>ROUNDDOWN(AVERAGE(G625:G627),0)</f>
        <v>0</v>
      </c>
      <c r="I624" s="16"/>
      <c r="J624" s="18"/>
      <c r="K624" s="12" t="str">
        <f>IF(M624=1,"1- Très faible",IF(M624=2,"2- Faible",IF(M624=3,"3- Moyen",IF(M624=4,"4- Bon",IF(M624=5,"5- Excellent","")))))</f>
        <v/>
      </c>
      <c r="L624" s="13" t="str">
        <f>IF(SUM(L625:L627)=0,"",SUM(L625:L627))</f>
        <v/>
      </c>
      <c r="M624" s="15">
        <f>ROUNDDOWN(AVERAGE(L625:L627),0)</f>
        <v>0</v>
      </c>
      <c r="N624" s="16"/>
      <c r="O624" s="3257"/>
      <c r="P624" s="3258"/>
      <c r="Q624" s="2078"/>
      <c r="S624" s="3487"/>
    </row>
    <row r="625" spans="1:19" ht="18" customHeight="1">
      <c r="B625" s="2123" t="str">
        <f>IF(OR(ISBLANK($L$74),ISBLANK(F625))=FALSE,"",IF(OR(ISBLANK(F625),ISBLANK(K625))=FALSE,"","u"))</f>
        <v>u</v>
      </c>
      <c r="C625" s="3259" t="s">
        <v>703</v>
      </c>
      <c r="D625" s="3260"/>
      <c r="E625" s="3261"/>
      <c r="F625" s="674"/>
      <c r="G625" s="14">
        <f>IF(F625=$E$587,1,IF(F625=$E$588,2,IF(F625=$E$589,3,IF(F625=$E$590,4,IF(F625=$E$591,5,0)))))</f>
        <v>0</v>
      </c>
      <c r="H625" s="2997"/>
      <c r="I625" s="3254"/>
      <c r="J625" s="3256"/>
      <c r="K625" s="674"/>
      <c r="L625" s="14">
        <f>IF(K625=$E$587,1,IF(K625=$E$588,2,IF(K625=$E$589,3,IF(K625=$E$590,4,IF(K625=$E$591,5,0)))))</f>
        <v>0</v>
      </c>
      <c r="M625" s="2997"/>
      <c r="N625" s="3254"/>
      <c r="O625" s="3255"/>
      <c r="P625" s="3256"/>
      <c r="Q625" s="2078"/>
      <c r="S625" s="3487"/>
    </row>
    <row r="626" spans="1:19" ht="18" customHeight="1">
      <c r="B626" s="2123" t="str">
        <f>IF(OR(ISBLANK($L$74),ISBLANK(F626))=FALSE,"",IF(OR(ISBLANK(F626),ISBLANK(K626))=FALSE,"","u"))</f>
        <v>u</v>
      </c>
      <c r="C626" s="3259" t="s">
        <v>53</v>
      </c>
      <c r="D626" s="3260"/>
      <c r="E626" s="3261"/>
      <c r="F626" s="674"/>
      <c r="G626" s="14">
        <f>IF(F626=$E$587,1,IF(F626=$E$588,2,IF(F626=$E$589,3,IF(F626=$E$590,4,IF(F626=$E$591,5,0)))))</f>
        <v>0</v>
      </c>
      <c r="H626" s="2997"/>
      <c r="I626" s="3254"/>
      <c r="J626" s="3256"/>
      <c r="K626" s="674"/>
      <c r="L626" s="14">
        <f>IF(K626=$E$587,1,IF(K626=$E$588,2,IF(K626=$E$589,3,IF(K626=$E$590,4,IF(K626=$E$591,5,0)))))</f>
        <v>0</v>
      </c>
      <c r="M626" s="2997"/>
      <c r="N626" s="3254"/>
      <c r="O626" s="3255"/>
      <c r="P626" s="3256"/>
      <c r="Q626" s="2078"/>
      <c r="S626" s="3487"/>
    </row>
    <row r="627" spans="1:19" ht="18" customHeight="1">
      <c r="B627" s="2123" t="str">
        <f>IF(OR(ISBLANK($L$74),ISBLANK(F627))=FALSE,"",IF(OR(ISBLANK(F627),ISBLANK(K627))=FALSE,"","u"))</f>
        <v>u</v>
      </c>
      <c r="C627" s="3259" t="s">
        <v>55</v>
      </c>
      <c r="D627" s="3260"/>
      <c r="E627" s="3261"/>
      <c r="F627" s="674"/>
      <c r="G627" s="522">
        <f>IF(F627=$E$587,1,IF(F627=$E$588,2,IF(F627=$E$589,3,IF(F627=$E$590,4,IF(F627=$E$591,5,0)))))</f>
        <v>0</v>
      </c>
      <c r="H627" s="2997"/>
      <c r="I627" s="3254"/>
      <c r="J627" s="3256"/>
      <c r="K627" s="674"/>
      <c r="L627" s="522">
        <f>IF(K627=$E$587,1,IF(K627=$E$588,2,IF(K627=$E$589,3,IF(K627=$E$590,4,IF(K627=$E$591,5,0)))))</f>
        <v>0</v>
      </c>
      <c r="M627" s="2997"/>
      <c r="N627" s="3254"/>
      <c r="O627" s="3255"/>
      <c r="P627" s="3256"/>
      <c r="Q627" s="2078"/>
      <c r="S627" s="3487"/>
    </row>
    <row r="628" spans="1:19" ht="35.25" customHeight="1">
      <c r="B628" s="2123"/>
      <c r="C628" s="3248" t="s">
        <v>691</v>
      </c>
      <c r="D628" s="3249"/>
      <c r="E628" s="3250"/>
      <c r="F628" s="3251"/>
      <c r="G628" s="3252"/>
      <c r="H628" s="3252"/>
      <c r="I628" s="3252"/>
      <c r="J628" s="3252"/>
      <c r="K628" s="3251"/>
      <c r="L628" s="3252"/>
      <c r="M628" s="3252"/>
      <c r="N628" s="3252"/>
      <c r="O628" s="3252"/>
      <c r="P628" s="3253"/>
      <c r="Q628" s="2078"/>
      <c r="S628" s="3487"/>
    </row>
    <row r="629" spans="1:19" ht="21.75" customHeight="1">
      <c r="B629" s="2122"/>
      <c r="C629" s="677" t="s">
        <v>704</v>
      </c>
      <c r="D629" s="679"/>
      <c r="E629" s="8" t="s">
        <v>693</v>
      </c>
      <c r="F629" s="12" t="str">
        <f>IF(H629=1,"1- Très faible",IF(H629=2,"2- Faible",IF(H629=3,"3- Moyen",IF(H629=4,"4- Bon",IF(H629=5,"5- Excellent","")))))</f>
        <v/>
      </c>
      <c r="G629" s="13" t="str">
        <f>IF(SUM(G630:G631)=0,"",SUM(G630:G631))</f>
        <v/>
      </c>
      <c r="H629" s="15">
        <f>ROUNDDOWN(AVERAGE(G630:G631),0)</f>
        <v>0</v>
      </c>
      <c r="I629" s="16"/>
      <c r="J629" s="18"/>
      <c r="K629" s="12" t="str">
        <f>IF(M629=1,"1- Très faible",IF(M629=2,"2- Faible",IF(M629=3,"3- Moyen",IF(M629=4,"4- Bon",IF(M629=5,"5- Excellent","")))))</f>
        <v/>
      </c>
      <c r="L629" s="13" t="str">
        <f>IF(SUM(L630:L631)=0,"",SUM(L630:L631))</f>
        <v/>
      </c>
      <c r="M629" s="15">
        <f>ROUNDDOWN(AVERAGE(L630:L631),0)</f>
        <v>0</v>
      </c>
      <c r="N629" s="16"/>
      <c r="O629" s="3257"/>
      <c r="P629" s="3258"/>
      <c r="Q629" s="2078"/>
      <c r="S629" s="3487"/>
    </row>
    <row r="630" spans="1:19" ht="18" customHeight="1">
      <c r="B630" s="2123" t="str">
        <f>IF(OR(ISBLANK($L$74),ISBLANK(F630))=FALSE,"",IF(OR(ISBLANK(F630),ISBLANK(K630))=FALSE,"","u"))</f>
        <v>u</v>
      </c>
      <c r="C630" s="3259" t="s">
        <v>705</v>
      </c>
      <c r="D630" s="3260"/>
      <c r="E630" s="3261"/>
      <c r="F630" s="674"/>
      <c r="G630" s="14">
        <f>IF(F630=$E$587,1,IF(F630=$E$588,2,IF(F630=$E$589,3,IF(F630=$E$590,4,IF(F630=$E$591,5,0)))))</f>
        <v>0</v>
      </c>
      <c r="H630" s="2997"/>
      <c r="I630" s="3254"/>
      <c r="J630" s="3256"/>
      <c r="K630" s="674"/>
      <c r="L630" s="14">
        <f>IF(K630=$E$587,1,IF(K630=$E$588,2,IF(K630=$E$589,3,IF(K630=$E$590,4,IF(K630=$E$591,5,0)))))</f>
        <v>0</v>
      </c>
      <c r="M630" s="2997"/>
      <c r="N630" s="3254"/>
      <c r="O630" s="3255"/>
      <c r="P630" s="3256"/>
      <c r="Q630" s="2078"/>
      <c r="S630" s="3487"/>
    </row>
    <row r="631" spans="1:19" ht="18" customHeight="1">
      <c r="B631" s="2123" t="str">
        <f>IF(OR(ISBLANK($L$74),ISBLANK(F631))=FALSE,"",IF(OR(ISBLANK(F631),ISBLANK(K631))=FALSE,"","u"))</f>
        <v>u</v>
      </c>
      <c r="C631" s="3259" t="s">
        <v>51</v>
      </c>
      <c r="D631" s="3260"/>
      <c r="E631" s="3261"/>
      <c r="F631" s="674"/>
      <c r="G631" s="14">
        <f>IF(F631=$E$587,1,IF(F631=$E$588,2,IF(F631=$E$589,3,IF(F631=$E$590,4,IF(F631=$E$591,5,0)))))</f>
        <v>0</v>
      </c>
      <c r="H631" s="2997"/>
      <c r="I631" s="3254"/>
      <c r="J631" s="3256"/>
      <c r="K631" s="674"/>
      <c r="L631" s="14">
        <f>IF(K631=$E$587,1,IF(K631=$E$588,2,IF(K631=$E$589,3,IF(K631=$E$590,4,IF(K631=$E$591,5,0)))))</f>
        <v>0</v>
      </c>
      <c r="M631" s="2997"/>
      <c r="N631" s="3254"/>
      <c r="O631" s="3255"/>
      <c r="P631" s="3256"/>
      <c r="Q631" s="2078"/>
      <c r="S631" s="3487"/>
    </row>
    <row r="632" spans="1:19" ht="35.25" customHeight="1">
      <c r="B632" s="2123"/>
      <c r="C632" s="3248" t="s">
        <v>691</v>
      </c>
      <c r="D632" s="3249"/>
      <c r="E632" s="3250"/>
      <c r="F632" s="3251"/>
      <c r="G632" s="3252"/>
      <c r="H632" s="3252"/>
      <c r="I632" s="3252"/>
      <c r="J632" s="3252"/>
      <c r="K632" s="3251"/>
      <c r="L632" s="3252"/>
      <c r="M632" s="3252"/>
      <c r="N632" s="3252"/>
      <c r="O632" s="3252"/>
      <c r="P632" s="3253"/>
      <c r="Q632" s="2078"/>
      <c r="S632" s="3487"/>
    </row>
    <row r="633" spans="1:19" ht="21.75" customHeight="1">
      <c r="B633" s="2122"/>
      <c r="C633" s="678" t="s">
        <v>706</v>
      </c>
      <c r="D633" s="328"/>
      <c r="E633" s="8" t="s">
        <v>702</v>
      </c>
      <c r="F633" s="12" t="str">
        <f>IF(H633=1,"1- Très faible",IF(H633=2,"2- Faible",IF(H633=3,"3- Moyen",IF(H633=4,"4- Bon",IF(H633=5,"5- Excellent","")))))</f>
        <v/>
      </c>
      <c r="G633" s="13" t="str">
        <f>IF(SUM(G634:G636)=0,"",SUM(G634:G636))</f>
        <v/>
      </c>
      <c r="H633" s="15">
        <f>ROUNDDOWN(AVERAGE(G634:G636),0)</f>
        <v>0</v>
      </c>
      <c r="I633" s="16"/>
      <c r="J633" s="18"/>
      <c r="K633" s="12" t="str">
        <f>IF(M633=1,"1- Très faible",IF(M633=2,"2- Faible",IF(M633=3,"3- Moyen",IF(M633=4,"4- Bon",IF(M633=5,"5- Excellent","")))))</f>
        <v/>
      </c>
      <c r="L633" s="13" t="str">
        <f>IF(SUM(L634:L636)=0,"",SUM(L634:L636))</f>
        <v/>
      </c>
      <c r="M633" s="15">
        <f>ROUNDDOWN(AVERAGE(L634:L636),0)</f>
        <v>0</v>
      </c>
      <c r="N633" s="16"/>
      <c r="O633" s="3257"/>
      <c r="P633" s="3258"/>
      <c r="Q633" s="2078"/>
      <c r="S633" s="3487"/>
    </row>
    <row r="634" spans="1:19" ht="18" customHeight="1">
      <c r="B634" s="2123" t="str">
        <f>IF(OR(ISBLANK($L$74),ISBLANK(F634))=FALSE,"",IF(OR(ISBLANK(F634),ISBLANK(K634))=FALSE,"","u"))</f>
        <v>u</v>
      </c>
      <c r="C634" s="3259" t="s">
        <v>50</v>
      </c>
      <c r="D634" s="3260"/>
      <c r="E634" s="3261"/>
      <c r="F634" s="674"/>
      <c r="G634" s="14">
        <f>IF(F634=$E$587,1,IF(F634=$E$588,2,IF(F634=$E$589,3,IF(F634=$E$590,4,IF(F634=$E$591,5,0)))))</f>
        <v>0</v>
      </c>
      <c r="H634" s="2997"/>
      <c r="I634" s="3254"/>
      <c r="J634" s="3256"/>
      <c r="K634" s="674"/>
      <c r="L634" s="14">
        <f>IF(K634=$E$587,1,IF(K634=$E$588,2,IF(K634=$E$589,3,IF(K634=$E$590,4,IF(K634=$E$591,5,0)))))</f>
        <v>0</v>
      </c>
      <c r="M634" s="2997"/>
      <c r="N634" s="3254"/>
      <c r="O634" s="3255"/>
      <c r="P634" s="3256"/>
      <c r="Q634" s="2078"/>
      <c r="S634" s="3487"/>
    </row>
    <row r="635" spans="1:19" ht="18" customHeight="1">
      <c r="B635" s="2123" t="str">
        <f>IF(OR(ISBLANK($L$74),ISBLANK(F635))=FALSE,"",IF(OR(ISBLANK(F635),ISBLANK(K635))=FALSE,"","u"))</f>
        <v>u</v>
      </c>
      <c r="C635" s="3259" t="s">
        <v>52</v>
      </c>
      <c r="D635" s="3260"/>
      <c r="E635" s="3261"/>
      <c r="F635" s="674"/>
      <c r="G635" s="14">
        <f>IF(F635=$E$587,1,IF(F635=$E$588,2,IF(F635=$E$589,3,IF(F635=$E$590,4,IF(F635=$E$591,5,0)))))</f>
        <v>0</v>
      </c>
      <c r="H635" s="2997"/>
      <c r="I635" s="3254"/>
      <c r="J635" s="3256"/>
      <c r="K635" s="674"/>
      <c r="L635" s="14">
        <f>IF(K635=$E$587,1,IF(K635=$E$588,2,IF(K635=$E$589,3,IF(K635=$E$590,4,IF(K635=$E$591,5,0)))))</f>
        <v>0</v>
      </c>
      <c r="M635" s="2997"/>
      <c r="N635" s="3254"/>
      <c r="O635" s="3255"/>
      <c r="P635" s="3256"/>
      <c r="Q635" s="2078"/>
      <c r="S635" s="3487"/>
    </row>
    <row r="636" spans="1:19" ht="18" customHeight="1">
      <c r="B636" s="2123" t="str">
        <f>IF(OR(ISBLANK($L$74),ISBLANK(F636))=FALSE,"",IF(OR(ISBLANK(F636),ISBLANK(K636))=FALSE,"","u"))</f>
        <v>u</v>
      </c>
      <c r="C636" s="3259" t="s">
        <v>54</v>
      </c>
      <c r="D636" s="3260"/>
      <c r="E636" s="3261"/>
      <c r="F636" s="674"/>
      <c r="G636" s="522">
        <f>IF(F636=$E$587,1,IF(F636=$E$588,2,IF(F636=$E$589,3,IF(F636=$E$590,4,IF(F636=$E$591,5,0)))))</f>
        <v>0</v>
      </c>
      <c r="H636" s="2997"/>
      <c r="I636" s="3254"/>
      <c r="J636" s="3256"/>
      <c r="K636" s="674"/>
      <c r="L636" s="522">
        <f>IF(K636=$E$587,1,IF(K636=$E$588,2,IF(K636=$E$589,3,IF(K636=$E$590,4,IF(K636=$E$591,5,0)))))</f>
        <v>0</v>
      </c>
      <c r="M636" s="2997"/>
      <c r="N636" s="3254"/>
      <c r="O636" s="3255"/>
      <c r="P636" s="3256"/>
      <c r="Q636" s="2078"/>
      <c r="S636" s="3487"/>
    </row>
    <row r="637" spans="1:19" ht="35.25" customHeight="1">
      <c r="B637" s="2123"/>
      <c r="C637" s="3248" t="s">
        <v>691</v>
      </c>
      <c r="D637" s="3249"/>
      <c r="E637" s="3250"/>
      <c r="F637" s="3251"/>
      <c r="G637" s="3252"/>
      <c r="H637" s="3252"/>
      <c r="I637" s="3252"/>
      <c r="J637" s="3252"/>
      <c r="K637" s="3251"/>
      <c r="L637" s="3252"/>
      <c r="M637" s="3252"/>
      <c r="N637" s="3252"/>
      <c r="O637" s="3252"/>
      <c r="P637" s="3253"/>
      <c r="Q637" s="2078"/>
      <c r="S637" s="3487"/>
    </row>
    <row r="638" spans="1:19" ht="22.5" customHeight="1">
      <c r="A638" s="55"/>
      <c r="B638" s="2086"/>
      <c r="C638" s="655"/>
      <c r="D638" s="344"/>
      <c r="E638" s="9" t="s">
        <v>707</v>
      </c>
      <c r="F638" s="19" t="str">
        <f>IF(H638=1,"1- Très faible",IF(H638=2,"2- Faible",IF(H638=3,"3- Moyen",IF(H638=4,"4- Bon",IF(H638=5,"5- Excellent","")))))</f>
        <v/>
      </c>
      <c r="G638" s="410" t="str">
        <f>IF(ISERR(G612+G616+G620+G624+G629+G633)=TRUE,"",IF((G604=""),((G612+G616+G620+G624+G629+G633)/70*100),(G604+G612+G616+G620+G624+G629+G633)))</f>
        <v/>
      </c>
      <c r="H638" s="628">
        <f>ROUNDDOWN(AVERAGE(H604,H612,H616,H620,H624,H629,H633),0)</f>
        <v>0</v>
      </c>
      <c r="I638" s="17"/>
      <c r="J638" s="17"/>
      <c r="K638" s="19" t="str">
        <f>IF(M638=1,"1- Très faible",IF(M638=2,"2- Faible",IF(M638=3,"3- Moyen",IF(M638=4,"4- Bon",IF(M638=5,"5- Excellent","")))))</f>
        <v/>
      </c>
      <c r="L638" s="410" t="str">
        <f>IF(ISERR(L612+L616+L620+L624+L629+L633)=TRUE,"",IF((L604=""),((L612+L616+L620+L624+L629+L633)/70*100),(L604+L612+L616+L620+L624+L629+L633)))</f>
        <v/>
      </c>
      <c r="M638" s="628">
        <f>ROUNDDOWN(AVERAGE(M604,M612,M616,M620,M624,M629,M633),0)</f>
        <v>0</v>
      </c>
      <c r="N638" s="17"/>
      <c r="O638" s="3372"/>
      <c r="P638" s="3373"/>
      <c r="Q638" s="2078"/>
      <c r="S638" s="3487"/>
    </row>
    <row r="639" spans="1:19" ht="27.75" customHeight="1">
      <c r="B639" s="2086"/>
      <c r="C639" s="2077"/>
      <c r="D639" s="2117"/>
      <c r="E639" s="2117"/>
      <c r="F639" s="2117"/>
      <c r="G639" s="2117"/>
      <c r="H639" s="2117"/>
      <c r="I639" s="2118"/>
      <c r="J639" s="2119"/>
      <c r="K639" s="2119"/>
      <c r="L639" s="2119"/>
      <c r="M639" s="2119"/>
      <c r="N639" s="2119"/>
      <c r="O639" s="2119"/>
      <c r="P639" s="2119"/>
      <c r="Q639" s="2078"/>
      <c r="S639" s="3487"/>
    </row>
    <row r="640" spans="1:19" ht="18" customHeight="1">
      <c r="B640" s="2086"/>
      <c r="C640" s="2120" t="s">
        <v>570</v>
      </c>
      <c r="D640" s="2117"/>
      <c r="E640" s="2117"/>
      <c r="F640" s="2117"/>
      <c r="G640" s="1938"/>
      <c r="H640" s="3745" t="s">
        <v>708</v>
      </c>
      <c r="I640" s="3745"/>
      <c r="J640" s="1938"/>
      <c r="K640" s="1938"/>
      <c r="L640" s="2119"/>
      <c r="M640" s="2119"/>
      <c r="N640" s="2119"/>
      <c r="O640" s="2119"/>
      <c r="P640" s="2119"/>
      <c r="Q640" s="2078"/>
      <c r="S640" s="3487"/>
    </row>
    <row r="641" spans="1:19" ht="21.75" customHeight="1" thickBot="1">
      <c r="B641" s="2103"/>
      <c r="C641" s="2105"/>
      <c r="D641" s="2105"/>
      <c r="E641" s="2105"/>
      <c r="F641" s="2106"/>
      <c r="G641" s="2106"/>
      <c r="H641" s="2106"/>
      <c r="I641" s="2106"/>
      <c r="J641" s="2106"/>
      <c r="K641" s="2106"/>
      <c r="L641" s="2106"/>
      <c r="M641" s="2106"/>
      <c r="N641" s="2106"/>
      <c r="O641" s="2106"/>
      <c r="P641" s="2106"/>
      <c r="Q641" s="2107"/>
      <c r="S641" s="3488"/>
    </row>
    <row r="642" spans="1:19" ht="14.25" customHeight="1" thickBot="1">
      <c r="B642" s="495"/>
      <c r="C642" s="495"/>
      <c r="D642" s="495"/>
      <c r="E642" s="495"/>
      <c r="F642" s="496"/>
      <c r="G642" s="496"/>
      <c r="H642" s="496"/>
      <c r="I642" s="496"/>
      <c r="J642" s="496"/>
      <c r="K642" s="496"/>
      <c r="L642" s="496"/>
      <c r="M642" s="496"/>
      <c r="N642" s="496"/>
      <c r="O642" s="496"/>
      <c r="P642" s="496"/>
      <c r="Q642" s="496"/>
      <c r="S642" s="614"/>
    </row>
    <row r="643" spans="1:19" ht="22.5" customHeight="1" thickBot="1">
      <c r="A643" s="1187"/>
      <c r="B643" s="1926" t="s">
        <v>709</v>
      </c>
      <c r="C643" s="1926"/>
      <c r="D643" s="1926"/>
      <c r="E643" s="1926"/>
      <c r="F643" s="1926"/>
      <c r="G643" s="1926"/>
      <c r="H643" s="1926"/>
      <c r="I643" s="1926"/>
      <c r="J643" s="1926"/>
      <c r="K643" s="1926"/>
      <c r="L643" s="2097"/>
      <c r="M643" s="2097"/>
      <c r="N643" s="2097"/>
      <c r="O643" s="3726" t="s">
        <v>155</v>
      </c>
      <c r="P643" s="3726"/>
      <c r="Q643" s="3726"/>
      <c r="S643" s="615" t="s">
        <v>521</v>
      </c>
    </row>
    <row r="644" spans="1:19" ht="9.75" customHeight="1" thickBot="1">
      <c r="S644" s="616"/>
    </row>
    <row r="645" spans="1:19" ht="8.25" customHeight="1">
      <c r="B645" s="2098"/>
      <c r="C645" s="2099"/>
      <c r="D645" s="2099"/>
      <c r="E645" s="2100"/>
      <c r="F645" s="2101"/>
      <c r="G645" s="2101"/>
      <c r="H645" s="2101"/>
      <c r="I645" s="2101"/>
      <c r="J645" s="2101"/>
      <c r="K645" s="2101"/>
      <c r="L645" s="2101"/>
      <c r="M645" s="2101"/>
      <c r="N645" s="2101"/>
      <c r="O645" s="2101"/>
      <c r="P645" s="2101"/>
      <c r="Q645" s="2102"/>
      <c r="S645" s="3486"/>
    </row>
    <row r="646" spans="1:19" ht="18" customHeight="1">
      <c r="B646" s="2103"/>
      <c r="C646" s="2104" t="s">
        <v>710</v>
      </c>
      <c r="D646" s="2104"/>
      <c r="E646" s="2105"/>
      <c r="F646" s="2106"/>
      <c r="G646" s="2106"/>
      <c r="H646" s="2106"/>
      <c r="I646" s="2106"/>
      <c r="J646" s="2106"/>
      <c r="K646" s="2106"/>
      <c r="L646" s="2106"/>
      <c r="M646" s="2106"/>
      <c r="N646" s="2126" t="s">
        <v>219</v>
      </c>
      <c r="O646" s="353" t="str">
        <f>IF((COUNTBLANK(B668:B700)=ROWS(B668:B700)),"Complété","À compléter")</f>
        <v>À compléter</v>
      </c>
      <c r="P646" s="2106"/>
      <c r="Q646" s="2107"/>
      <c r="S646" s="3487"/>
    </row>
    <row r="647" spans="1:19" ht="6.75" customHeight="1">
      <c r="B647" s="2103"/>
      <c r="C647" s="2105"/>
      <c r="D647" s="2105"/>
      <c r="E647" s="2105"/>
      <c r="F647" s="2106"/>
      <c r="G647" s="2106"/>
      <c r="H647" s="2106"/>
      <c r="I647" s="2106"/>
      <c r="J647" s="2106"/>
      <c r="K647" s="2106"/>
      <c r="L647" s="2106"/>
      <c r="M647" s="2106"/>
      <c r="N647" s="2106"/>
      <c r="O647" s="2106"/>
      <c r="P647" s="2106"/>
      <c r="Q647" s="2107"/>
      <c r="S647" s="3487"/>
    </row>
    <row r="648" spans="1:19" ht="17.25" customHeight="1">
      <c r="B648" s="2125"/>
      <c r="C648" s="3728" t="s">
        <v>531</v>
      </c>
      <c r="D648" s="3728"/>
      <c r="E648" s="3728"/>
      <c r="F648" s="3728"/>
      <c r="G648" s="3728"/>
      <c r="H648" s="3728"/>
      <c r="I648" s="3728"/>
      <c r="J648" s="3728"/>
      <c r="K648" s="3728"/>
      <c r="L648" s="3728"/>
      <c r="M648" s="3728"/>
      <c r="N648" s="1938"/>
      <c r="O648" s="1938"/>
      <c r="P648" s="1938"/>
      <c r="Q648" s="2128"/>
      <c r="S648" s="3487"/>
    </row>
    <row r="649" spans="1:19" ht="15" customHeight="1">
      <c r="B649" s="2125"/>
      <c r="C649" s="2127"/>
      <c r="D649" s="2127"/>
      <c r="E649" s="2127"/>
      <c r="F649" s="1938"/>
      <c r="G649" s="1938"/>
      <c r="H649" s="1938"/>
      <c r="I649" s="1938"/>
      <c r="J649" s="1938"/>
      <c r="K649" s="1938"/>
      <c r="L649" s="1938"/>
      <c r="M649" s="1938"/>
      <c r="N649" s="1938"/>
      <c r="O649" s="1938"/>
      <c r="P649" s="1938"/>
      <c r="Q649" s="2128"/>
      <c r="S649" s="3487"/>
    </row>
    <row r="650" spans="1:19" ht="22.5" customHeight="1">
      <c r="B650" s="2086"/>
      <c r="C650" s="2116" t="s">
        <v>711</v>
      </c>
      <c r="D650" s="2109"/>
      <c r="E650" s="2077"/>
      <c r="F650" s="2077"/>
      <c r="G650" s="2077"/>
      <c r="H650" s="2077"/>
      <c r="I650" s="2077"/>
      <c r="J650" s="2077"/>
      <c r="K650" s="2077"/>
      <c r="L650" s="2077"/>
      <c r="M650" s="2077"/>
      <c r="N650" s="2077"/>
      <c r="O650" s="2077"/>
      <c r="P650" s="2077"/>
      <c r="Q650" s="2078"/>
      <c r="S650" s="3487"/>
    </row>
    <row r="651" spans="1:19" ht="9" customHeight="1">
      <c r="B651" s="2086"/>
      <c r="C651" s="2109"/>
      <c r="D651" s="2109"/>
      <c r="E651" s="2077"/>
      <c r="F651" s="2077"/>
      <c r="G651" s="2077"/>
      <c r="H651" s="2077"/>
      <c r="I651" s="2077"/>
      <c r="J651" s="2077"/>
      <c r="K651" s="2077"/>
      <c r="L651" s="2077"/>
      <c r="M651" s="2077"/>
      <c r="N651" s="2077"/>
      <c r="O651" s="2077"/>
      <c r="P651" s="2077"/>
      <c r="Q651" s="2078"/>
      <c r="S651" s="3487"/>
    </row>
    <row r="652" spans="1:19" ht="9" customHeight="1">
      <c r="B652" s="2086"/>
      <c r="C652" s="258"/>
      <c r="D652" s="259"/>
      <c r="E652" s="260"/>
      <c r="F652" s="260"/>
      <c r="G652" s="260"/>
      <c r="H652" s="260"/>
      <c r="I652" s="260"/>
      <c r="J652" s="260"/>
      <c r="K652" s="260"/>
      <c r="L652" s="260"/>
      <c r="M652" s="260"/>
      <c r="N652" s="260"/>
      <c r="O652" s="260"/>
      <c r="P652" s="261"/>
      <c r="Q652" s="2078"/>
      <c r="S652" s="3487"/>
    </row>
    <row r="653" spans="1:19" ht="16.5" customHeight="1">
      <c r="B653" s="2086"/>
      <c r="C653" s="3383" t="s">
        <v>186</v>
      </c>
      <c r="D653" s="3384"/>
      <c r="E653" s="200" t="s">
        <v>198</v>
      </c>
      <c r="F653" s="345" t="s">
        <v>199</v>
      </c>
      <c r="G653" s="346"/>
      <c r="H653" s="347"/>
      <c r="I653" s="347"/>
      <c r="J653" s="347"/>
      <c r="K653" s="347"/>
      <c r="L653" s="347"/>
      <c r="M653" s="347"/>
      <c r="N653" s="347"/>
      <c r="O653" s="347"/>
      <c r="P653" s="266"/>
      <c r="Q653" s="2078"/>
      <c r="S653" s="3487"/>
    </row>
    <row r="654" spans="1:19" ht="16.5" customHeight="1">
      <c r="B654" s="2086"/>
      <c r="C654" s="3385" t="s">
        <v>200</v>
      </c>
      <c r="D654" s="3386"/>
      <c r="E654" s="197" t="s">
        <v>201</v>
      </c>
      <c r="F654" s="348" t="s">
        <v>202</v>
      </c>
      <c r="G654" s="349"/>
      <c r="H654" s="350"/>
      <c r="I654" s="350"/>
      <c r="J654" s="350"/>
      <c r="K654" s="350"/>
      <c r="L654" s="350"/>
      <c r="M654" s="350"/>
      <c r="N654" s="350"/>
      <c r="O654" s="350"/>
      <c r="P654" s="266"/>
      <c r="Q654" s="2078"/>
      <c r="S654" s="3487"/>
    </row>
    <row r="655" spans="1:19" ht="16.5" customHeight="1">
      <c r="B655" s="2086"/>
      <c r="C655" s="302"/>
      <c r="D655" s="303"/>
      <c r="E655" s="193" t="s">
        <v>203</v>
      </c>
      <c r="F655" s="348" t="s">
        <v>204</v>
      </c>
      <c r="G655" s="349"/>
      <c r="H655" s="350"/>
      <c r="I655" s="350"/>
      <c r="J655" s="350"/>
      <c r="K655" s="350"/>
      <c r="L655" s="350"/>
      <c r="M655" s="350"/>
      <c r="N655" s="350"/>
      <c r="O655" s="350"/>
      <c r="P655" s="266"/>
      <c r="Q655" s="2078"/>
      <c r="S655" s="3487"/>
    </row>
    <row r="656" spans="1:19" ht="16.5" customHeight="1">
      <c r="B656" s="2086"/>
      <c r="C656" s="302"/>
      <c r="D656" s="303"/>
      <c r="E656" s="190" t="s">
        <v>205</v>
      </c>
      <c r="F656" s="348" t="s">
        <v>206</v>
      </c>
      <c r="G656" s="349"/>
      <c r="H656" s="350"/>
      <c r="I656" s="350"/>
      <c r="J656" s="350"/>
      <c r="K656" s="350"/>
      <c r="L656" s="350"/>
      <c r="M656" s="350"/>
      <c r="N656" s="350"/>
      <c r="O656" s="350"/>
      <c r="P656" s="266"/>
      <c r="Q656" s="2078"/>
      <c r="S656" s="3487"/>
    </row>
    <row r="657" spans="2:19" ht="16.5" customHeight="1">
      <c r="B657" s="2086"/>
      <c r="C657" s="302"/>
      <c r="D657" s="303"/>
      <c r="E657" s="188" t="s">
        <v>207</v>
      </c>
      <c r="F657" s="348" t="s">
        <v>208</v>
      </c>
      <c r="G657" s="349"/>
      <c r="H657" s="350"/>
      <c r="I657" s="350"/>
      <c r="J657" s="350"/>
      <c r="K657" s="350"/>
      <c r="L657" s="350"/>
      <c r="M657" s="350"/>
      <c r="N657" s="350"/>
      <c r="O657" s="350"/>
      <c r="P657" s="266"/>
      <c r="Q657" s="2078"/>
      <c r="S657" s="3487"/>
    </row>
    <row r="658" spans="2:19" ht="9.75" customHeight="1">
      <c r="B658" s="2086"/>
      <c r="C658" s="304"/>
      <c r="D658" s="305"/>
      <c r="E658" s="271"/>
      <c r="F658" s="339"/>
      <c r="G658" s="340"/>
      <c r="H658" s="271"/>
      <c r="I658" s="306"/>
      <c r="J658" s="306"/>
      <c r="K658" s="306"/>
      <c r="L658" s="306"/>
      <c r="M658" s="306"/>
      <c r="N658" s="306"/>
      <c r="O658" s="306"/>
      <c r="P658" s="307"/>
      <c r="Q658" s="2078"/>
      <c r="S658" s="3487"/>
    </row>
    <row r="659" spans="2:19" ht="18" customHeight="1">
      <c r="B659" s="2086"/>
      <c r="C659" s="2109"/>
      <c r="D659" s="2109"/>
      <c r="E659" s="2077"/>
      <c r="F659" s="2077"/>
      <c r="G659" s="2077"/>
      <c r="H659" s="2077"/>
      <c r="I659" s="2077"/>
      <c r="J659" s="2077"/>
      <c r="K659" s="2077"/>
      <c r="L659" s="2077"/>
      <c r="M659" s="2077"/>
      <c r="N659" s="2077"/>
      <c r="O659" s="2077"/>
      <c r="P659" s="2077"/>
      <c r="Q659" s="2078"/>
      <c r="S659" s="3487"/>
    </row>
    <row r="660" spans="2:19" ht="16.5" customHeight="1">
      <c r="B660" s="2086"/>
      <c r="C660" s="2116" t="s">
        <v>3471</v>
      </c>
      <c r="D660" s="2109"/>
      <c r="E660" s="2077"/>
      <c r="F660" s="2077"/>
      <c r="G660" s="2077"/>
      <c r="H660" s="2077"/>
      <c r="I660" s="2077"/>
      <c r="J660" s="2077"/>
      <c r="K660" s="2077"/>
      <c r="L660" s="2077"/>
      <c r="M660" s="2077"/>
      <c r="N660" s="2077"/>
      <c r="O660" s="2077"/>
      <c r="P660" s="2077"/>
      <c r="Q660" s="2078"/>
      <c r="S660" s="3487"/>
    </row>
    <row r="661" spans="2:19" ht="4.5" customHeight="1">
      <c r="B661" s="2086"/>
      <c r="C661" s="2116"/>
      <c r="D661" s="2109"/>
      <c r="E661" s="2077"/>
      <c r="F661" s="2077"/>
      <c r="G661" s="2077"/>
      <c r="H661" s="2077"/>
      <c r="I661" s="2077"/>
      <c r="J661" s="2077"/>
      <c r="K661" s="2077"/>
      <c r="L661" s="2077"/>
      <c r="M661" s="2077"/>
      <c r="N661" s="2077"/>
      <c r="O661" s="2077"/>
      <c r="P661" s="2077"/>
      <c r="Q661" s="2078"/>
      <c r="S661" s="3487"/>
    </row>
    <row r="662" spans="2:19" ht="16.5" customHeight="1">
      <c r="B662" s="2086"/>
      <c r="C662" s="2116" t="s">
        <v>674</v>
      </c>
      <c r="D662" s="2109"/>
      <c r="E662" s="2077"/>
      <c r="F662" s="2077"/>
      <c r="G662" s="2077"/>
      <c r="H662" s="2077"/>
      <c r="I662" s="2077"/>
      <c r="J662" s="2077"/>
      <c r="K662" s="2077"/>
      <c r="L662" s="1938"/>
      <c r="M662" s="2077"/>
      <c r="N662" s="1938"/>
      <c r="O662" s="2077"/>
      <c r="P662" s="2077"/>
      <c r="Q662" s="2078"/>
      <c r="S662" s="3487"/>
    </row>
    <row r="663" spans="2:19" ht="19.5" customHeight="1">
      <c r="B663" s="2086"/>
      <c r="C663" s="2124" t="s">
        <v>675</v>
      </c>
      <c r="D663" s="2109"/>
      <c r="E663" s="2077"/>
      <c r="F663" s="2077"/>
      <c r="G663" s="2077"/>
      <c r="H663" s="2077"/>
      <c r="I663" s="2077"/>
      <c r="J663" s="2077"/>
      <c r="K663" s="2077"/>
      <c r="L663" s="2077"/>
      <c r="M663" s="2077"/>
      <c r="N663" s="2077"/>
      <c r="O663" s="2077"/>
      <c r="P663" s="2077"/>
      <c r="Q663" s="2078"/>
      <c r="S663" s="3487"/>
    </row>
    <row r="664" spans="2:19" ht="24" customHeight="1">
      <c r="B664" s="2086"/>
      <c r="C664" s="2155" t="s">
        <v>676</v>
      </c>
      <c r="D664" s="2109"/>
      <c r="E664" s="2077"/>
      <c r="F664" s="2077"/>
      <c r="G664" s="2077"/>
      <c r="H664" s="2077"/>
      <c r="I664" s="2077"/>
      <c r="J664" s="2077"/>
      <c r="K664" s="2077"/>
      <c r="L664" s="2077"/>
      <c r="M664" s="2077"/>
      <c r="N664" s="2077"/>
      <c r="O664" s="2077"/>
      <c r="P664" s="2077"/>
      <c r="Q664" s="2078"/>
      <c r="S664" s="3487"/>
    </row>
    <row r="665" spans="2:19" ht="17.25" customHeight="1">
      <c r="B665" s="2086"/>
      <c r="C665" s="2109"/>
      <c r="D665" s="2109"/>
      <c r="E665" s="2077"/>
      <c r="F665" s="2077"/>
      <c r="G665" s="2077"/>
      <c r="H665" s="2077"/>
      <c r="I665" s="2077"/>
      <c r="J665" s="2077"/>
      <c r="K665" s="2077"/>
      <c r="L665" s="2077"/>
      <c r="M665" s="2077"/>
      <c r="N665" s="2077"/>
      <c r="O665" s="2077"/>
      <c r="P665" s="2077"/>
      <c r="Q665" s="2078"/>
      <c r="S665" s="3487"/>
    </row>
    <row r="666" spans="2:19" ht="22.5" customHeight="1">
      <c r="B666" s="2086"/>
      <c r="C666" s="1938"/>
      <c r="D666" s="1938"/>
      <c r="E666" s="1938"/>
      <c r="F666" s="3449" t="s">
        <v>818</v>
      </c>
      <c r="G666" s="3450"/>
      <c r="H666" s="3450"/>
      <c r="I666" s="3450"/>
      <c r="J666" s="3450"/>
      <c r="K666" s="3449" t="s">
        <v>820</v>
      </c>
      <c r="L666" s="3450"/>
      <c r="M666" s="3450"/>
      <c r="N666" s="3450"/>
      <c r="O666" s="3450"/>
      <c r="P666" s="311"/>
      <c r="Q666" s="2078"/>
      <c r="S666" s="3487"/>
    </row>
    <row r="667" spans="2:19" ht="3" customHeight="1">
      <c r="B667" s="2086"/>
      <c r="C667" s="2077"/>
      <c r="D667" s="2077"/>
      <c r="E667" s="2077"/>
      <c r="F667" s="2077"/>
      <c r="G667" s="2077"/>
      <c r="H667" s="2077"/>
      <c r="I667" s="2077"/>
      <c r="J667" s="2077"/>
      <c r="K667" s="2077"/>
      <c r="L667" s="2077"/>
      <c r="M667" s="2077"/>
      <c r="N667" s="2077"/>
      <c r="O667" s="2077"/>
      <c r="P667" s="2077"/>
      <c r="Q667" s="2078"/>
      <c r="S667" s="3487"/>
    </row>
    <row r="668" spans="2:19" ht="23.25" customHeight="1">
      <c r="B668" s="2086"/>
      <c r="C668" s="3376" t="s">
        <v>677</v>
      </c>
      <c r="D668" s="3377"/>
      <c r="E668" s="3378"/>
      <c r="F668" s="3415" t="s">
        <v>712</v>
      </c>
      <c r="G668" s="3416"/>
      <c r="H668" s="3417" t="s">
        <v>713</v>
      </c>
      <c r="I668" s="3417"/>
      <c r="J668" s="3417"/>
      <c r="K668" s="3415" t="s">
        <v>712</v>
      </c>
      <c r="L668" s="3416"/>
      <c r="M668" s="3417" t="s">
        <v>713</v>
      </c>
      <c r="N668" s="3417"/>
      <c r="O668" s="3417"/>
      <c r="P668" s="342"/>
      <c r="Q668" s="2078"/>
      <c r="S668" s="3487"/>
    </row>
    <row r="669" spans="2:19" ht="29.25" customHeight="1">
      <c r="B669" s="2086"/>
      <c r="C669" s="3379"/>
      <c r="D669" s="3380"/>
      <c r="E669" s="3381"/>
      <c r="F669" s="471" t="s">
        <v>714</v>
      </c>
      <c r="G669" s="343" t="s">
        <v>95</v>
      </c>
      <c r="H669" s="463" t="s">
        <v>681</v>
      </c>
      <c r="I669" s="3374" t="s">
        <v>682</v>
      </c>
      <c r="J669" s="3375"/>
      <c r="K669" s="471" t="s">
        <v>714</v>
      </c>
      <c r="L669" s="343" t="s">
        <v>95</v>
      </c>
      <c r="M669" s="463" t="s">
        <v>681</v>
      </c>
      <c r="N669" s="3374" t="s">
        <v>682</v>
      </c>
      <c r="O669" s="3382"/>
      <c r="P669" s="3375"/>
      <c r="Q669" s="2078"/>
      <c r="S669" s="3487"/>
    </row>
    <row r="670" spans="2:19" ht="21.75" customHeight="1">
      <c r="B670" s="2122"/>
      <c r="C670" s="677" t="s">
        <v>683</v>
      </c>
      <c r="D670" s="586"/>
      <c r="E670" s="8" t="s">
        <v>715</v>
      </c>
      <c r="F670" s="12" t="str">
        <f>IF(H670=1,"1- Débutant",IF(H670=2,"2- Élémentaire",IF(H670=3,"3- Intermédiaire",IF(H670=4,"4- Avancé",IF(H670=5,"5- Expert","")))))</f>
        <v/>
      </c>
      <c r="G670" s="13" t="str">
        <f>IF(OR(SUM(G671:G672)=0,H670=0),"",((SUM(G671:G672)/(2-I670)*2)*2))</f>
        <v/>
      </c>
      <c r="H670" s="528">
        <f>IF(I670=2,0,IF(I670=0,ROUNDDOWN(AVERAGE(G671:G672),0),ROUNDDOWN((SUM(G671:G672)/(2-I670)),0)))</f>
        <v>0</v>
      </c>
      <c r="I670" s="715">
        <f>COUNTIF(F671:F672,"Ne s'applique pas")</f>
        <v>0</v>
      </c>
      <c r="J670" s="18"/>
      <c r="K670" s="12" t="str">
        <f>IF(M670=1,"1- Débutant",IF(M670=2,"2- Élémentaire",IF(M670=3,"3- Intermédiaire",IF(M670=4,"4- Avancé",IF(M670=5,"5- Expert","")))))</f>
        <v/>
      </c>
      <c r="L670" s="13" t="str">
        <f>IF(OR(SUM(L671:L672)=0,M670=0),"",((SUM(L671:L672)/(2-N670)*2)*2))</f>
        <v/>
      </c>
      <c r="M670" s="528">
        <f>IF(N670=2,0,IF(N670=0,ROUNDDOWN(AVERAGE(L671:L672),0),ROUNDDOWN((SUM(L671:L672)/(2-N670)),0)))</f>
        <v>0</v>
      </c>
      <c r="N670" s="715">
        <f>COUNTIF(K671:K672,"Ne s'applique pas")</f>
        <v>0</v>
      </c>
      <c r="O670" s="3257"/>
      <c r="P670" s="3258"/>
      <c r="Q670" s="2078"/>
      <c r="S670" s="3487"/>
    </row>
    <row r="671" spans="2:19" ht="18" customHeight="1">
      <c r="B671" s="2123" t="str">
        <f>IF(OR(ISBLANK($L$74),ISBLANK(F671))=FALSE,"",IF(OR(ISBLANK(F671),ISBLANK(K671))=FALSE,"","u"))</f>
        <v>u</v>
      </c>
      <c r="C671" s="3259" t="s">
        <v>716</v>
      </c>
      <c r="D671" s="3260"/>
      <c r="E671" s="3261"/>
      <c r="F671" s="674"/>
      <c r="G671" s="14">
        <f>IF(F671=$E$653,1,IF(F671=$E$654,2,IF(F671=$E$655,3,IF(F671=$E$656,4,IF(F671=$E$657,5,0)))))</f>
        <v>0</v>
      </c>
      <c r="H671" s="2997"/>
      <c r="I671" s="3254"/>
      <c r="J671" s="3256"/>
      <c r="K671" s="674"/>
      <c r="L671" s="14">
        <f>IF(K671=$E$653,1,IF(K671=$E$654,2,IF(K671=$E$655,3,IF(K671=$E$656,4,IF(K671=$E$657,5,0)))))</f>
        <v>0</v>
      </c>
      <c r="M671" s="2997"/>
      <c r="N671" s="3254"/>
      <c r="O671" s="3255"/>
      <c r="P671" s="3256"/>
      <c r="Q671" s="2078"/>
      <c r="S671" s="3487"/>
    </row>
    <row r="672" spans="2:19" ht="18" customHeight="1">
      <c r="B672" s="2123" t="str">
        <f>IF(OR(ISBLANK($L$74),ISBLANK(F672))=FALSE,"",IF(OR(ISBLANK(F672),ISBLANK(K672))=FALSE,"","u"))</f>
        <v>u</v>
      </c>
      <c r="C672" s="3259" t="s">
        <v>717</v>
      </c>
      <c r="D672" s="3260"/>
      <c r="E672" s="3261"/>
      <c r="F672" s="674"/>
      <c r="G672" s="522">
        <f>IF(F672=$E$653,1,IF(F672=$E$654,2,IF(F672=$E$655,3,IF(F672=$E$656,4,IF(F672=$E$657,5,0)))))</f>
        <v>0</v>
      </c>
      <c r="H672" s="2997"/>
      <c r="I672" s="3254"/>
      <c r="J672" s="3256"/>
      <c r="K672" s="674"/>
      <c r="L672" s="522">
        <f>IF(K672=$E$653,1,IF(K672=$E$654,2,IF(K672=$E$655,3,IF(K672=$E$656,4,IF(K672=$E$657,5,0)))))</f>
        <v>0</v>
      </c>
      <c r="M672" s="2997"/>
      <c r="N672" s="3254"/>
      <c r="O672" s="3255"/>
      <c r="P672" s="3256"/>
      <c r="Q672" s="2078"/>
      <c r="S672" s="3487"/>
    </row>
    <row r="673" spans="2:19" ht="35.25" customHeight="1">
      <c r="B673" s="2123"/>
      <c r="C673" s="3248" t="s">
        <v>691</v>
      </c>
      <c r="D673" s="3249"/>
      <c r="E673" s="3250"/>
      <c r="F673" s="3251"/>
      <c r="G673" s="3252"/>
      <c r="H673" s="3252"/>
      <c r="I673" s="3252"/>
      <c r="J673" s="3252"/>
      <c r="K673" s="3251"/>
      <c r="L673" s="3252"/>
      <c r="M673" s="3252"/>
      <c r="N673" s="3252"/>
      <c r="O673" s="3252"/>
      <c r="P673" s="3253"/>
      <c r="Q673" s="2078"/>
      <c r="S673" s="3487"/>
    </row>
    <row r="674" spans="2:19" ht="21.75" customHeight="1">
      <c r="B674" s="2122"/>
      <c r="C674" s="677" t="s">
        <v>692</v>
      </c>
      <c r="D674" s="328"/>
      <c r="E674" s="8" t="s">
        <v>715</v>
      </c>
      <c r="F674" s="12" t="str">
        <f>IF(H674=1,"1- Débutant",IF(H674=2,"2- Élémentaire",IF(H674=3,"3- Intermédiaire",IF(H674=4,"4- Avancé",IF(H674=5,"5- Expert","")))))</f>
        <v/>
      </c>
      <c r="G674" s="13" t="str">
        <f>IF(SUM(G675:G676)=0,"",ROUNDDOWN(AVERAGE(G675:G676)/5*20,))</f>
        <v/>
      </c>
      <c r="H674" s="462">
        <f>ROUNDDOWN(AVERAGE(G675:G676),0)</f>
        <v>0</v>
      </c>
      <c r="I674" s="16"/>
      <c r="J674" s="18"/>
      <c r="K674" s="12" t="str">
        <f>IF(M674=1,"1- Débutant",IF(M674=2,"2- Élémentaire",IF(M674=3,"3- Intermédiaire",IF(M674=4,"4- Avancé",IF(M674=5,"5- Expert","")))))</f>
        <v/>
      </c>
      <c r="L674" s="13" t="str">
        <f>IF(SUM(L675:L676)=0,"",ROUNDDOWN(AVERAGE(L675:L676)/5*20,))</f>
        <v/>
      </c>
      <c r="M674" s="462">
        <f>ROUNDDOWN(AVERAGE(L675:L676),0)</f>
        <v>0</v>
      </c>
      <c r="N674" s="16"/>
      <c r="O674" s="3257"/>
      <c r="P674" s="3258"/>
      <c r="Q674" s="2078"/>
      <c r="S674" s="3487"/>
    </row>
    <row r="675" spans="2:19" ht="18" customHeight="1">
      <c r="B675" s="2123" t="str">
        <f>IF(OR(ISBLANK($L$74),ISBLANK(F675))=FALSE,"",IF(OR(ISBLANK(F675),ISBLANK(K675))=FALSE,"","u"))</f>
        <v>u</v>
      </c>
      <c r="C675" s="3259" t="s">
        <v>718</v>
      </c>
      <c r="D675" s="3260"/>
      <c r="E675" s="3261"/>
      <c r="F675" s="674"/>
      <c r="G675" s="14">
        <f>IF(F675=$E$653,1,IF(F675=$E$654,2,IF(F675=$E$655,3,IF(F675=$E$656,4,IF(F675=$E$657,5,0)))))</f>
        <v>0</v>
      </c>
      <c r="H675" s="2997"/>
      <c r="I675" s="3254"/>
      <c r="J675" s="3256"/>
      <c r="K675" s="674"/>
      <c r="L675" s="14">
        <f>IF(K675=$E$653,1,IF(K675=$E$654,2,IF(K675=$E$655,3,IF(K675=$E$656,4,IF(K675=$E$657,5,0)))))</f>
        <v>0</v>
      </c>
      <c r="M675" s="2997"/>
      <c r="N675" s="3254"/>
      <c r="O675" s="3255"/>
      <c r="P675" s="3256"/>
      <c r="Q675" s="2078"/>
      <c r="S675" s="3487"/>
    </row>
    <row r="676" spans="2:19" ht="18" customHeight="1">
      <c r="B676" s="2123" t="str">
        <f>IF(OR(ISBLANK($L$74),ISBLANK(F676))=FALSE,"",IF(OR(ISBLANK(F676),ISBLANK(K676))=FALSE,"","u"))</f>
        <v>u</v>
      </c>
      <c r="C676" s="3259" t="s">
        <v>719</v>
      </c>
      <c r="D676" s="3260"/>
      <c r="E676" s="3261"/>
      <c r="F676" s="674"/>
      <c r="G676" s="14">
        <f>IF(F676=$E$653,1,IF(F676=$E$654,2,IF(F676=$E$655,3,IF(F676=$E$656,4,IF(F676=$E$657,5,0)))))</f>
        <v>0</v>
      </c>
      <c r="H676" s="2997"/>
      <c r="I676" s="3254"/>
      <c r="J676" s="3256"/>
      <c r="K676" s="674"/>
      <c r="L676" s="14">
        <f>IF(K676=$E$653,1,IF(K676=$E$654,2,IF(K676=$E$655,3,IF(K676=$E$656,4,IF(K676=$E$657,5,0)))))</f>
        <v>0</v>
      </c>
      <c r="M676" s="2997"/>
      <c r="N676" s="3254"/>
      <c r="O676" s="3255"/>
      <c r="P676" s="3256"/>
      <c r="Q676" s="2078"/>
      <c r="S676" s="3487"/>
    </row>
    <row r="677" spans="2:19" ht="35.25" customHeight="1">
      <c r="B677" s="2123"/>
      <c r="C677" s="3248" t="s">
        <v>691</v>
      </c>
      <c r="D677" s="3249"/>
      <c r="E677" s="3250"/>
      <c r="F677" s="3251"/>
      <c r="G677" s="3252"/>
      <c r="H677" s="3252"/>
      <c r="I677" s="3252"/>
      <c r="J677" s="3252"/>
      <c r="K677" s="3251"/>
      <c r="L677" s="3252"/>
      <c r="M677" s="3252"/>
      <c r="N677" s="3252"/>
      <c r="O677" s="3252"/>
      <c r="P677" s="3253"/>
      <c r="Q677" s="2078"/>
      <c r="S677" s="3487"/>
    </row>
    <row r="678" spans="2:19" ht="21.75" customHeight="1">
      <c r="B678" s="2122"/>
      <c r="C678" s="677" t="s">
        <v>601</v>
      </c>
      <c r="D678" s="328"/>
      <c r="E678" s="8" t="s">
        <v>693</v>
      </c>
      <c r="F678" s="12" t="str">
        <f>IF(H678=1,"1- Débutant",IF(H678=2,"2- Élémentaire",IF(H678=3,"3- Intermédiaire",IF(H678=4,"4- Avancé",IF(H678=5,"5- Expert","")))))</f>
        <v/>
      </c>
      <c r="G678" s="13" t="str">
        <f>IF(G679=0,"",G679*2)</f>
        <v/>
      </c>
      <c r="H678" s="462">
        <f>ROUNDDOWN(AVERAGE(G679),0)</f>
        <v>0</v>
      </c>
      <c r="I678" s="16"/>
      <c r="J678" s="18"/>
      <c r="K678" s="12" t="str">
        <f>IF(M678=1,"1- Débutant",IF(M678=2,"2- Élémentaire",IF(M678=3,"3- Intermédiaire",IF(M678=4,"4- Avancé",IF(M678=5,"5- Expert","")))))</f>
        <v/>
      </c>
      <c r="L678" s="13" t="str">
        <f>IF(L679=0,"",L679*2)</f>
        <v/>
      </c>
      <c r="M678" s="462">
        <f>ROUNDDOWN(AVERAGE(L679),0)</f>
        <v>0</v>
      </c>
      <c r="N678" s="16"/>
      <c r="O678" s="3257"/>
      <c r="P678" s="3258"/>
      <c r="Q678" s="2078"/>
      <c r="S678" s="3487"/>
    </row>
    <row r="679" spans="2:19" ht="18" customHeight="1">
      <c r="B679" s="2123" t="str">
        <f>IF(OR(ISBLANK($L$74),ISBLANK(F679))=FALSE,"",IF(OR(ISBLANK(F679),ISBLANK(K679))=FALSE,"","u"))</f>
        <v>u</v>
      </c>
      <c r="C679" s="3259" t="s">
        <v>720</v>
      </c>
      <c r="D679" s="3260"/>
      <c r="E679" s="3261"/>
      <c r="F679" s="674"/>
      <c r="G679" s="522">
        <f>IF(F679=$E$653,1,IF(F679=$E$654,2,IF(F679=$E$655,3,IF(F679=$E$656,4,IF(F679=$E$657,5,0)))))</f>
        <v>0</v>
      </c>
      <c r="H679" s="2997"/>
      <c r="I679" s="3254"/>
      <c r="J679" s="3256"/>
      <c r="K679" s="674"/>
      <c r="L679" s="522">
        <f>IF(K679=$E$653,1,IF(K679=$E$654,2,IF(K679=$E$655,3,IF(K679=$E$656,4,IF(K679=$E$657,5,0)))))</f>
        <v>0</v>
      </c>
      <c r="M679" s="2997"/>
      <c r="N679" s="3254"/>
      <c r="O679" s="3255"/>
      <c r="P679" s="3256"/>
      <c r="Q679" s="2078"/>
      <c r="S679" s="3487"/>
    </row>
    <row r="680" spans="2:19" ht="35.25" customHeight="1">
      <c r="B680" s="2123"/>
      <c r="C680" s="3248" t="s">
        <v>691</v>
      </c>
      <c r="D680" s="3249"/>
      <c r="E680" s="3250"/>
      <c r="F680" s="3251"/>
      <c r="G680" s="3252"/>
      <c r="H680" s="3252"/>
      <c r="I680" s="3252"/>
      <c r="J680" s="3252"/>
      <c r="K680" s="3251"/>
      <c r="L680" s="3252"/>
      <c r="M680" s="3252"/>
      <c r="N680" s="3252"/>
      <c r="O680" s="3252"/>
      <c r="P680" s="3253"/>
      <c r="Q680" s="2078"/>
      <c r="S680" s="3487"/>
    </row>
    <row r="681" spans="2:19" ht="21.75" customHeight="1">
      <c r="B681" s="2122"/>
      <c r="C681" s="677" t="s">
        <v>698</v>
      </c>
      <c r="D681" s="328"/>
      <c r="E681" s="8" t="s">
        <v>693</v>
      </c>
      <c r="F681" s="12" t="str">
        <f>IF(H681=1,"1- Débutant",IF(H681=2,"2- Élémentaire",IF(H681=3,"3- Intermédiaire",IF(H681=4,"4- Avancé",IF(H681=5,"5- Expert","")))))</f>
        <v/>
      </c>
      <c r="G681" s="13" t="str">
        <f>IF(G682=0,"",G682*2)</f>
        <v/>
      </c>
      <c r="H681" s="462">
        <f>ROUNDDOWN(AVERAGE(G682),0)</f>
        <v>0</v>
      </c>
      <c r="I681" s="16"/>
      <c r="J681" s="18"/>
      <c r="K681" s="12" t="str">
        <f>IF(M681=1,"1- Débutant",IF(M681=2,"2- Élémentaire",IF(M681=3,"3- Intermédiaire",IF(M681=4,"4- Avancé",IF(M681=5,"5- Expert","")))))</f>
        <v/>
      </c>
      <c r="L681" s="13" t="str">
        <f>IF(L682=0,"",L682*2)</f>
        <v/>
      </c>
      <c r="M681" s="462">
        <f>ROUNDDOWN(AVERAGE(L682),0)</f>
        <v>0</v>
      </c>
      <c r="N681" s="16"/>
      <c r="O681" s="3257"/>
      <c r="P681" s="3258"/>
      <c r="Q681" s="2078"/>
      <c r="S681" s="3487"/>
    </row>
    <row r="682" spans="2:19" ht="18" customHeight="1">
      <c r="B682" s="2123" t="str">
        <f>IF(OR(ISBLANK($L$74),ISBLANK(F682))=FALSE,"",IF(OR(ISBLANK(F682),ISBLANK(K682))=FALSE,"","u"))</f>
        <v>u</v>
      </c>
      <c r="C682" s="3259" t="s">
        <v>721</v>
      </c>
      <c r="D682" s="3260"/>
      <c r="E682" s="3261"/>
      <c r="F682" s="674"/>
      <c r="G682" s="522">
        <f>IF(F682=$E$653,1,IF(F682=$E$654,2,IF(F682=$E$655,3,IF(F682=$E$656,4,IF(F682=$E$657,5,0)))))</f>
        <v>0</v>
      </c>
      <c r="H682" s="2997"/>
      <c r="I682" s="3254"/>
      <c r="J682" s="3256"/>
      <c r="K682" s="674"/>
      <c r="L682" s="522">
        <f>IF(K682=$E$653,1,IF(K682=$E$654,2,IF(K682=$E$655,3,IF(K682=$E$656,4,IF(K682=$E$657,5,0)))))</f>
        <v>0</v>
      </c>
      <c r="M682" s="2997"/>
      <c r="N682" s="3254"/>
      <c r="O682" s="3255"/>
      <c r="P682" s="3256"/>
      <c r="Q682" s="2078"/>
      <c r="S682" s="3487"/>
    </row>
    <row r="683" spans="2:19" ht="35.25" customHeight="1">
      <c r="B683" s="2123"/>
      <c r="C683" s="3248" t="s">
        <v>691</v>
      </c>
      <c r="D683" s="3249"/>
      <c r="E683" s="3250"/>
      <c r="F683" s="3251"/>
      <c r="G683" s="3252"/>
      <c r="H683" s="3252"/>
      <c r="I683" s="3252"/>
      <c r="J683" s="3252"/>
      <c r="K683" s="3251"/>
      <c r="L683" s="3252"/>
      <c r="M683" s="3252"/>
      <c r="N683" s="3252"/>
      <c r="O683" s="3252"/>
      <c r="P683" s="3253"/>
      <c r="Q683" s="2078"/>
      <c r="S683" s="3487"/>
    </row>
    <row r="684" spans="2:19" ht="21.75" customHeight="1">
      <c r="B684" s="2122"/>
      <c r="C684" s="677" t="s">
        <v>701</v>
      </c>
      <c r="D684" s="679"/>
      <c r="E684" s="8" t="s">
        <v>693</v>
      </c>
      <c r="F684" s="12" t="str">
        <f>IF(H684=1,"1- Débutant",IF(H684=2,"2- Élémentaire",IF(H684=3,"3- Intermédiaire",IF(H684=4,"4- Avancé",IF(H684=5,"5- Expert","")))))</f>
        <v/>
      </c>
      <c r="G684" s="13" t="str">
        <f>IF(SUM(G685:G686)=0,"",SUM(G685:G686))</f>
        <v/>
      </c>
      <c r="H684" s="462">
        <f>ROUNDDOWN(AVERAGE(G685:G686),0)</f>
        <v>0</v>
      </c>
      <c r="I684" s="16"/>
      <c r="J684" s="18"/>
      <c r="K684" s="12" t="str">
        <f>IF(M684=1,"1- Débutant",IF(M684=2,"2- Élémentaire",IF(M684=3,"3- Intermédiaire",IF(M684=4,"4- Avancé",IF(M684=5,"5- Expert","")))))</f>
        <v/>
      </c>
      <c r="L684" s="13" t="str">
        <f>IF(SUM(L685:L686)=0,"",SUM(L685:L686))</f>
        <v/>
      </c>
      <c r="M684" s="462">
        <f>ROUNDDOWN(AVERAGE(L685:L686),0)</f>
        <v>0</v>
      </c>
      <c r="N684" s="16"/>
      <c r="O684" s="3257"/>
      <c r="P684" s="3258"/>
      <c r="Q684" s="2078"/>
      <c r="S684" s="3487"/>
    </row>
    <row r="685" spans="2:19" ht="18" customHeight="1">
      <c r="B685" s="2123" t="str">
        <f>IF(OR(ISBLANK($L$74),ISBLANK(F685))=FALSE,"",IF(OR(ISBLANK(F685),ISBLANK(K685))=FALSE,"","u"))</f>
        <v>u</v>
      </c>
      <c r="C685" s="3259" t="s">
        <v>722</v>
      </c>
      <c r="D685" s="3260"/>
      <c r="E685" s="3261"/>
      <c r="F685" s="674"/>
      <c r="G685" s="14">
        <f>IF(F685=$E$653,1,IF(F685=$E$654,2,IF(F685=$E$655,3,IF(F685=$E$656,4,IF(F685=$E$657,5,0)))))</f>
        <v>0</v>
      </c>
      <c r="H685" s="2997"/>
      <c r="I685" s="3254"/>
      <c r="J685" s="3256"/>
      <c r="K685" s="674"/>
      <c r="L685" s="14">
        <f>IF(K685=$E$653,1,IF(K685=$E$654,2,IF(K685=$E$655,3,IF(K685=$E$656,4,IF(K685=$E$657,5,0)))))</f>
        <v>0</v>
      </c>
      <c r="M685" s="2997"/>
      <c r="N685" s="3254"/>
      <c r="O685" s="3255"/>
      <c r="P685" s="3256"/>
      <c r="Q685" s="2078"/>
      <c r="S685" s="3487"/>
    </row>
    <row r="686" spans="2:19" ht="18" customHeight="1">
      <c r="B686" s="2123" t="str">
        <f>IF(OR(ISBLANK($L$74),ISBLANK(F686))=FALSE,"",IF(OR(ISBLANK(F686),ISBLANK(K686))=FALSE,"","u"))</f>
        <v>u</v>
      </c>
      <c r="C686" s="3259" t="s">
        <v>723</v>
      </c>
      <c r="D686" s="3260"/>
      <c r="E686" s="3261"/>
      <c r="F686" s="674"/>
      <c r="G686" s="522">
        <f>IF(F686=$E$653,1,IF(F686=$E$654,2,IF(F686=$E$655,3,IF(F686=$E$656,4,IF(F686=$E$657,5,0)))))</f>
        <v>0</v>
      </c>
      <c r="H686" s="2997"/>
      <c r="I686" s="3254"/>
      <c r="J686" s="3256"/>
      <c r="K686" s="674"/>
      <c r="L686" s="522">
        <f>IF(K686=$E$653,1,IF(K686=$E$654,2,IF(K686=$E$655,3,IF(K686=$E$656,4,IF(K686=$E$657,5,0)))))</f>
        <v>0</v>
      </c>
      <c r="M686" s="2997"/>
      <c r="N686" s="3254"/>
      <c r="O686" s="3255"/>
      <c r="P686" s="3256"/>
      <c r="Q686" s="2078"/>
      <c r="S686" s="3487"/>
    </row>
    <row r="687" spans="2:19" ht="35.25" customHeight="1">
      <c r="B687" s="2123"/>
      <c r="C687" s="3248" t="s">
        <v>691</v>
      </c>
      <c r="D687" s="3249"/>
      <c r="E687" s="3250"/>
      <c r="F687" s="3251"/>
      <c r="G687" s="3252"/>
      <c r="H687" s="3252"/>
      <c r="I687" s="3252"/>
      <c r="J687" s="3252"/>
      <c r="K687" s="3251"/>
      <c r="L687" s="3252"/>
      <c r="M687" s="3252"/>
      <c r="N687" s="3252"/>
      <c r="O687" s="3252"/>
      <c r="P687" s="3253"/>
      <c r="Q687" s="2078"/>
      <c r="S687" s="3487"/>
    </row>
    <row r="688" spans="2:19" ht="21.75" customHeight="1">
      <c r="B688" s="2122"/>
      <c r="C688" s="677" t="s">
        <v>704</v>
      </c>
      <c r="D688" s="679"/>
      <c r="E688" s="8" t="s">
        <v>693</v>
      </c>
      <c r="F688" s="12" t="str">
        <f>IF(H688=1,"1- Débutant",IF(H688=2,"2- Élémentaire",IF(H688=3,"3- Intermédiaire",IF(H688=4,"4- Avancé",IF(H688=5,"5- Expert","")))))</f>
        <v/>
      </c>
      <c r="G688" s="13" t="str">
        <f>IF(SUM(G689:G690)=0,"",SUM(G689:G690))</f>
        <v/>
      </c>
      <c r="H688" s="462">
        <f>ROUNDDOWN(AVERAGE(G689:G690),0)</f>
        <v>0</v>
      </c>
      <c r="I688" s="16"/>
      <c r="J688" s="18"/>
      <c r="K688" s="12" t="str">
        <f>IF(M688=1,"1- Débutant",IF(M688=2,"2- Élémentaire",IF(M688=3,"3- Intermédiaire",IF(M688=4,"4- Avancé",IF(M688=5,"5- Expert","")))))</f>
        <v/>
      </c>
      <c r="L688" s="13" t="str">
        <f>IF(SUM(L689:L690)=0,"",SUM(L689:L690))</f>
        <v/>
      </c>
      <c r="M688" s="462">
        <f>ROUNDDOWN(AVERAGE(L689:L690),0)</f>
        <v>0</v>
      </c>
      <c r="N688" s="16"/>
      <c r="O688" s="3257"/>
      <c r="P688" s="3258"/>
      <c r="Q688" s="2078"/>
      <c r="S688" s="3487"/>
    </row>
    <row r="689" spans="2:19" ht="18" customHeight="1">
      <c r="B689" s="2123" t="str">
        <f>IF(OR(ISBLANK($L$74),ISBLANK(F689))=FALSE,"",IF(OR(ISBLANK(F689),ISBLANK(K689))=FALSE,"","u"))</f>
        <v>u</v>
      </c>
      <c r="C689" s="3259" t="s">
        <v>724</v>
      </c>
      <c r="D689" s="3260"/>
      <c r="E689" s="3261"/>
      <c r="F689" s="674"/>
      <c r="G689" s="14">
        <f>IF(F689=$E$653,1,IF(F689=$E$654,2,IF(F689=$E$655,3,IF(F689=$E$656,4,IF(F689=$E$657,5,0)))))</f>
        <v>0</v>
      </c>
      <c r="H689" s="2997"/>
      <c r="I689" s="3254"/>
      <c r="J689" s="3256"/>
      <c r="K689" s="674"/>
      <c r="L689" s="14">
        <f>IF(K689=$E$653,1,IF(K689=$E$654,2,IF(K689=$E$655,3,IF(K689=$E$656,4,IF(K689=$E$657,5,0)))))</f>
        <v>0</v>
      </c>
      <c r="M689" s="2997"/>
      <c r="N689" s="3254"/>
      <c r="O689" s="3255"/>
      <c r="P689" s="3256"/>
      <c r="Q689" s="2078"/>
      <c r="S689" s="3487"/>
    </row>
    <row r="690" spans="2:19" ht="18" customHeight="1">
      <c r="B690" s="2123" t="str">
        <f>IF(OR(ISBLANK($L$74),ISBLANK(F690))=FALSE,"",IF(OR(ISBLANK(F690),ISBLANK(K690))=FALSE,"","u"))</f>
        <v>u</v>
      </c>
      <c r="C690" s="3259" t="s">
        <v>725</v>
      </c>
      <c r="D690" s="3260"/>
      <c r="E690" s="3261"/>
      <c r="F690" s="674"/>
      <c r="G690" s="522">
        <f>IF(F690=$E$653,1,IF(F690=$E$654,2,IF(F690=$E$655,3,IF(F690=$E$656,4,IF(F690=$E$657,5,0)))))</f>
        <v>0</v>
      </c>
      <c r="H690" s="2997"/>
      <c r="I690" s="3254"/>
      <c r="J690" s="3256"/>
      <c r="K690" s="674"/>
      <c r="L690" s="522">
        <f>IF(K690=$E$653,1,IF(K690=$E$654,2,IF(K690=$E$655,3,IF(K690=$E$656,4,IF(K690=$E$657,5,0)))))</f>
        <v>0</v>
      </c>
      <c r="M690" s="2997"/>
      <c r="N690" s="3254"/>
      <c r="O690" s="3255"/>
      <c r="P690" s="3256"/>
      <c r="Q690" s="2078"/>
      <c r="S690" s="3487"/>
    </row>
    <row r="691" spans="2:19" ht="35.25" customHeight="1">
      <c r="B691" s="2123"/>
      <c r="C691" s="3248" t="s">
        <v>691</v>
      </c>
      <c r="D691" s="3249"/>
      <c r="E691" s="3250"/>
      <c r="F691" s="3251"/>
      <c r="G691" s="3252"/>
      <c r="H691" s="3252"/>
      <c r="I691" s="3252"/>
      <c r="J691" s="3252"/>
      <c r="K691" s="3251"/>
      <c r="L691" s="3252"/>
      <c r="M691" s="3252"/>
      <c r="N691" s="3252"/>
      <c r="O691" s="3252"/>
      <c r="P691" s="3253"/>
      <c r="Q691" s="2078"/>
      <c r="S691" s="3487"/>
    </row>
    <row r="692" spans="2:19" ht="21.75" customHeight="1">
      <c r="B692" s="2122"/>
      <c r="C692" s="678" t="s">
        <v>706</v>
      </c>
      <c r="D692" s="328"/>
      <c r="E692" s="8" t="s">
        <v>702</v>
      </c>
      <c r="F692" s="12" t="str">
        <f>IF(H692=1,"1- Débutant",IF(H692=2,"2- Élémentaire",IF(H692=3,"3- Intermédiaire",IF(H692=4,"4- Avancé",IF(H692=5,"5- Expert","")))))</f>
        <v/>
      </c>
      <c r="G692" s="13" t="str">
        <f>IF(SUM(G693:G695)=0,"",SUM(G693:G695))</f>
        <v/>
      </c>
      <c r="H692" s="462">
        <f>ROUNDDOWN(AVERAGE(G693:G695),0)</f>
        <v>0</v>
      </c>
      <c r="I692" s="16"/>
      <c r="J692" s="18"/>
      <c r="K692" s="12" t="str">
        <f>IF(M692=1,"1- Débutant",IF(M692=2,"2- Élémentaire",IF(M692=3,"3- Intermédiaire",IF(M692=4,"4- Avancé",IF(M692=5,"5- Expert","")))))</f>
        <v/>
      </c>
      <c r="L692" s="13" t="str">
        <f>IF(SUM(L693:L695)=0,"",SUM(L693:L695))</f>
        <v/>
      </c>
      <c r="M692" s="462">
        <f>ROUNDDOWN(AVERAGE(L693:L695),0)</f>
        <v>0</v>
      </c>
      <c r="N692" s="16"/>
      <c r="O692" s="3257"/>
      <c r="P692" s="3258"/>
      <c r="Q692" s="2078"/>
      <c r="S692" s="3487"/>
    </row>
    <row r="693" spans="2:19" ht="18" customHeight="1">
      <c r="B693" s="2123" t="str">
        <f>IF(OR(ISBLANK($L$74),ISBLANK(F693))=FALSE,"",IF(OR(ISBLANK(F693),ISBLANK(K693))=FALSE,"","u"))</f>
        <v>u</v>
      </c>
      <c r="C693" s="3259" t="s">
        <v>726</v>
      </c>
      <c r="D693" s="3260"/>
      <c r="E693" s="3261"/>
      <c r="F693" s="674"/>
      <c r="G693" s="14">
        <f>IF(F693=$E$653,1,IF(F693=$E$654,2,IF(F693=$E$655,3,IF(F693=$E$656,4,IF(F693=$E$657,5,0)))))</f>
        <v>0</v>
      </c>
      <c r="H693" s="2997"/>
      <c r="I693" s="3254"/>
      <c r="J693" s="3256"/>
      <c r="K693" s="674"/>
      <c r="L693" s="14">
        <f>IF(K693=$E$653,1,IF(K693=$E$654,2,IF(K693=$E$655,3,IF(K693=$E$656,4,IF(K693=$E$657,5,0)))))</f>
        <v>0</v>
      </c>
      <c r="M693" s="2997"/>
      <c r="N693" s="3254"/>
      <c r="O693" s="3255"/>
      <c r="P693" s="3256"/>
      <c r="Q693" s="2078"/>
      <c r="S693" s="3487"/>
    </row>
    <row r="694" spans="2:19" ht="17.25" customHeight="1">
      <c r="B694" s="2123" t="str">
        <f>IF(OR(ISBLANK($L$74),ISBLANK(F694))=FALSE,"",IF(OR(ISBLANK(F694),ISBLANK(K694))=FALSE,"","u"))</f>
        <v>u</v>
      </c>
      <c r="C694" s="3259" t="s">
        <v>727</v>
      </c>
      <c r="D694" s="3260"/>
      <c r="E694" s="3261"/>
      <c r="F694" s="674"/>
      <c r="G694" s="14">
        <f>IF(F694=$E$653,1,IF(F694=$E$654,2,IF(F694=$E$655,3,IF(F694=$E$656,4,IF(F694=$E$657,5,0)))))</f>
        <v>0</v>
      </c>
      <c r="H694" s="2997"/>
      <c r="I694" s="3254"/>
      <c r="J694" s="3256"/>
      <c r="K694" s="674"/>
      <c r="L694" s="14">
        <f>IF(K694=$E$653,1,IF(K694=$E$654,2,IF(K694=$E$655,3,IF(K694=$E$656,4,IF(K694=$E$657,5,0)))))</f>
        <v>0</v>
      </c>
      <c r="M694" s="2997"/>
      <c r="N694" s="3254"/>
      <c r="O694" s="3255"/>
      <c r="P694" s="3256"/>
      <c r="Q694" s="2078"/>
      <c r="S694" s="3487"/>
    </row>
    <row r="695" spans="2:19" ht="18" customHeight="1">
      <c r="B695" s="2123" t="str">
        <f>IF(OR(ISBLANK($L$74),ISBLANK(F695))=FALSE,"",IF(OR(ISBLANK(F695),ISBLANK(K695))=FALSE,"","u"))</f>
        <v>u</v>
      </c>
      <c r="C695" s="3259" t="s">
        <v>728</v>
      </c>
      <c r="D695" s="3260"/>
      <c r="E695" s="3261"/>
      <c r="F695" s="674"/>
      <c r="G695" s="522">
        <f>IF(F695=$E$653,1,IF(F695=$E$654,2,IF(F695=$E$655,3,IF(F695=$E$656,4,IF(F695=$E$657,5,0)))))</f>
        <v>0</v>
      </c>
      <c r="H695" s="2997"/>
      <c r="I695" s="3254"/>
      <c r="J695" s="3256"/>
      <c r="K695" s="674"/>
      <c r="L695" s="522">
        <f>IF(K695=$E$653,1,IF(K695=$E$654,2,IF(K695=$E$655,3,IF(K695=$E$656,4,IF(K695=$E$657,5,0)))))</f>
        <v>0</v>
      </c>
      <c r="M695" s="2997"/>
      <c r="N695" s="3254"/>
      <c r="O695" s="3255"/>
      <c r="P695" s="3256"/>
      <c r="Q695" s="2078"/>
      <c r="S695" s="3487"/>
    </row>
    <row r="696" spans="2:19" ht="35.25" customHeight="1">
      <c r="B696" s="2123"/>
      <c r="C696" s="3248" t="s">
        <v>691</v>
      </c>
      <c r="D696" s="3249"/>
      <c r="E696" s="3250"/>
      <c r="F696" s="3251"/>
      <c r="G696" s="3252"/>
      <c r="H696" s="3252"/>
      <c r="I696" s="3252"/>
      <c r="J696" s="3252"/>
      <c r="K696" s="3251"/>
      <c r="L696" s="3252"/>
      <c r="M696" s="3252"/>
      <c r="N696" s="3252"/>
      <c r="O696" s="3252"/>
      <c r="P696" s="3253"/>
      <c r="Q696" s="2078"/>
      <c r="S696" s="3487"/>
    </row>
    <row r="697" spans="2:19" ht="21.75" customHeight="1">
      <c r="B697" s="2122"/>
      <c r="C697" s="677" t="s">
        <v>729</v>
      </c>
      <c r="D697" s="328"/>
      <c r="E697" s="8" t="s">
        <v>730</v>
      </c>
      <c r="F697" s="12" t="str">
        <f>IF(H697=1,"1- Débutant",IF(H697=2,"2- Élémentaire",IF(H697=3,"3- Intermédiaire",IF(H697=4,"4- Avancé",IF(H697=5,"5- Expert","")))))</f>
        <v/>
      </c>
      <c r="G697" s="13" t="str">
        <f>IF(G698=0,"",G698)</f>
        <v/>
      </c>
      <c r="H697" s="462">
        <f>ROUNDDOWN(AVERAGE(G698),0)</f>
        <v>0</v>
      </c>
      <c r="I697" s="16"/>
      <c r="J697" s="18"/>
      <c r="K697" s="12" t="str">
        <f>IF(M697=1,"1- Débutant",IF(M697=2,"2- Élémentaire",IF(M697=3,"3- Intermédiaire",IF(M697=4,"4- Avancé",IF(M697=5,"5- Expert","")))))</f>
        <v/>
      </c>
      <c r="L697" s="13" t="str">
        <f>IF(L698=0,"",L698)</f>
        <v/>
      </c>
      <c r="M697" s="462">
        <f>ROUNDDOWN(AVERAGE(L698),0)</f>
        <v>0</v>
      </c>
      <c r="N697" s="16"/>
      <c r="O697" s="3257"/>
      <c r="P697" s="3258"/>
      <c r="Q697" s="2078"/>
      <c r="S697" s="3487"/>
    </row>
    <row r="698" spans="2:19" ht="18" customHeight="1">
      <c r="B698" s="2123" t="str">
        <f>IF(OR(ISBLANK($L$74),ISBLANK(F698))=FALSE,"",IF(OR(ISBLANK(F698),ISBLANK(K698))=FALSE,"","u"))</f>
        <v>u</v>
      </c>
      <c r="C698" s="3262" t="s">
        <v>731</v>
      </c>
      <c r="D698" s="3263"/>
      <c r="E698" s="3264"/>
      <c r="F698" s="674"/>
      <c r="G698" s="522">
        <f>IF(F698=$E$653,1,IF(F698=$E$654,2,IF(F698=$E$655,3,IF(F698=$E$656,4,IF(F698=$E$657,5,0)))))</f>
        <v>0</v>
      </c>
      <c r="H698" s="2997"/>
      <c r="I698" s="3254"/>
      <c r="J698" s="3256"/>
      <c r="K698" s="674"/>
      <c r="L698" s="522">
        <f>IF(K698=$E$653,1,IF(K698=$E$654,2,IF(K698=$E$655,3,IF(K698=$E$656,4,IF(K698=$E$657,5,0)))))</f>
        <v>0</v>
      </c>
      <c r="M698" s="2997"/>
      <c r="N698" s="3254"/>
      <c r="O698" s="3255"/>
      <c r="P698" s="3256"/>
      <c r="Q698" s="2078"/>
      <c r="S698" s="3487"/>
    </row>
    <row r="699" spans="2:19" ht="35.25" customHeight="1">
      <c r="B699" s="2123"/>
      <c r="C699" s="3248" t="s">
        <v>691</v>
      </c>
      <c r="D699" s="3249"/>
      <c r="E699" s="3250"/>
      <c r="F699" s="3251"/>
      <c r="G699" s="3252"/>
      <c r="H699" s="3252"/>
      <c r="I699" s="3252"/>
      <c r="J699" s="3252"/>
      <c r="K699" s="3251"/>
      <c r="L699" s="3252"/>
      <c r="M699" s="3252"/>
      <c r="N699" s="3252"/>
      <c r="O699" s="3252"/>
      <c r="P699" s="3253"/>
      <c r="Q699" s="2078"/>
      <c r="S699" s="3487"/>
    </row>
    <row r="700" spans="2:19" ht="22.5" customHeight="1">
      <c r="B700" s="2086"/>
      <c r="C700" s="655"/>
      <c r="D700" s="344"/>
      <c r="E700" s="9" t="s">
        <v>707</v>
      </c>
      <c r="F700" s="20" t="str">
        <f>IF(H700=1,"1- Débutant",IF(H700=2,"2- Élémentaire",IF(H700=3,"3- Intermédiaire",IF(H700=4,"4- Avancé",IF(H700=5,"5- Expert","")))))</f>
        <v/>
      </c>
      <c r="G700" s="410" t="str">
        <f>IF(ISERR(G674+G678+G681+G684+G688+G692+G697)=TRUE,"",IF((G670=""),((G674+G678+G681+G684+G688+G692+G697)/80*100),(G670+G674+G678+G681+G684+G688+G692+G697)))</f>
        <v/>
      </c>
      <c r="H700" s="627">
        <f>ROUNDDOWN(AVERAGE(H670,H674,H678,H681,H684,H688,H692,H697),0)</f>
        <v>0</v>
      </c>
      <c r="I700" s="17"/>
      <c r="J700" s="17"/>
      <c r="K700" s="20" t="str">
        <f>IF(M700=1,"1- Débutant",IF(M700=2,"2- Élémentaire",IF(M700=3,"3- Intermédiaire",IF(M700=4,"4- Avancé",IF(M700=5,"5- Expert","")))))</f>
        <v/>
      </c>
      <c r="L700" s="410" t="str">
        <f>IF(ISERR(L674+L678+L681+L684+L688+L692+L697)=TRUE,"",IF((L670=""),((L674+L678+L681+L684+L688+L692+L697)/80*100),(L670+L674+L678+L681+L684+L688+L692+L697)))</f>
        <v/>
      </c>
      <c r="M700" s="627">
        <f>ROUNDDOWN(AVERAGE(M670,M674,M678,M681,M684,M688,M692,M697),0)</f>
        <v>0</v>
      </c>
      <c r="N700" s="17"/>
      <c r="O700" s="3372"/>
      <c r="P700" s="3373"/>
      <c r="Q700" s="2078"/>
      <c r="S700" s="3487"/>
    </row>
    <row r="701" spans="2:19" ht="23.25" customHeight="1">
      <c r="B701" s="2086"/>
      <c r="C701" s="2077"/>
      <c r="D701" s="2117"/>
      <c r="E701" s="2117"/>
      <c r="F701" s="2117"/>
      <c r="G701" s="2117"/>
      <c r="H701" s="2117"/>
      <c r="I701" s="2118"/>
      <c r="J701" s="2119"/>
      <c r="K701" s="2119"/>
      <c r="L701" s="2119"/>
      <c r="M701" s="2119"/>
      <c r="N701" s="2119"/>
      <c r="O701" s="2119"/>
      <c r="P701" s="2119"/>
      <c r="Q701" s="2078"/>
      <c r="S701" s="3487"/>
    </row>
    <row r="702" spans="2:19" ht="18" customHeight="1">
      <c r="B702" s="2086"/>
      <c r="C702" s="2120" t="s">
        <v>570</v>
      </c>
      <c r="D702" s="2117"/>
      <c r="E702" s="2117"/>
      <c r="F702" s="2117"/>
      <c r="G702" s="1938"/>
      <c r="H702" s="3745" t="s">
        <v>732</v>
      </c>
      <c r="I702" s="3745"/>
      <c r="J702" s="1938"/>
      <c r="K702" s="1938"/>
      <c r="L702" s="2119"/>
      <c r="M702" s="2119"/>
      <c r="N702" s="2119"/>
      <c r="O702" s="2119"/>
      <c r="P702" s="2119"/>
      <c r="Q702" s="2078"/>
      <c r="S702" s="3487"/>
    </row>
    <row r="703" spans="2:19" ht="19.5" customHeight="1" thickBot="1">
      <c r="B703" s="2087"/>
      <c r="C703" s="2092"/>
      <c r="D703" s="2092"/>
      <c r="E703" s="2092"/>
      <c r="F703" s="2121"/>
      <c r="G703" s="2121"/>
      <c r="H703" s="2092"/>
      <c r="I703" s="2121"/>
      <c r="J703" s="2121"/>
      <c r="K703" s="2092"/>
      <c r="L703" s="2121"/>
      <c r="M703" s="2092"/>
      <c r="N703" s="2121"/>
      <c r="O703" s="2121"/>
      <c r="P703" s="2121"/>
      <c r="Q703" s="2093"/>
      <c r="S703" s="3488"/>
    </row>
    <row r="704" spans="2:19" ht="16.5" customHeight="1" thickBot="1">
      <c r="S704" s="614"/>
    </row>
    <row r="705" spans="1:19" ht="22.5" customHeight="1" thickBot="1">
      <c r="A705" s="1187"/>
      <c r="B705" s="1926" t="s">
        <v>733</v>
      </c>
      <c r="C705" s="1926"/>
      <c r="D705" s="1926"/>
      <c r="E705" s="1926"/>
      <c r="F705" s="1926"/>
      <c r="G705" s="1926"/>
      <c r="H705" s="1926"/>
      <c r="I705" s="1926"/>
      <c r="J705" s="1926"/>
      <c r="K705" s="1926"/>
      <c r="L705" s="2097"/>
      <c r="M705" s="2097"/>
      <c r="N705" s="2097"/>
      <c r="O705" s="3726" t="s">
        <v>155</v>
      </c>
      <c r="P705" s="3726"/>
      <c r="Q705" s="3726"/>
      <c r="S705" s="615" t="s">
        <v>521</v>
      </c>
    </row>
    <row r="706" spans="1:19" ht="9.75" customHeight="1" thickBot="1">
      <c r="S706" s="616"/>
    </row>
    <row r="707" spans="1:19" ht="8.25" customHeight="1">
      <c r="B707" s="2098"/>
      <c r="C707" s="2099"/>
      <c r="D707" s="2099"/>
      <c r="E707" s="2100"/>
      <c r="F707" s="2101"/>
      <c r="G707" s="2101"/>
      <c r="H707" s="2101"/>
      <c r="I707" s="2101"/>
      <c r="J707" s="2101"/>
      <c r="K707" s="2101"/>
      <c r="L707" s="2101"/>
      <c r="M707" s="2101"/>
      <c r="N707" s="2101"/>
      <c r="O707" s="2101"/>
      <c r="P707" s="2101"/>
      <c r="Q707" s="2102"/>
      <c r="S707" s="3542"/>
    </row>
    <row r="708" spans="1:19" ht="18" customHeight="1">
      <c r="B708" s="2103"/>
      <c r="C708" s="2104" t="s">
        <v>851</v>
      </c>
      <c r="D708" s="2104"/>
      <c r="E708" s="2105"/>
      <c r="F708" s="2106"/>
      <c r="G708" s="2106"/>
      <c r="H708" s="2106"/>
      <c r="I708" s="2106"/>
      <c r="J708" s="2106"/>
      <c r="K708" s="2106"/>
      <c r="L708" s="2106"/>
      <c r="M708" s="2106"/>
      <c r="N708" s="1938"/>
      <c r="O708" s="1938"/>
      <c r="P708" s="2106"/>
      <c r="Q708" s="2107"/>
      <c r="S708" s="3540"/>
    </row>
    <row r="709" spans="1:19" ht="9.75" customHeight="1">
      <c r="B709" s="2103"/>
      <c r="C709" s="2105"/>
      <c r="D709" s="2105"/>
      <c r="E709" s="2105"/>
      <c r="F709" s="2106"/>
      <c r="G709" s="2106"/>
      <c r="H709" s="2106"/>
      <c r="I709" s="2106"/>
      <c r="J709" s="2106"/>
      <c r="K709" s="2106"/>
      <c r="L709" s="2106"/>
      <c r="M709" s="2106"/>
      <c r="N709" s="2106"/>
      <c r="O709" s="2106"/>
      <c r="P709" s="2106"/>
      <c r="Q709" s="2107"/>
      <c r="S709" s="3540"/>
    </row>
    <row r="710" spans="1:19" ht="18" customHeight="1">
      <c r="B710" s="2086"/>
      <c r="C710" s="2108" t="s">
        <v>852</v>
      </c>
      <c r="D710" s="2109"/>
      <c r="E710" s="2077"/>
      <c r="F710" s="2077"/>
      <c r="G710" s="2077"/>
      <c r="H710" s="2077"/>
      <c r="I710" s="2077"/>
      <c r="J710" s="2077"/>
      <c r="K710" s="2077"/>
      <c r="L710" s="2077"/>
      <c r="M710" s="2077"/>
      <c r="N710" s="2077"/>
      <c r="O710" s="2077"/>
      <c r="P710" s="2077"/>
      <c r="Q710" s="2078"/>
      <c r="S710" s="3540"/>
    </row>
    <row r="711" spans="1:19" ht="19.5" customHeight="1">
      <c r="B711" s="2086"/>
      <c r="C711" s="2110" t="s">
        <v>736</v>
      </c>
      <c r="D711" s="2109"/>
      <c r="E711" s="2077"/>
      <c r="F711" s="2077"/>
      <c r="G711" s="2077"/>
      <c r="H711" s="2077"/>
      <c r="I711" s="2077"/>
      <c r="J711" s="2077"/>
      <c r="K711" s="2077"/>
      <c r="L711" s="2077"/>
      <c r="M711" s="2077"/>
      <c r="N711" s="2077"/>
      <c r="O711" s="2077"/>
      <c r="P711" s="2077"/>
      <c r="Q711" s="2078"/>
      <c r="S711" s="3540"/>
    </row>
    <row r="712" spans="1:19" ht="15.75" customHeight="1">
      <c r="B712" s="2086"/>
      <c r="C712" s="2111" t="s">
        <v>737</v>
      </c>
      <c r="D712" s="2109"/>
      <c r="E712" s="2077"/>
      <c r="F712" s="2077"/>
      <c r="G712" s="2077"/>
      <c r="H712" s="2077"/>
      <c r="I712" s="2077"/>
      <c r="J712" s="2077"/>
      <c r="K712" s="2077"/>
      <c r="L712" s="2077"/>
      <c r="M712" s="2077"/>
      <c r="N712" s="2077"/>
      <c r="O712" s="2077"/>
      <c r="P712" s="2077"/>
      <c r="Q712" s="2078"/>
      <c r="S712" s="3540"/>
    </row>
    <row r="713" spans="1:19" ht="9" customHeight="1">
      <c r="B713" s="2086"/>
      <c r="C713" s="2112"/>
      <c r="D713" s="2109"/>
      <c r="E713" s="2077"/>
      <c r="F713" s="2077"/>
      <c r="G713" s="2077"/>
      <c r="H713" s="2077"/>
      <c r="I713" s="2077"/>
      <c r="J713" s="2077"/>
      <c r="K713" s="2077"/>
      <c r="L713" s="2077"/>
      <c r="M713" s="2077"/>
      <c r="N713" s="2077"/>
      <c r="O713" s="2077"/>
      <c r="P713" s="2077"/>
      <c r="Q713" s="2078"/>
      <c r="S713" s="3540"/>
    </row>
    <row r="714" spans="1:19" ht="18" customHeight="1">
      <c r="B714" s="2086"/>
      <c r="C714" s="2108" t="s">
        <v>853</v>
      </c>
      <c r="D714" s="2109"/>
      <c r="E714" s="2077"/>
      <c r="F714" s="2077"/>
      <c r="G714" s="2077"/>
      <c r="H714" s="2077"/>
      <c r="I714" s="2077"/>
      <c r="J714" s="2077"/>
      <c r="K714" s="2077"/>
      <c r="L714" s="2077"/>
      <c r="M714" s="2077"/>
      <c r="N714" s="2077"/>
      <c r="O714" s="2077"/>
      <c r="P714" s="2077"/>
      <c r="Q714" s="2078"/>
      <c r="S714" s="3540"/>
    </row>
    <row r="715" spans="1:19" ht="6" customHeight="1">
      <c r="B715" s="2086"/>
      <c r="C715" s="2108"/>
      <c r="D715" s="2109"/>
      <c r="E715" s="2077"/>
      <c r="F715" s="2077"/>
      <c r="G715" s="2077"/>
      <c r="H715" s="2077"/>
      <c r="I715" s="2077"/>
      <c r="J715" s="2077"/>
      <c r="K715" s="2077"/>
      <c r="L715" s="2077"/>
      <c r="M715" s="2077"/>
      <c r="N715" s="2077"/>
      <c r="O715" s="2077"/>
      <c r="P715" s="2077"/>
      <c r="Q715" s="2078"/>
      <c r="S715" s="3540"/>
    </row>
    <row r="716" spans="1:19" ht="59.25" customHeight="1">
      <c r="B716" s="2113" t="str">
        <f>IF(ISBLANK(C716)=FALSE,"","w")</f>
        <v>w</v>
      </c>
      <c r="C716" s="3458"/>
      <c r="D716" s="3459"/>
      <c r="E716" s="3459"/>
      <c r="F716" s="3459"/>
      <c r="G716" s="3459"/>
      <c r="H716" s="3459"/>
      <c r="I716" s="3459"/>
      <c r="J716" s="3459"/>
      <c r="K716" s="3459"/>
      <c r="L716" s="3459"/>
      <c r="M716" s="3459"/>
      <c r="N716" s="3459"/>
      <c r="O716" s="3460"/>
      <c r="P716" s="2077"/>
      <c r="Q716" s="2078"/>
      <c r="S716" s="3540"/>
    </row>
    <row r="717" spans="1:19" ht="18.75" customHeight="1" thickBot="1">
      <c r="B717" s="2087"/>
      <c r="C717" s="2114"/>
      <c r="D717" s="2115"/>
      <c r="E717" s="2092"/>
      <c r="F717" s="2092"/>
      <c r="G717" s="2092"/>
      <c r="H717" s="2092"/>
      <c r="I717" s="2092"/>
      <c r="J717" s="2092"/>
      <c r="K717" s="2092"/>
      <c r="L717" s="2092"/>
      <c r="M717" s="2092"/>
      <c r="N717" s="2092"/>
      <c r="O717" s="2092"/>
      <c r="P717" s="2092"/>
      <c r="Q717" s="2093"/>
      <c r="S717" s="3540"/>
    </row>
    <row r="718" spans="1:19" ht="9.75" customHeight="1" thickBot="1">
      <c r="S718" s="3540"/>
    </row>
    <row r="719" spans="1:19" ht="8.25" customHeight="1">
      <c r="B719" s="2098"/>
      <c r="C719" s="2099"/>
      <c r="D719" s="2099"/>
      <c r="E719" s="2100"/>
      <c r="F719" s="2101"/>
      <c r="G719" s="2101"/>
      <c r="H719" s="2101"/>
      <c r="I719" s="2101"/>
      <c r="J719" s="2101"/>
      <c r="K719" s="2101"/>
      <c r="L719" s="2101"/>
      <c r="M719" s="2101"/>
      <c r="N719" s="2101"/>
      <c r="O719" s="2101"/>
      <c r="P719" s="2101"/>
      <c r="Q719" s="2102"/>
      <c r="S719" s="3540"/>
    </row>
    <row r="720" spans="1:19" ht="18" customHeight="1">
      <c r="B720" s="2103"/>
      <c r="C720" s="2104" t="s">
        <v>739</v>
      </c>
      <c r="D720" s="2104"/>
      <c r="E720" s="2105"/>
      <c r="F720" s="2106"/>
      <c r="G720" s="2106"/>
      <c r="H720" s="2106"/>
      <c r="I720" s="2106"/>
      <c r="J720" s="2106"/>
      <c r="K720" s="2106"/>
      <c r="L720" s="2106"/>
      <c r="M720" s="2106"/>
      <c r="N720" s="1938"/>
      <c r="O720" s="1938"/>
      <c r="P720" s="2106"/>
      <c r="Q720" s="2107"/>
      <c r="S720" s="3540"/>
    </row>
    <row r="721" spans="2:19" ht="9.75" customHeight="1">
      <c r="B721" s="2103"/>
      <c r="C721" s="2105"/>
      <c r="D721" s="2105"/>
      <c r="E721" s="2105"/>
      <c r="F721" s="2106"/>
      <c r="G721" s="2106"/>
      <c r="H721" s="2106"/>
      <c r="I721" s="2106"/>
      <c r="J721" s="2106"/>
      <c r="K721" s="2106"/>
      <c r="L721" s="2106"/>
      <c r="M721" s="2106"/>
      <c r="N721" s="2106"/>
      <c r="O721" s="2106"/>
      <c r="P721" s="2106"/>
      <c r="Q721" s="2107"/>
      <c r="S721" s="3540"/>
    </row>
    <row r="722" spans="2:19" ht="18" customHeight="1">
      <c r="B722" s="2086"/>
      <c r="C722" s="2108" t="s">
        <v>854</v>
      </c>
      <c r="D722" s="2109"/>
      <c r="E722" s="2077"/>
      <c r="F722" s="2077"/>
      <c r="G722" s="2077"/>
      <c r="H722" s="2077"/>
      <c r="I722" s="2077"/>
      <c r="J722" s="2077"/>
      <c r="K722" s="2077"/>
      <c r="L722" s="2077"/>
      <c r="M722" s="2077"/>
      <c r="N722" s="2077"/>
      <c r="O722" s="2077"/>
      <c r="P722" s="2077"/>
      <c r="Q722" s="2078"/>
      <c r="S722" s="3540"/>
    </row>
    <row r="723" spans="2:19" ht="19.5" customHeight="1">
      <c r="B723" s="2086"/>
      <c r="C723" s="2110" t="s">
        <v>855</v>
      </c>
      <c r="D723" s="2109"/>
      <c r="E723" s="2077"/>
      <c r="F723" s="2077"/>
      <c r="G723" s="2077"/>
      <c r="H723" s="2077"/>
      <c r="I723" s="2077"/>
      <c r="J723" s="2077"/>
      <c r="K723" s="2077"/>
      <c r="L723" s="2077"/>
      <c r="M723" s="2077"/>
      <c r="N723" s="2077"/>
      <c r="O723" s="2077"/>
      <c r="P723" s="2077"/>
      <c r="Q723" s="2078"/>
      <c r="S723" s="3540"/>
    </row>
    <row r="724" spans="2:19" ht="15.75" customHeight="1">
      <c r="B724" s="2086"/>
      <c r="C724" s="2111" t="s">
        <v>742</v>
      </c>
      <c r="D724" s="2109"/>
      <c r="E724" s="2077"/>
      <c r="F724" s="2077"/>
      <c r="G724" s="2077"/>
      <c r="H724" s="2077"/>
      <c r="I724" s="2077"/>
      <c r="J724" s="2077"/>
      <c r="K724" s="2077"/>
      <c r="L724" s="2077"/>
      <c r="M724" s="2077"/>
      <c r="N724" s="2077"/>
      <c r="O724" s="2077"/>
      <c r="P724" s="2077"/>
      <c r="Q724" s="2078"/>
      <c r="S724" s="3540"/>
    </row>
    <row r="725" spans="2:19" ht="9" customHeight="1">
      <c r="B725" s="2086"/>
      <c r="C725" s="2112"/>
      <c r="D725" s="2109"/>
      <c r="E725" s="2077"/>
      <c r="F725" s="2077"/>
      <c r="G725" s="2077"/>
      <c r="H725" s="2077"/>
      <c r="I725" s="2077"/>
      <c r="J725" s="2077"/>
      <c r="K725" s="2077"/>
      <c r="L725" s="2077"/>
      <c r="M725" s="2077"/>
      <c r="N725" s="2077"/>
      <c r="O725" s="2077"/>
      <c r="P725" s="2077"/>
      <c r="Q725" s="2078"/>
      <c r="S725" s="3540"/>
    </row>
    <row r="726" spans="2:19" ht="18" customHeight="1">
      <c r="B726" s="2086"/>
      <c r="C726" s="2116" t="s">
        <v>856</v>
      </c>
      <c r="D726" s="2109"/>
      <c r="E726" s="2077"/>
      <c r="F726" s="2077"/>
      <c r="G726" s="2077"/>
      <c r="H726" s="2077"/>
      <c r="I726" s="2077"/>
      <c r="J726" s="2077"/>
      <c r="K726" s="2077"/>
      <c r="L726" s="2077"/>
      <c r="M726" s="2077"/>
      <c r="N726" s="2077"/>
      <c r="O726" s="2077"/>
      <c r="P726" s="2077"/>
      <c r="Q726" s="2078"/>
      <c r="S726" s="3540"/>
    </row>
    <row r="727" spans="2:19" ht="6" customHeight="1">
      <c r="B727" s="2086"/>
      <c r="C727" s="2108"/>
      <c r="D727" s="2109"/>
      <c r="E727" s="2077"/>
      <c r="F727" s="2077"/>
      <c r="G727" s="2077"/>
      <c r="H727" s="2077"/>
      <c r="I727" s="2077"/>
      <c r="J727" s="2077"/>
      <c r="K727" s="2077"/>
      <c r="L727" s="2077"/>
      <c r="M727" s="2077"/>
      <c r="N727" s="2077"/>
      <c r="O727" s="2077"/>
      <c r="P727" s="2077"/>
      <c r="Q727" s="2078"/>
      <c r="S727" s="3540"/>
    </row>
    <row r="728" spans="2:19" ht="29.25" customHeight="1">
      <c r="B728" s="2113" t="str">
        <f>IF(ISBLANK(C728)=FALSE,"","w")</f>
        <v>w</v>
      </c>
      <c r="C728" s="3458"/>
      <c r="D728" s="3459"/>
      <c r="E728" s="3459"/>
      <c r="F728" s="3459"/>
      <c r="G728" s="3459"/>
      <c r="H728" s="3459"/>
      <c r="I728" s="3459"/>
      <c r="J728" s="3459"/>
      <c r="K728" s="3459"/>
      <c r="L728" s="3459"/>
      <c r="M728" s="3459"/>
      <c r="N728" s="3459"/>
      <c r="O728" s="3460"/>
      <c r="P728" s="2077"/>
      <c r="Q728" s="2078"/>
      <c r="S728" s="3540"/>
    </row>
    <row r="729" spans="2:19" ht="15" thickBot="1">
      <c r="B729" s="2087"/>
      <c r="C729" s="2114"/>
      <c r="D729" s="2115"/>
      <c r="E729" s="2092"/>
      <c r="F729" s="2092"/>
      <c r="G729" s="2092"/>
      <c r="H729" s="2092"/>
      <c r="I729" s="2092"/>
      <c r="J729" s="2092"/>
      <c r="K729" s="2092"/>
      <c r="L729" s="2092"/>
      <c r="M729" s="2092"/>
      <c r="N729" s="2092"/>
      <c r="O729" s="2092"/>
      <c r="P729" s="2092"/>
      <c r="Q729" s="2093"/>
      <c r="S729" s="3541"/>
    </row>
  </sheetData>
  <sheetProtection algorithmName="SHA-512" hashValue="CNZCahK4oWFq1DskMWDgm0f095Y1idHYtLZfW7yekvjsytarCoc8TzQvnNNQj409dn7+Fp5WK5AYAjxe0AyQLQ==" saltValue="SU/EKLi+ECYf3gZAPKXMtA==" spinCount="100000" sheet="1" objects="1" scenarios="1"/>
  <mergeCells count="811">
    <mergeCell ref="C159:C161"/>
    <mergeCell ref="S718:S729"/>
    <mergeCell ref="C728:O728"/>
    <mergeCell ref="O697:P697"/>
    <mergeCell ref="S697:S699"/>
    <mergeCell ref="C698:E698"/>
    <mergeCell ref="I698:J698"/>
    <mergeCell ref="N698:P698"/>
    <mergeCell ref="C699:E699"/>
    <mergeCell ref="F699:J699"/>
    <mergeCell ref="K699:P699"/>
    <mergeCell ref="I690:J690"/>
    <mergeCell ref="N690:P690"/>
    <mergeCell ref="C691:E691"/>
    <mergeCell ref="K691:P691"/>
    <mergeCell ref="O692:P692"/>
    <mergeCell ref="O700:P700"/>
    <mergeCell ref="S700:S703"/>
    <mergeCell ref="H702:I702"/>
    <mergeCell ref="S707:S717"/>
    <mergeCell ref="C716:O716"/>
    <mergeCell ref="S692:S696"/>
    <mergeCell ref="C693:E693"/>
    <mergeCell ref="I693:J693"/>
    <mergeCell ref="C694:E694"/>
    <mergeCell ref="I694:J694"/>
    <mergeCell ref="N694:P694"/>
    <mergeCell ref="C695:E695"/>
    <mergeCell ref="I695:J695"/>
    <mergeCell ref="N695:P695"/>
    <mergeCell ref="C696:E696"/>
    <mergeCell ref="F696:J696"/>
    <mergeCell ref="K696:P696"/>
    <mergeCell ref="C685:E685"/>
    <mergeCell ref="I685:J685"/>
    <mergeCell ref="N685:P685"/>
    <mergeCell ref="C686:E686"/>
    <mergeCell ref="I686:J686"/>
    <mergeCell ref="N686:P686"/>
    <mergeCell ref="C687:E687"/>
    <mergeCell ref="F687:J687"/>
    <mergeCell ref="K687:P687"/>
    <mergeCell ref="S678:S680"/>
    <mergeCell ref="C679:E679"/>
    <mergeCell ref="I679:J679"/>
    <mergeCell ref="N679:P679"/>
    <mergeCell ref="C680:E680"/>
    <mergeCell ref="F680:J680"/>
    <mergeCell ref="K680:P680"/>
    <mergeCell ref="O688:P688"/>
    <mergeCell ref="S688:S691"/>
    <mergeCell ref="C689:E689"/>
    <mergeCell ref="I689:J689"/>
    <mergeCell ref="N689:P689"/>
    <mergeCell ref="C690:E690"/>
    <mergeCell ref="O681:P681"/>
    <mergeCell ref="S681:S683"/>
    <mergeCell ref="C682:E682"/>
    <mergeCell ref="I682:J682"/>
    <mergeCell ref="N682:P682"/>
    <mergeCell ref="C683:E683"/>
    <mergeCell ref="F683:J683"/>
    <mergeCell ref="K683:P683"/>
    <mergeCell ref="O684:P684"/>
    <mergeCell ref="S684:S687"/>
    <mergeCell ref="F691:J691"/>
    <mergeCell ref="S674:S677"/>
    <mergeCell ref="C675:E675"/>
    <mergeCell ref="I675:J675"/>
    <mergeCell ref="N675:P675"/>
    <mergeCell ref="C676:E676"/>
    <mergeCell ref="I676:J676"/>
    <mergeCell ref="N676:P676"/>
    <mergeCell ref="C677:E677"/>
    <mergeCell ref="F677:J677"/>
    <mergeCell ref="K677:P677"/>
    <mergeCell ref="S645:S665"/>
    <mergeCell ref="C648:M648"/>
    <mergeCell ref="C653:D653"/>
    <mergeCell ref="C654:D654"/>
    <mergeCell ref="F666:J666"/>
    <mergeCell ref="K666:O666"/>
    <mergeCell ref="S666:S673"/>
    <mergeCell ref="C668:E669"/>
    <mergeCell ref="F668:G668"/>
    <mergeCell ref="H668:J668"/>
    <mergeCell ref="C672:E672"/>
    <mergeCell ref="I672:J672"/>
    <mergeCell ref="N672:P672"/>
    <mergeCell ref="C673:E673"/>
    <mergeCell ref="F673:J673"/>
    <mergeCell ref="K673:P673"/>
    <mergeCell ref="K668:L668"/>
    <mergeCell ref="M668:O668"/>
    <mergeCell ref="I669:J669"/>
    <mergeCell ref="N669:P669"/>
    <mergeCell ref="O670:P670"/>
    <mergeCell ref="C671:E671"/>
    <mergeCell ref="I671:J671"/>
    <mergeCell ref="N671:P671"/>
    <mergeCell ref="S638:S641"/>
    <mergeCell ref="H640:I640"/>
    <mergeCell ref="S633:S637"/>
    <mergeCell ref="C634:E634"/>
    <mergeCell ref="I634:J634"/>
    <mergeCell ref="N634:P634"/>
    <mergeCell ref="C635:E635"/>
    <mergeCell ref="I635:J635"/>
    <mergeCell ref="N635:P635"/>
    <mergeCell ref="C636:E636"/>
    <mergeCell ref="I636:J636"/>
    <mergeCell ref="N636:P636"/>
    <mergeCell ref="O633:P633"/>
    <mergeCell ref="C637:E637"/>
    <mergeCell ref="F637:J637"/>
    <mergeCell ref="K637:P637"/>
    <mergeCell ref="S629:S632"/>
    <mergeCell ref="C630:E630"/>
    <mergeCell ref="I630:J630"/>
    <mergeCell ref="N630:P630"/>
    <mergeCell ref="C631:E631"/>
    <mergeCell ref="I631:J631"/>
    <mergeCell ref="N631:P631"/>
    <mergeCell ref="C632:E632"/>
    <mergeCell ref="F632:J632"/>
    <mergeCell ref="K632:P632"/>
    <mergeCell ref="S624:S628"/>
    <mergeCell ref="C625:E625"/>
    <mergeCell ref="I625:J625"/>
    <mergeCell ref="N625:P625"/>
    <mergeCell ref="C626:E626"/>
    <mergeCell ref="I626:J626"/>
    <mergeCell ref="N626:P626"/>
    <mergeCell ref="C627:E627"/>
    <mergeCell ref="I627:J627"/>
    <mergeCell ref="N627:P627"/>
    <mergeCell ref="C628:E628"/>
    <mergeCell ref="F628:J628"/>
    <mergeCell ref="K628:P628"/>
    <mergeCell ref="C615:E615"/>
    <mergeCell ref="F615:J615"/>
    <mergeCell ref="K615:P615"/>
    <mergeCell ref="O616:P616"/>
    <mergeCell ref="S620:S623"/>
    <mergeCell ref="C621:E621"/>
    <mergeCell ref="I621:J621"/>
    <mergeCell ref="N621:P621"/>
    <mergeCell ref="C622:E622"/>
    <mergeCell ref="I622:J622"/>
    <mergeCell ref="N622:P622"/>
    <mergeCell ref="C623:E623"/>
    <mergeCell ref="F623:J623"/>
    <mergeCell ref="K623:P623"/>
    <mergeCell ref="C608:E608"/>
    <mergeCell ref="I608:J608"/>
    <mergeCell ref="N608:P608"/>
    <mergeCell ref="S616:S619"/>
    <mergeCell ref="C617:E617"/>
    <mergeCell ref="I617:J617"/>
    <mergeCell ref="N617:P617"/>
    <mergeCell ref="C618:E618"/>
    <mergeCell ref="C611:E611"/>
    <mergeCell ref="F611:J611"/>
    <mergeCell ref="K611:P611"/>
    <mergeCell ref="O612:P612"/>
    <mergeCell ref="S612:S615"/>
    <mergeCell ref="C613:E613"/>
    <mergeCell ref="I613:J613"/>
    <mergeCell ref="N613:P613"/>
    <mergeCell ref="C614:E614"/>
    <mergeCell ref="I614:J614"/>
    <mergeCell ref="I618:J618"/>
    <mergeCell ref="N618:P618"/>
    <mergeCell ref="C619:E619"/>
    <mergeCell ref="F619:J619"/>
    <mergeCell ref="K619:P619"/>
    <mergeCell ref="N614:P614"/>
    <mergeCell ref="S600:S611"/>
    <mergeCell ref="C602:E603"/>
    <mergeCell ref="F602:G602"/>
    <mergeCell ref="C605:E605"/>
    <mergeCell ref="I605:J605"/>
    <mergeCell ref="N605:P605"/>
    <mergeCell ref="C606:E606"/>
    <mergeCell ref="I606:J606"/>
    <mergeCell ref="N606:P606"/>
    <mergeCell ref="H602:J602"/>
    <mergeCell ref="K602:L602"/>
    <mergeCell ref="M602:O602"/>
    <mergeCell ref="I603:J603"/>
    <mergeCell ref="N603:P603"/>
    <mergeCell ref="O604:P604"/>
    <mergeCell ref="C609:E609"/>
    <mergeCell ref="I609:J609"/>
    <mergeCell ref="N609:P609"/>
    <mergeCell ref="C610:E610"/>
    <mergeCell ref="I610:J610"/>
    <mergeCell ref="N610:P610"/>
    <mergeCell ref="C607:E607"/>
    <mergeCell ref="I607:J607"/>
    <mergeCell ref="N607:P607"/>
    <mergeCell ref="S568:S575"/>
    <mergeCell ref="E570:H570"/>
    <mergeCell ref="J570:P570"/>
    <mergeCell ref="D572:H572"/>
    <mergeCell ref="J572:P572"/>
    <mergeCell ref="H574:I574"/>
    <mergeCell ref="S579:S599"/>
    <mergeCell ref="C582:M582"/>
    <mergeCell ref="C587:D587"/>
    <mergeCell ref="C588:D588"/>
    <mergeCell ref="O577:Q577"/>
    <mergeCell ref="C560:D560"/>
    <mergeCell ref="E560:P560"/>
    <mergeCell ref="S561:S567"/>
    <mergeCell ref="C562:D562"/>
    <mergeCell ref="O562:P562"/>
    <mergeCell ref="C563:D563"/>
    <mergeCell ref="O563:P563"/>
    <mergeCell ref="C564:D564"/>
    <mergeCell ref="O564:P564"/>
    <mergeCell ref="S553:S560"/>
    <mergeCell ref="C554:D554"/>
    <mergeCell ref="O554:P554"/>
    <mergeCell ref="O555:P555"/>
    <mergeCell ref="C556:D556"/>
    <mergeCell ref="O556:P556"/>
    <mergeCell ref="C557:D557"/>
    <mergeCell ref="O557:P557"/>
    <mergeCell ref="O558:P558"/>
    <mergeCell ref="C559:D559"/>
    <mergeCell ref="O565:P565"/>
    <mergeCell ref="C566:D566"/>
    <mergeCell ref="O566:P566"/>
    <mergeCell ref="C567:D567"/>
    <mergeCell ref="E567:P567"/>
    <mergeCell ref="S542:S552"/>
    <mergeCell ref="C544:D545"/>
    <mergeCell ref="E544:N544"/>
    <mergeCell ref="O544:P545"/>
    <mergeCell ref="C547:D547"/>
    <mergeCell ref="O547:P547"/>
    <mergeCell ref="C548:D548"/>
    <mergeCell ref="O548:P548"/>
    <mergeCell ref="C549:D549"/>
    <mergeCell ref="C533:D533"/>
    <mergeCell ref="E533:P533"/>
    <mergeCell ref="O549:P549"/>
    <mergeCell ref="O550:P550"/>
    <mergeCell ref="C551:D551"/>
    <mergeCell ref="O551:P551"/>
    <mergeCell ref="C552:D552"/>
    <mergeCell ref="E552:P552"/>
    <mergeCell ref="C542:F542"/>
    <mergeCell ref="S534:S541"/>
    <mergeCell ref="C535:D535"/>
    <mergeCell ref="O535:P535"/>
    <mergeCell ref="C536:D536"/>
    <mergeCell ref="O536:P536"/>
    <mergeCell ref="C525:D525"/>
    <mergeCell ref="E525:P525"/>
    <mergeCell ref="S526:S533"/>
    <mergeCell ref="C527:D527"/>
    <mergeCell ref="O527:P527"/>
    <mergeCell ref="O528:P528"/>
    <mergeCell ref="C529:D529"/>
    <mergeCell ref="O529:P529"/>
    <mergeCell ref="C530:D530"/>
    <mergeCell ref="O530:P530"/>
    <mergeCell ref="C537:D537"/>
    <mergeCell ref="O537:P537"/>
    <mergeCell ref="O538:P538"/>
    <mergeCell ref="C539:D539"/>
    <mergeCell ref="O539:P539"/>
    <mergeCell ref="C540:D540"/>
    <mergeCell ref="E540:P540"/>
    <mergeCell ref="O531:P531"/>
    <mergeCell ref="C532:D532"/>
    <mergeCell ref="C524:D524"/>
    <mergeCell ref="O524:P524"/>
    <mergeCell ref="S506:S514"/>
    <mergeCell ref="C509:M509"/>
    <mergeCell ref="C515:F515"/>
    <mergeCell ref="S515:S525"/>
    <mergeCell ref="C517:D518"/>
    <mergeCell ref="E517:N517"/>
    <mergeCell ref="O517:P518"/>
    <mergeCell ref="C520:D520"/>
    <mergeCell ref="O520:P520"/>
    <mergeCell ref="C521:D521"/>
    <mergeCell ref="S495:S502"/>
    <mergeCell ref="E497:H497"/>
    <mergeCell ref="J497:P497"/>
    <mergeCell ref="D499:H499"/>
    <mergeCell ref="J499:P499"/>
    <mergeCell ref="H501:I501"/>
    <mergeCell ref="O521:P521"/>
    <mergeCell ref="C522:D522"/>
    <mergeCell ref="O522:P522"/>
    <mergeCell ref="O504:Q504"/>
    <mergeCell ref="S480:S494"/>
    <mergeCell ref="O481:P481"/>
    <mergeCell ref="C482:D482"/>
    <mergeCell ref="O482:P482"/>
    <mergeCell ref="O483:P483"/>
    <mergeCell ref="C484:D484"/>
    <mergeCell ref="O484:P484"/>
    <mergeCell ref="C485:D485"/>
    <mergeCell ref="O485:P485"/>
    <mergeCell ref="C490:D490"/>
    <mergeCell ref="O490:P490"/>
    <mergeCell ref="C491:D491"/>
    <mergeCell ref="O491:P491"/>
    <mergeCell ref="C492:D492"/>
    <mergeCell ref="O492:P492"/>
    <mergeCell ref="C486:D486"/>
    <mergeCell ref="O486:P486"/>
    <mergeCell ref="O487:P487"/>
    <mergeCell ref="C488:D488"/>
    <mergeCell ref="O488:P488"/>
    <mergeCell ref="O489:P489"/>
    <mergeCell ref="C493:D493"/>
    <mergeCell ref="E493:P493"/>
    <mergeCell ref="C494:D494"/>
    <mergeCell ref="S472:S479"/>
    <mergeCell ref="C473:D473"/>
    <mergeCell ref="O473:P473"/>
    <mergeCell ref="C474:D474"/>
    <mergeCell ref="O474:P474"/>
    <mergeCell ref="O475:P475"/>
    <mergeCell ref="C476:D476"/>
    <mergeCell ref="C468:D468"/>
    <mergeCell ref="O468:P468"/>
    <mergeCell ref="C469:D469"/>
    <mergeCell ref="O469:P469"/>
    <mergeCell ref="C470:D470"/>
    <mergeCell ref="O470:P470"/>
    <mergeCell ref="O476:P476"/>
    <mergeCell ref="C477:D477"/>
    <mergeCell ref="O477:P477"/>
    <mergeCell ref="C478:D478"/>
    <mergeCell ref="O478:P478"/>
    <mergeCell ref="C479:D479"/>
    <mergeCell ref="E479:P479"/>
    <mergeCell ref="C471:D471"/>
    <mergeCell ref="E471:P471"/>
    <mergeCell ref="O472:P472"/>
    <mergeCell ref="C465:D465"/>
    <mergeCell ref="O465:P465"/>
    <mergeCell ref="O466:P466"/>
    <mergeCell ref="C467:D467"/>
    <mergeCell ref="O467:P467"/>
    <mergeCell ref="C461:D461"/>
    <mergeCell ref="O461:P461"/>
    <mergeCell ref="C462:D462"/>
    <mergeCell ref="O462:P462"/>
    <mergeCell ref="C463:D463"/>
    <mergeCell ref="O463:P463"/>
    <mergeCell ref="S449:S450"/>
    <mergeCell ref="C452:F452"/>
    <mergeCell ref="S452:S471"/>
    <mergeCell ref="C454:D455"/>
    <mergeCell ref="E454:N454"/>
    <mergeCell ref="O454:P455"/>
    <mergeCell ref="O444:P444"/>
    <mergeCell ref="C445:D445"/>
    <mergeCell ref="O445:P445"/>
    <mergeCell ref="C446:D446"/>
    <mergeCell ref="O446:P446"/>
    <mergeCell ref="C447:D447"/>
    <mergeCell ref="O447:P447"/>
    <mergeCell ref="S435:S448"/>
    <mergeCell ref="O456:P456"/>
    <mergeCell ref="O457:P457"/>
    <mergeCell ref="C458:D458"/>
    <mergeCell ref="O458:P458"/>
    <mergeCell ref="O459:P459"/>
    <mergeCell ref="C460:D460"/>
    <mergeCell ref="O460:P460"/>
    <mergeCell ref="C448:D448"/>
    <mergeCell ref="E448:P448"/>
    <mergeCell ref="C449:D449"/>
    <mergeCell ref="C426:D426"/>
    <mergeCell ref="E426:P426"/>
    <mergeCell ref="O427:P427"/>
    <mergeCell ref="C440:D440"/>
    <mergeCell ref="O440:P440"/>
    <mergeCell ref="C441:D441"/>
    <mergeCell ref="O441:P441"/>
    <mergeCell ref="O442:P442"/>
    <mergeCell ref="C443:D443"/>
    <mergeCell ref="O443:P443"/>
    <mergeCell ref="C434:D434"/>
    <mergeCell ref="E434:P434"/>
    <mergeCell ref="O435:P435"/>
    <mergeCell ref="O436:P436"/>
    <mergeCell ref="C437:D437"/>
    <mergeCell ref="O437:P437"/>
    <mergeCell ref="O438:P438"/>
    <mergeCell ref="C439:D439"/>
    <mergeCell ref="O439:P439"/>
    <mergeCell ref="C415:D415"/>
    <mergeCell ref="O415:P415"/>
    <mergeCell ref="C416:D416"/>
    <mergeCell ref="O416:P416"/>
    <mergeCell ref="S427:S434"/>
    <mergeCell ref="C428:D428"/>
    <mergeCell ref="O428:P428"/>
    <mergeCell ref="O429:P429"/>
    <mergeCell ref="O430:P430"/>
    <mergeCell ref="O421:P421"/>
    <mergeCell ref="C422:D422"/>
    <mergeCell ref="O422:P422"/>
    <mergeCell ref="C423:D423"/>
    <mergeCell ref="O423:P423"/>
    <mergeCell ref="C424:D424"/>
    <mergeCell ref="O424:P424"/>
    <mergeCell ref="C431:D431"/>
    <mergeCell ref="O431:P431"/>
    <mergeCell ref="C432:D432"/>
    <mergeCell ref="O432:P432"/>
    <mergeCell ref="C433:D433"/>
    <mergeCell ref="O433:P433"/>
    <mergeCell ref="C425:D425"/>
    <mergeCell ref="O425:P425"/>
    <mergeCell ref="T409:T410"/>
    <mergeCell ref="U409:AD409"/>
    <mergeCell ref="AE409:AE410"/>
    <mergeCell ref="AF409:AF410"/>
    <mergeCell ref="AG409:AG410"/>
    <mergeCell ref="AH409:AH410"/>
    <mergeCell ref="S384:S406"/>
    <mergeCell ref="C405:G405"/>
    <mergeCell ref="J405:K405"/>
    <mergeCell ref="M405:N405"/>
    <mergeCell ref="C407:F407"/>
    <mergeCell ref="S407:S426"/>
    <mergeCell ref="C409:D410"/>
    <mergeCell ref="E409:N409"/>
    <mergeCell ref="O409:P410"/>
    <mergeCell ref="O411:P411"/>
    <mergeCell ref="C417:D417"/>
    <mergeCell ref="O417:P417"/>
    <mergeCell ref="C418:D418"/>
    <mergeCell ref="O418:P418"/>
    <mergeCell ref="O419:P419"/>
    <mergeCell ref="O420:P420"/>
    <mergeCell ref="O412:P412"/>
    <mergeCell ref="O413:P413"/>
    <mergeCell ref="S367:S373"/>
    <mergeCell ref="E369:H369"/>
    <mergeCell ref="J369:P369"/>
    <mergeCell ref="D371:H371"/>
    <mergeCell ref="J371:P371"/>
    <mergeCell ref="S374:S383"/>
    <mergeCell ref="C377:M377"/>
    <mergeCell ref="S358:S366"/>
    <mergeCell ref="C359:C361"/>
    <mergeCell ref="F359:G359"/>
    <mergeCell ref="M359:N359"/>
    <mergeCell ref="F363:G363"/>
    <mergeCell ref="M363:N363"/>
    <mergeCell ref="G365:H365"/>
    <mergeCell ref="I365:O365"/>
    <mergeCell ref="S326:S333"/>
    <mergeCell ref="E328:H328"/>
    <mergeCell ref="J328:P328"/>
    <mergeCell ref="D330:H330"/>
    <mergeCell ref="J330:P330"/>
    <mergeCell ref="H332:I332"/>
    <mergeCell ref="S337:S347"/>
    <mergeCell ref="C340:M340"/>
    <mergeCell ref="S348:S357"/>
    <mergeCell ref="C349:C352"/>
    <mergeCell ref="F349:G349"/>
    <mergeCell ref="M349:N349"/>
    <mergeCell ref="F353:G353"/>
    <mergeCell ref="M353:N353"/>
    <mergeCell ref="G355:H355"/>
    <mergeCell ref="I355:O355"/>
    <mergeCell ref="O335:Q335"/>
    <mergeCell ref="D315:E315"/>
    <mergeCell ref="F315:H315"/>
    <mergeCell ref="I315:O315"/>
    <mergeCell ref="D316:E316"/>
    <mergeCell ref="F316:H316"/>
    <mergeCell ref="I316:O316"/>
    <mergeCell ref="S308:S325"/>
    <mergeCell ref="D311:E311"/>
    <mergeCell ref="F311:H311"/>
    <mergeCell ref="D312:E312"/>
    <mergeCell ref="F312:H312"/>
    <mergeCell ref="I312:O312"/>
    <mergeCell ref="D313:E313"/>
    <mergeCell ref="F313:H313"/>
    <mergeCell ref="I313:O313"/>
    <mergeCell ref="D314:E314"/>
    <mergeCell ref="F317:H317"/>
    <mergeCell ref="I317:O317"/>
    <mergeCell ref="C319:E320"/>
    <mergeCell ref="F319:O320"/>
    <mergeCell ref="F314:H314"/>
    <mergeCell ref="S294:S307"/>
    <mergeCell ref="C297:M297"/>
    <mergeCell ref="C302:G303"/>
    <mergeCell ref="H302:K303"/>
    <mergeCell ref="L302:O302"/>
    <mergeCell ref="L303:O304"/>
    <mergeCell ref="F305:G305"/>
    <mergeCell ref="H305:O305"/>
    <mergeCell ref="F274:H274"/>
    <mergeCell ref="I274:O274"/>
    <mergeCell ref="C276:E277"/>
    <mergeCell ref="F276:O277"/>
    <mergeCell ref="S283:S290"/>
    <mergeCell ref="E285:H285"/>
    <mergeCell ref="J285:P285"/>
    <mergeCell ref="D287:H287"/>
    <mergeCell ref="J287:P287"/>
    <mergeCell ref="H289:I289"/>
    <mergeCell ref="S264:S282"/>
    <mergeCell ref="D268:E268"/>
    <mergeCell ref="F268:H268"/>
    <mergeCell ref="D269:E269"/>
    <mergeCell ref="F269:H269"/>
    <mergeCell ref="I269:O269"/>
    <mergeCell ref="D272:E272"/>
    <mergeCell ref="F272:H272"/>
    <mergeCell ref="I272:O272"/>
    <mergeCell ref="D273:E273"/>
    <mergeCell ref="F273:H273"/>
    <mergeCell ref="I273:O273"/>
    <mergeCell ref="D229:E229"/>
    <mergeCell ref="I229:J229"/>
    <mergeCell ref="M229:O229"/>
    <mergeCell ref="D270:E270"/>
    <mergeCell ref="F270:H270"/>
    <mergeCell ref="I270:O270"/>
    <mergeCell ref="D271:E271"/>
    <mergeCell ref="L259:O260"/>
    <mergeCell ref="F261:G261"/>
    <mergeCell ref="H261:O261"/>
    <mergeCell ref="F271:H271"/>
    <mergeCell ref="I271:O271"/>
    <mergeCell ref="S230:S246"/>
    <mergeCell ref="C231:E231"/>
    <mergeCell ref="F231:O231"/>
    <mergeCell ref="E241:H241"/>
    <mergeCell ref="J241:P241"/>
    <mergeCell ref="D243:H243"/>
    <mergeCell ref="J243:P243"/>
    <mergeCell ref="S220:S229"/>
    <mergeCell ref="H245:I245"/>
    <mergeCell ref="D227:E227"/>
    <mergeCell ref="I227:J227"/>
    <mergeCell ref="M227:O227"/>
    <mergeCell ref="D228:E228"/>
    <mergeCell ref="I228:J228"/>
    <mergeCell ref="M228:O228"/>
    <mergeCell ref="D225:E225"/>
    <mergeCell ref="I225:J225"/>
    <mergeCell ref="M225:O225"/>
    <mergeCell ref="D226:E226"/>
    <mergeCell ref="I226:J226"/>
    <mergeCell ref="M226:O226"/>
    <mergeCell ref="D202:E202"/>
    <mergeCell ref="F202:G202"/>
    <mergeCell ref="H202:I202"/>
    <mergeCell ref="J202:K202"/>
    <mergeCell ref="D223:E223"/>
    <mergeCell ref="I223:J223"/>
    <mergeCell ref="M223:O223"/>
    <mergeCell ref="D224:E224"/>
    <mergeCell ref="I224:J224"/>
    <mergeCell ref="M224:O224"/>
    <mergeCell ref="D220:E220"/>
    <mergeCell ref="I220:J220"/>
    <mergeCell ref="M220:O220"/>
    <mergeCell ref="D221:E221"/>
    <mergeCell ref="I221:J221"/>
    <mergeCell ref="M221:O221"/>
    <mergeCell ref="D222:E222"/>
    <mergeCell ref="I222:J222"/>
    <mergeCell ref="M222:O222"/>
    <mergeCell ref="D200:E200"/>
    <mergeCell ref="F200:G200"/>
    <mergeCell ref="H200:I200"/>
    <mergeCell ref="J200:K200"/>
    <mergeCell ref="L200:O200"/>
    <mergeCell ref="C212:F212"/>
    <mergeCell ref="S212:S219"/>
    <mergeCell ref="C215:P215"/>
    <mergeCell ref="C216:P216"/>
    <mergeCell ref="D219:E219"/>
    <mergeCell ref="I219:J219"/>
    <mergeCell ref="M219:O219"/>
    <mergeCell ref="D203:E203"/>
    <mergeCell ref="F203:G203"/>
    <mergeCell ref="H203:I203"/>
    <mergeCell ref="J203:K203"/>
    <mergeCell ref="L203:O203"/>
    <mergeCell ref="C205:E205"/>
    <mergeCell ref="F205:O205"/>
    <mergeCell ref="S192:S211"/>
    <mergeCell ref="D201:E201"/>
    <mergeCell ref="F201:G201"/>
    <mergeCell ref="H201:I201"/>
    <mergeCell ref="J201:K201"/>
    <mergeCell ref="I165:J165"/>
    <mergeCell ref="K165:L165"/>
    <mergeCell ref="M165:O165"/>
    <mergeCell ref="D199:E199"/>
    <mergeCell ref="F199:G199"/>
    <mergeCell ref="C192:F192"/>
    <mergeCell ref="C195:P195"/>
    <mergeCell ref="C196:P196"/>
    <mergeCell ref="D198:E198"/>
    <mergeCell ref="F198:G198"/>
    <mergeCell ref="H198:I198"/>
    <mergeCell ref="J198:K198"/>
    <mergeCell ref="H199:I199"/>
    <mergeCell ref="J199:K199"/>
    <mergeCell ref="L199:O199"/>
    <mergeCell ref="S178:S191"/>
    <mergeCell ref="C181:M181"/>
    <mergeCell ref="C186:G187"/>
    <mergeCell ref="H186:K187"/>
    <mergeCell ref="L187:O188"/>
    <mergeCell ref="F189:G189"/>
    <mergeCell ref="H189:O189"/>
    <mergeCell ref="E169:H169"/>
    <mergeCell ref="J169:P169"/>
    <mergeCell ref="D171:H171"/>
    <mergeCell ref="J171:P171"/>
    <mergeCell ref="H173:I173"/>
    <mergeCell ref="O176:Q176"/>
    <mergeCell ref="H153:I153"/>
    <mergeCell ref="J153:O153"/>
    <mergeCell ref="G164:H164"/>
    <mergeCell ref="M163:O163"/>
    <mergeCell ref="D160:E162"/>
    <mergeCell ref="G160:H160"/>
    <mergeCell ref="I160:J160"/>
    <mergeCell ref="K160:L160"/>
    <mergeCell ref="M160:O160"/>
    <mergeCell ref="G161:H161"/>
    <mergeCell ref="I161:J161"/>
    <mergeCell ref="K161:L161"/>
    <mergeCell ref="I164:J164"/>
    <mergeCell ref="K164:L164"/>
    <mergeCell ref="M164:O164"/>
    <mergeCell ref="I159:J159"/>
    <mergeCell ref="G162:H162"/>
    <mergeCell ref="I162:J162"/>
    <mergeCell ref="K162:L162"/>
    <mergeCell ref="D163:E165"/>
    <mergeCell ref="G163:H163"/>
    <mergeCell ref="I163:J163"/>
    <mergeCell ref="K163:L163"/>
    <mergeCell ref="G165:H165"/>
    <mergeCell ref="H132:I132"/>
    <mergeCell ref="J132:O132"/>
    <mergeCell ref="J144:L144"/>
    <mergeCell ref="M144:O144"/>
    <mergeCell ref="E145:O145"/>
    <mergeCell ref="H147:I147"/>
    <mergeCell ref="J147:O147"/>
    <mergeCell ref="H149:I149"/>
    <mergeCell ref="J149:O149"/>
    <mergeCell ref="C118:C124"/>
    <mergeCell ref="D119:G120"/>
    <mergeCell ref="H120:M120"/>
    <mergeCell ref="H121:M121"/>
    <mergeCell ref="F123:G123"/>
    <mergeCell ref="H123:M123"/>
    <mergeCell ref="S104:S116"/>
    <mergeCell ref="J105:L105"/>
    <mergeCell ref="M105:O105"/>
    <mergeCell ref="E106:O106"/>
    <mergeCell ref="H108:I108"/>
    <mergeCell ref="J108:O108"/>
    <mergeCell ref="H110:I110"/>
    <mergeCell ref="J110:O110"/>
    <mergeCell ref="H114:I114"/>
    <mergeCell ref="J114:O114"/>
    <mergeCell ref="C55:D55"/>
    <mergeCell ref="E55:F55"/>
    <mergeCell ref="G55:H57"/>
    <mergeCell ref="I55:O60"/>
    <mergeCell ref="C72:K73"/>
    <mergeCell ref="L72:O72"/>
    <mergeCell ref="M73:O73"/>
    <mergeCell ref="L74:P76"/>
    <mergeCell ref="S95:S103"/>
    <mergeCell ref="J96:L96"/>
    <mergeCell ref="M96:O96"/>
    <mergeCell ref="H98:I99"/>
    <mergeCell ref="H102:I102"/>
    <mergeCell ref="J102:O102"/>
    <mergeCell ref="S86:S94"/>
    <mergeCell ref="J87:L87"/>
    <mergeCell ref="M87:O87"/>
    <mergeCell ref="H89:I90"/>
    <mergeCell ref="H93:I93"/>
    <mergeCell ref="J93:O93"/>
    <mergeCell ref="O64:Q64"/>
    <mergeCell ref="C79:C85"/>
    <mergeCell ref="D80:G81"/>
    <mergeCell ref="H81:M81"/>
    <mergeCell ref="F84:G84"/>
    <mergeCell ref="H84:M84"/>
    <mergeCell ref="C57:D57"/>
    <mergeCell ref="E57:F57"/>
    <mergeCell ref="E58:F58"/>
    <mergeCell ref="E59:F59"/>
    <mergeCell ref="E60:F60"/>
    <mergeCell ref="C69:M69"/>
    <mergeCell ref="C74:D74"/>
    <mergeCell ref="F35:G35"/>
    <mergeCell ref="H35:I35"/>
    <mergeCell ref="J35:K35"/>
    <mergeCell ref="N35:O35"/>
    <mergeCell ref="D39:E39"/>
    <mergeCell ref="F39:G39"/>
    <mergeCell ref="H39:I39"/>
    <mergeCell ref="J39:K39"/>
    <mergeCell ref="N39:O39"/>
    <mergeCell ref="N37:O37"/>
    <mergeCell ref="D38:E38"/>
    <mergeCell ref="F38:G38"/>
    <mergeCell ref="H38:I38"/>
    <mergeCell ref="J38:K38"/>
    <mergeCell ref="D37:E37"/>
    <mergeCell ref="F37:G37"/>
    <mergeCell ref="H37:I37"/>
    <mergeCell ref="J37:K37"/>
    <mergeCell ref="D36:E36"/>
    <mergeCell ref="F36:G36"/>
    <mergeCell ref="H36:I36"/>
    <mergeCell ref="S250:S263"/>
    <mergeCell ref="C253:M253"/>
    <mergeCell ref="C258:G259"/>
    <mergeCell ref="H258:K259"/>
    <mergeCell ref="L258:O258"/>
    <mergeCell ref="H6:I6"/>
    <mergeCell ref="J6:K6"/>
    <mergeCell ref="L6:M6"/>
    <mergeCell ref="N6:O6"/>
    <mergeCell ref="J36:K36"/>
    <mergeCell ref="N36:O36"/>
    <mergeCell ref="S23:S42"/>
    <mergeCell ref="N38:O38"/>
    <mergeCell ref="O21:Q21"/>
    <mergeCell ref="D30:F30"/>
    <mergeCell ref="H30:K30"/>
    <mergeCell ref="M30:O30"/>
    <mergeCell ref="D40:E40"/>
    <mergeCell ref="F40:G40"/>
    <mergeCell ref="H40:I40"/>
    <mergeCell ref="J40:K40"/>
    <mergeCell ref="N40:O40"/>
    <mergeCell ref="C34:C36"/>
    <mergeCell ref="D35:E35"/>
    <mergeCell ref="S2:S3"/>
    <mergeCell ref="S5:S19"/>
    <mergeCell ref="S117:S124"/>
    <mergeCell ref="S134:S142"/>
    <mergeCell ref="M162:O162"/>
    <mergeCell ref="M161:O161"/>
    <mergeCell ref="S143:S155"/>
    <mergeCell ref="S167:S174"/>
    <mergeCell ref="S156:S166"/>
    <mergeCell ref="M3:Q3"/>
    <mergeCell ref="S78:S85"/>
    <mergeCell ref="S66:S77"/>
    <mergeCell ref="S43:S62"/>
    <mergeCell ref="J170:P170"/>
    <mergeCell ref="H82:M82"/>
    <mergeCell ref="J135:L135"/>
    <mergeCell ref="M135:O135"/>
    <mergeCell ref="H137:I138"/>
    <mergeCell ref="H141:I141"/>
    <mergeCell ref="J141:O141"/>
    <mergeCell ref="S125:S133"/>
    <mergeCell ref="J126:L126"/>
    <mergeCell ref="M126:O126"/>
    <mergeCell ref="H128:I129"/>
    <mergeCell ref="O643:Q643"/>
    <mergeCell ref="O705:Q705"/>
    <mergeCell ref="L202:O202"/>
    <mergeCell ref="L201:O201"/>
    <mergeCell ref="O414:P414"/>
    <mergeCell ref="O449:P449"/>
    <mergeCell ref="O464:P464"/>
    <mergeCell ref="O480:P480"/>
    <mergeCell ref="O494:P494"/>
    <mergeCell ref="O523:P523"/>
    <mergeCell ref="O532:P532"/>
    <mergeCell ref="O559:P559"/>
    <mergeCell ref="I314:O314"/>
    <mergeCell ref="O638:P638"/>
    <mergeCell ref="O674:P674"/>
    <mergeCell ref="O678:P678"/>
    <mergeCell ref="N693:P693"/>
    <mergeCell ref="F600:J600"/>
    <mergeCell ref="K600:O600"/>
    <mergeCell ref="O620:P620"/>
    <mergeCell ref="O624:P624"/>
    <mergeCell ref="O629:P629"/>
    <mergeCell ref="O248:Q248"/>
    <mergeCell ref="O292:Q292"/>
  </mergeCells>
  <conditionalFormatting sqref="C716 C728">
    <cfRule type="notContainsBlanks" dxfId="223" priority="19">
      <formula>LEN(TRIM(C716))&gt;0</formula>
    </cfRule>
  </conditionalFormatting>
  <conditionalFormatting sqref="D199:D201 F199:F201 H199:H201 J199:J201">
    <cfRule type="notContainsBlanks" dxfId="221" priority="21">
      <formula>LEN(TRIM(D199))&gt;0</formula>
    </cfRule>
  </conditionalFormatting>
  <conditionalFormatting sqref="E413:N414 E420:N421 E428:N430 E437:N438 E443:N444">
    <cfRule type="notContainsBlanks" dxfId="215" priority="23">
      <formula>LEN(TRIM(E413))&gt;0</formula>
    </cfRule>
  </conditionalFormatting>
  <conditionalFormatting sqref="E458:N459 E465:N466 E473:N475 E482:N483 E488:N489">
    <cfRule type="notContainsBlanks" dxfId="214" priority="22">
      <formula>LEN(TRIM(E458))&gt;0</formula>
    </cfRule>
  </conditionalFormatting>
  <conditionalFormatting sqref="E521:N522 E529:N530 E536:N537 E548:N549 E556:N557 E563:N564">
    <cfRule type="notContainsBlanks" dxfId="213" priority="20">
      <formula>LEN(TRIM(E521))&gt;0</formula>
    </cfRule>
  </conditionalFormatting>
  <conditionalFormatting sqref="F351 H351 K351 M351 O351 F361 H361 K361 M361 O361">
    <cfRule type="notContainsBlanks" dxfId="212" priority="24">
      <formula>LEN(TRIM(F351))&gt;0</formula>
    </cfRule>
  </conditionalFormatting>
  <conditionalFormatting sqref="F605:F610 K605:K610 F613:F614 K613:K614 F617:F618 K617:K618 F621:F622 K621:K622 F625:F627 K625:K627 F630:F631 K630:K631 F634:F636 K634:K636">
    <cfRule type="notContainsBlanks" dxfId="211" priority="17">
      <formula>LEN(TRIM(F605))&gt;0</formula>
    </cfRule>
  </conditionalFormatting>
  <conditionalFormatting sqref="F671:F672 K671:K672 F675:F676 K675:K676 F679 K679 F682 K682 F685:F686 K685:K686 F689:F690 K689:K690 F693:F695 K693:K695 F698 K698">
    <cfRule type="notContainsBlanks" dxfId="210" priority="18">
      <formula>LEN(TRIM(F671))&gt;0</formula>
    </cfRule>
  </conditionalFormatting>
  <conditionalFormatting sqref="G89 J89:N89 G91">
    <cfRule type="expression" dxfId="209" priority="30">
      <formula>OR($O$81=1,$O$81=3)</formula>
    </cfRule>
  </conditionalFormatting>
  <conditionalFormatting sqref="G98 J98:N98 G100">
    <cfRule type="expression" dxfId="208" priority="29">
      <formula>OR($O$81=1,$O$81=2)</formula>
    </cfRule>
  </conditionalFormatting>
  <conditionalFormatting sqref="G128 J128:N128 G130">
    <cfRule type="expression" dxfId="207" priority="28">
      <formula>OR($O$120=1,$O$120=3)</formula>
    </cfRule>
  </conditionalFormatting>
  <conditionalFormatting sqref="G137 J137:N137 G139">
    <cfRule type="expression" dxfId="206" priority="27">
      <formula>OR($O$120=1,$O$120=2)</formula>
    </cfRule>
  </conditionalFormatting>
  <conditionalFormatting sqref="G157">
    <cfRule type="expression" dxfId="205" priority="1">
      <formula>$C$159="Il n'est pas nécessaire de remplir cette section pour les Régies."</formula>
    </cfRule>
  </conditionalFormatting>
  <conditionalFormatting sqref="H186 D220:J222 H258 F269:H273 H302 F312:H316">
    <cfRule type="notContainsBlanks" dxfId="204" priority="25">
      <formula>LEN(TRIM(D186))&gt;0</formula>
    </cfRule>
  </conditionalFormatting>
  <conditionalFormatting sqref="H120:M120 G128 J128:N128 G130 G137 J137:N137 G139 G157 M73 H81:M81 G89 J89:N89 G91 G98 J98:N98 G100">
    <cfRule type="notContainsBlanks" dxfId="203" priority="26">
      <formula>LEN(TRIM(G73))&gt;0</formula>
    </cfRule>
  </conditionalFormatting>
  <conditionalFormatting sqref="I169 I171">
    <cfRule type="containsText" dxfId="201" priority="4" operator="containsText" text="Complété">
      <formula>NOT(ISERROR(SEARCH("Complété",I169)))</formula>
    </cfRule>
    <cfRule type="containsText" dxfId="200" priority="5" operator="containsText" text="À compléter">
      <formula>NOT(ISERROR(SEARCH("À compléter",I169)))</formula>
    </cfRule>
  </conditionalFormatting>
  <conditionalFormatting sqref="I241 I243">
    <cfRule type="containsText" dxfId="199" priority="6" operator="containsText" text="Complété">
      <formula>NOT(ISERROR(SEARCH("Complété",I241)))</formula>
    </cfRule>
    <cfRule type="containsText" dxfId="198" priority="7" operator="containsText" text="À compléter">
      <formula>NOT(ISERROR(SEARCH("À compléter",I241)))</formula>
    </cfRule>
  </conditionalFormatting>
  <conditionalFormatting sqref="I285 I287">
    <cfRule type="containsText" dxfId="197" priority="8" operator="containsText" text="Complété">
      <formula>NOT(ISERROR(SEARCH("Complété",I285)))</formula>
    </cfRule>
    <cfRule type="containsText" dxfId="196" priority="9" operator="containsText" text="À compléter">
      <formula>NOT(ISERROR(SEARCH("À compléter",I285)))</formula>
    </cfRule>
  </conditionalFormatting>
  <conditionalFormatting sqref="I328 I330">
    <cfRule type="containsText" dxfId="195" priority="10" operator="containsText" text="Complété">
      <formula>NOT(ISERROR(SEARCH("Complété",I328)))</formula>
    </cfRule>
    <cfRule type="containsText" dxfId="194" priority="11" operator="containsText" text="À compléter">
      <formula>NOT(ISERROR(SEARCH("À compléter",I328)))</formula>
    </cfRule>
  </conditionalFormatting>
  <conditionalFormatting sqref="I369 I371">
    <cfRule type="containsText" dxfId="193" priority="12" operator="containsText" text="Complété">
      <formula>NOT(ISERROR(SEARCH("Complété",I369)))</formula>
    </cfRule>
    <cfRule type="containsText" dxfId="192" priority="13" operator="containsText" text="À compléter">
      <formula>NOT(ISERROR(SEARCH("À compléter",I369)))</formula>
    </cfRule>
  </conditionalFormatting>
  <conditionalFormatting sqref="I497 I499">
    <cfRule type="containsText" dxfId="191" priority="15" operator="containsText" text="À compléter">
      <formula>NOT(ISERROR(SEARCH("À compléter",I497)))</formula>
    </cfRule>
    <cfRule type="containsText" dxfId="190" priority="14" operator="containsText" text="Complété">
      <formula>NOT(ISERROR(SEARCH("Complété",I497)))</formula>
    </cfRule>
  </conditionalFormatting>
  <conditionalFormatting sqref="I570 I572">
    <cfRule type="containsText" dxfId="189" priority="33" operator="containsText" text="Complété">
      <formula>NOT(ISERROR(SEARCH("Complété",I570)))</formula>
    </cfRule>
    <cfRule type="containsText" dxfId="188" priority="34" operator="containsText" text="À compléter">
      <formula>NOT(ISERROR(SEARCH("À compléter",I570)))</formula>
    </cfRule>
  </conditionalFormatting>
  <conditionalFormatting sqref="O24 O45 O67 O179 O251 O295 O338 O375 O507 O580 O646">
    <cfRule type="containsText" dxfId="187" priority="35" operator="containsText" text="Complété">
      <formula>NOT(ISERROR(SEARCH("Complété",O24)))</formula>
    </cfRule>
    <cfRule type="containsText" dxfId="186" priority="36" operator="containsText" text="À compléter">
      <formula>NOT(ISERROR(SEARCH("À compléter",O24)))</formula>
    </cfRule>
  </conditionalFormatting>
  <dataValidations count="1">
    <dataValidation allowBlank="1" showInputMessage="1" showErrorMessage="1" promptTitle="Explications: " prompt="Indiquer le total des coûts additionnels à planifier sur la ligne rose. Ce coût peut être un montant global ou l'addition des coûts inscrits sur les lignes jaunes facultatives, qui permettent de détailler ces coûts additionnels (plus de détails dans AIDE)" sqref="D414 D438 D421 D430 D444 D459 D466 D475 D483 D489" xr:uid="{00000000-0002-0000-0C00-000000000000}"/>
  </dataValidations>
  <hyperlinks>
    <hyperlink ref="C16" location="'FORMULAIRE PGA Eaux pluviales'!A577" display="Partie 7A" xr:uid="{00000000-0004-0000-0C00-000000000000}"/>
    <hyperlink ref="C8" location="'FORMULAIRE PGA Eaux pluviales'!A21" display="Partie 1" xr:uid="{00000000-0004-0000-0C00-000001000000}"/>
    <hyperlink ref="C9" location="'FORMULAIRE PGA Eaux pluviales'!A64" display="Partie 2" xr:uid="{00000000-0004-0000-0C00-000002000000}"/>
    <hyperlink ref="C10" location="'FORMULAIRE PGA Eaux pluviales'!A176" display="Partie 3" xr:uid="{00000000-0004-0000-0C00-000003000000}"/>
    <hyperlink ref="C12" location="'FORMULAIRE PGA Eaux pluviales'!A292" display="Partie 4B" xr:uid="{00000000-0004-0000-0C00-000004000000}"/>
    <hyperlink ref="H173:I173" location="'SOMMAIRE PGA Eaux pluviales'!B8" display="Voir le sommaire du portrait des actifs" xr:uid="{00000000-0004-0000-0C00-000005000000}"/>
    <hyperlink ref="H245:I245" location="'SOMMAIRE PGA Eaux pluviales'!B36" display="Voir le sommaire niveaux de service" xr:uid="{00000000-0004-0000-0C00-000006000000}"/>
    <hyperlink ref="C13" location="'FORMULAIRE PGA Eaux pluviales'!A335" display="Partie 5A" xr:uid="{00000000-0004-0000-0C00-000007000000}"/>
    <hyperlink ref="C15" location="'FORMULAIRE PGA Eaux pluviales'!A504" display="Partie 6" xr:uid="{00000000-0004-0000-0C00-000008000000}"/>
    <hyperlink ref="C11" location="'FORMULAIRE PGA Eaux pluviales'!A248" display="Partie 4A" xr:uid="{00000000-0004-0000-0C00-000009000000}"/>
    <hyperlink ref="C14" location="'FORMULAIRE PGA Eaux pluviales'!A375" display="Partie 5B" xr:uid="{00000000-0004-0000-0C00-00000A000000}"/>
    <hyperlink ref="C17" location="'FORMULAIRE PGA Eaux pluviales'!A643" display="Partie 7B" xr:uid="{00000000-0004-0000-0C00-00000B000000}"/>
    <hyperlink ref="H332:I332" location="'SOMMAIRE PGA Eaux pluviales'!AT54" display="Voir le sommaire de la demande à venir" xr:uid="{00000000-0004-0000-0C00-00000C000000}"/>
    <hyperlink ref="H289:I289" location="'SOMMAIRE PGA Eaux pluviales'!B54" display="Voir le sommaire pour les risques" xr:uid="{00000000-0004-0000-0C00-00000D000000}"/>
    <hyperlink ref="H501:I501" location="'SOMMAIRE PGA Eaux pluviales'!B78" display="Voir le sommaire des prévisions" xr:uid="{00000000-0004-0000-0C00-00000E000000}"/>
    <hyperlink ref="H574:I574" location="'SOMMAIRE PGA Eaux pluviales'!B119" display="Voir le sommaire du financement" xr:uid="{00000000-0004-0000-0C00-00000F000000}"/>
    <hyperlink ref="H640:I640" location="'SOMMAIRE PGA Eaux pluviales'!AT135" display="Voir le sommaire du niveau de confiance" xr:uid="{00000000-0004-0000-0C00-000010000000}"/>
    <hyperlink ref="H702:I702" location="'SOMMAIRE PGA Eaux pluviales'!B135" display="Voir le sommaire du niveau de progression" xr:uid="{00000000-0004-0000-0C00-000011000000}"/>
    <hyperlink ref="J169:P169" location="'FORMULAIRE PGA Eaux pluviales'!A604" display="Aller à la partie 7 pour déterminer maintenant le niveau de confiance de votre organisation pour cette partie du PGA" xr:uid="{00000000-0004-0000-0C00-000012000000}"/>
    <hyperlink ref="J171:P171" location="'FORMULAIRE PGA Eaux pluviales'!A670" display="Aller à la partie 7 pour déterminer maintenant le niveau de progression de votre organisation pour cette partie du PGA" xr:uid="{00000000-0004-0000-0C00-000013000000}"/>
    <hyperlink ref="J241:P241" location="'FORMULAIRE PGA Eaux pluviales'!A612" display="Aller à la partie 7 pour déterminer maintenant le niveau de confiance de votre organisation pour cette partie du PGA" xr:uid="{00000000-0004-0000-0C00-000014000000}"/>
    <hyperlink ref="J243:P243" location="'FORMULAIRE PGA Eaux pluviales'!A674" display="Aller à la partie 7 pour déterminer maintenant le niveau de progression de votre organisation pour cette partie du PGA" xr:uid="{00000000-0004-0000-0C00-000015000000}"/>
    <hyperlink ref="J328:P328" location="'FORMULAIRE PGA Eaux pluviales'!A620" display="Aller à la partie 7 pour déterminer maintenant le niveau de confiance de votre organisation pour cette partie du PGA" xr:uid="{00000000-0004-0000-0C00-000016000000}"/>
    <hyperlink ref="J330:P330" location="'FORMULAIRE PGA Eaux pluviales'!A681" display="Aller à la partie 7 pour déterminer maintenant le niveau de progression de votre organisation pour cette partie du PGA" xr:uid="{00000000-0004-0000-0C00-000017000000}"/>
    <hyperlink ref="J285:P285" location="'FORMULAIRE PGA Eaux pluviales'!A616" display="Aller à la partie 7 pour déterminer maintenant le niveau de confiance de votre organisation pour cette partie du PGA" xr:uid="{00000000-0004-0000-0C00-000018000000}"/>
    <hyperlink ref="J369:P369" location="'FORMULAIRE PGA Eaux pluviales'!A624" display="Aller à la partie 7 pour déterminer maintenant le niveau de confiance de votre organisation pour cette partie du PGA" xr:uid="{00000000-0004-0000-0C00-00001A000000}"/>
    <hyperlink ref="J371:P371" location="'FORMULAIRE PGA Eaux pluviales'!A684" display="Aller à la partie 7 pour déterminer maintenant le niveau de progression de votre organisation pour cette partie du PGA" xr:uid="{00000000-0004-0000-0C00-00001B000000}"/>
    <hyperlink ref="J499:P499" location="'FORMULAIRE PGA Eaux pluviales'!A684" display="Aller à la partie 7 pour déterminer maintenant le niveau de progression de votre organisation pour cette partie du PGA" xr:uid="{00000000-0004-0000-0C00-00001D000000}"/>
    <hyperlink ref="J570:P570" location="'FORMULAIRE PGA Eaux pluviales'!A633" display="Aller à la partie 7 pour déterminer maintenant le niveau de confiance de votre organisation pour cette partie du PGA" xr:uid="{00000000-0004-0000-0C00-00001E000000}"/>
    <hyperlink ref="J572:P572" location="'FORMULAIRE PGA Eaux pluviales'!A692" display="Aller à la partie 7 pour déterminer maintenant le niveau de progression de votre organisation pour cette partie du PGA" xr:uid="{00000000-0004-0000-0C00-00001F000000}"/>
    <hyperlink ref="C612" location="'FORMULAIRE PGA Eaux pluviales'!A176" display="NIVEAUX DE SERVICE" xr:uid="{00000000-0004-0000-0C00-000020000000}"/>
    <hyperlink ref="C620" location="'FORMULAIRE PGA Eaux pluviales'!A292" display="DEMANDE À VENIR" xr:uid="{00000000-0004-0000-0C00-000021000000}"/>
    <hyperlink ref="C616" location="'FORMULAIRE PGA Eaux pluviales'!A248" display="GESTION DES RISQUES" xr:uid="{00000000-0004-0000-0C00-000022000000}"/>
    <hyperlink ref="C624" location="'FORMULAIRE PGA Eaux pluviales'!A375" display="CYCLE DE VIE - IMMOBILISATIONS" xr:uid="{00000000-0004-0000-0C00-000023000000}"/>
    <hyperlink ref="C629" location="'FORMULAIRE PGA Eaux pluviales'!A375" display="CYCLE DE VIE - FONCTIONNEMENT" xr:uid="{00000000-0004-0000-0C00-000024000000}"/>
    <hyperlink ref="C633" location="'FORMULAIRE PGA Eaux pluviales'!A504" display="RÉSUMÉ FINANCIER" xr:uid="{00000000-0004-0000-0C00-000025000000}"/>
    <hyperlink ref="C670" location="'FORMULAIRE PGA Eaux pluviales '!A64" display="PORTRAIT DES ACTIFS" xr:uid="{00000000-0004-0000-0C00-000026000000}"/>
    <hyperlink ref="C674" location="'FORMULAIRE PGA Eaux pluviales'!A176" display="NIVEAUX DE SERVICE" xr:uid="{00000000-0004-0000-0C00-000027000000}"/>
    <hyperlink ref="C681" location="'FORMULAIRE PGA Eaux pluviales'!A292" display="DEMANDE À VENIR" xr:uid="{00000000-0004-0000-0C00-000028000000}"/>
    <hyperlink ref="C678" location="'FORMULAIRE PGA Eaux pluviales'!A248" display="GESTION DES RISQUES" xr:uid="{00000000-0004-0000-0C00-000029000000}"/>
    <hyperlink ref="C684" location="'FORMULAIRE PGA Eaux pluviales '!A375" display="CYCLE DE VIE - IMMOBILISATIONS" xr:uid="{00000000-0004-0000-0C00-00002A000000}"/>
    <hyperlink ref="C688" location="'FORMULAIRE PGA Eaux pluviales '!A375" display="CYCLE DE VIE - FONCTIONNEMENT" xr:uid="{00000000-0004-0000-0C00-00002B000000}"/>
    <hyperlink ref="C692" location="'FORMULAIRE PGA Eaux pluviales'!A504" display="RÉSUMÉ FINANCIER" xr:uid="{00000000-0004-0000-0C00-00002C000000}"/>
    <hyperlink ref="C697" location="'FORMULAIRE PGA Eaux pluviales'!A577" display="AMÉLIORATION ET SUIVI" xr:uid="{00000000-0004-0000-0C00-00002D000000}"/>
    <hyperlink ref="C18" location="'FORMULAIRE PGA Eaux pluviales'!A705" display="Partie 8" xr:uid="{00000000-0004-0000-0C00-00002E000000}"/>
    <hyperlink ref="O21:Q21" location="AIDE!A21" display="AIDE" xr:uid="{00000000-0004-0000-0C00-000030000000}"/>
    <hyperlink ref="O64:Q64" location="AIDE!A47" display="AIDE" xr:uid="{00000000-0004-0000-0C00-000031000000}"/>
    <hyperlink ref="O176:Q176" location="AIDE!A87" display="AIDE" xr:uid="{00000000-0004-0000-0C00-000032000000}"/>
    <hyperlink ref="O248:Q248" location="AIDE!A137" display="AIDE" xr:uid="{00000000-0004-0000-0C00-000033000000}"/>
    <hyperlink ref="O292:Q292" location="AIDE!A137" display="AIDE" xr:uid="{00000000-0004-0000-0C00-000034000000}"/>
    <hyperlink ref="O335:Q335" location="AIDE!A173" display="AIDE" xr:uid="{00000000-0004-0000-0C00-000035000000}"/>
    <hyperlink ref="O504:Q504" location="AIDE!A216" display="AIDE" xr:uid="{00000000-0004-0000-0C00-000036000000}"/>
    <hyperlink ref="O577:Q577" location="AIDE!A236" display="AIDE" xr:uid="{00000000-0004-0000-0C00-000037000000}"/>
    <hyperlink ref="O643:Q643" location="AIDE!A236" display="AIDE" xr:uid="{00000000-0004-0000-0C00-000038000000}"/>
    <hyperlink ref="O705:Q705" location="AIDE!A267" display="AIDE" xr:uid="{00000000-0004-0000-0C00-000039000000}"/>
    <hyperlink ref="C604" location="'FORMULAIRE PGA Eaux pluviales'!A64" display="PORTRAIT DES ACTIFS" xr:uid="{12459AB2-53C3-49CC-A6B5-1FBA1DEC2C56}"/>
    <hyperlink ref="J497:P497" location="'FORMULAIRE PGA Eaux pluviales'!A624" display="Aller à la partie 7 pour déterminer maintenant le niveau de confiance de votre organisation pour cette partie du PGA" xr:uid="{00000000-0004-0000-0C00-00001C000000}"/>
    <hyperlink ref="J287:P287" location="'FORMULAIRE PGA Eaux pluviales'!A678" display="Aller à la partie 7 pour déterminer maintenant le niveau de progression de votre organisation pour cette partie du PGA" xr:uid="{00000000-0004-0000-0C00-000019000000}"/>
  </hyperlinks>
  <pageMargins left="0.82677165354330717" right="0.62992125984251968" top="0.47244094488188981" bottom="0.47244094488188981" header="0.31496062992125984" footer="0.31496062992125984"/>
  <pageSetup scale="54" fitToHeight="0" orientation="landscape" r:id="rId1"/>
  <headerFooter>
    <oddFooter>&amp;L&amp;K08-042Version 1.0    © CERIU, 2023&amp;R&amp;K08-040FORMULAIRE PGA Eaux pluviales
Page &amp;P / &amp;N</oddFooter>
  </headerFooter>
  <rowBreaks count="17" manualBreakCount="17">
    <brk id="63" max="16383" man="1"/>
    <brk id="116" max="16383" man="1"/>
    <brk id="175" max="16383" man="1"/>
    <brk id="211" max="16383" man="1"/>
    <brk id="247" max="16383" man="1"/>
    <brk id="291" max="16383" man="1"/>
    <brk id="334" max="16383" man="1"/>
    <brk id="373" max="16383" man="1"/>
    <brk id="405" max="16383" man="1"/>
    <brk id="450" max="17" man="1"/>
    <brk id="503" max="16383" man="1"/>
    <brk id="541" max="16383" man="1"/>
    <brk id="576" max="16383" man="1"/>
    <brk id="598" max="16383" man="1"/>
    <brk id="642" max="16383" man="1"/>
    <brk id="664" max="16383" man="1"/>
    <brk id="704" max="16383" man="1"/>
  </rowBreaks>
  <colBreaks count="1" manualBreakCount="1">
    <brk id="1" max="729" man="1"/>
  </colBreaks>
  <extLst>
    <ext xmlns:x14="http://schemas.microsoft.com/office/spreadsheetml/2009/9/main" uri="{78C0D931-6437-407d-A8EE-F0AAD7539E65}">
      <x14:conditionalFormattings>
        <x14:conditionalFormatting xmlns:xm="http://schemas.microsoft.com/office/excel/2006/main">
          <x14:cfRule type="notContainsBlanks" priority="31" id="{B2200959-0782-4618-8052-9291E48EDF6C}">
            <xm:f>LEN(TRIM(IDENTIFICATION!D31))&gt;0</xm:f>
            <x14:dxf>
              <fill>
                <patternFill>
                  <bgColor theme="9" tint="0.59996337778862885"/>
                </patternFill>
              </fill>
            </x14:dxf>
          </x14:cfRule>
          <xm:sqref>D30 M30</xm:sqref>
        </x14:conditionalFormatting>
        <x14:conditionalFormatting xmlns:xm="http://schemas.microsoft.com/office/excel/2006/main">
          <x14:cfRule type="notContainsBlanks" priority="37" id="{41B5A3E2-6D4A-487B-8AD0-EDD7C870165B}">
            <xm:f>LEN(TRIM(IDENTIFICATION!E49))&gt;0</xm:f>
            <x14:dxf>
              <fill>
                <patternFill>
                  <bgColor theme="9" tint="0.59996337778862885"/>
                </patternFill>
              </fill>
            </x14:dxf>
          </x14:cfRule>
          <xm:sqref>E51 E53</xm:sqref>
        </x14:conditionalFormatting>
        <x14:conditionalFormatting xmlns:xm="http://schemas.microsoft.com/office/excel/2006/main">
          <x14:cfRule type="notContainsBlanks" priority="3808" id="{0D246F80-DB56-4636-A817-C4A0AEF4AEC0}">
            <xm:f>LEN(TRIM(IDENTIFICATION!F55))&gt;0</xm:f>
            <x14:dxf>
              <fill>
                <patternFill>
                  <bgColor theme="9" tint="0.59996337778862885"/>
                </patternFill>
              </fill>
            </x14:dxf>
          </x14:cfRule>
          <xm:sqref>E55</xm:sqref>
        </x14:conditionalFormatting>
        <x14:conditionalFormatting xmlns:xm="http://schemas.microsoft.com/office/excel/2006/main">
          <x14:cfRule type="notContainsBlanks" priority="3809" id="{0D246F80-DB56-4636-A817-C4A0AEF4AEC0}">
            <xm:f>LEN(TRIM(IDENTIFICATION!F59))&gt;0</xm:f>
            <x14:dxf>
              <fill>
                <patternFill>
                  <bgColor theme="9" tint="0.59996337778862885"/>
                </patternFill>
              </fill>
            </x14:dxf>
          </x14:cfRule>
          <xm:sqref>E57</xm:sqref>
        </x14:conditionalFormatting>
        <x14:conditionalFormatting xmlns:xm="http://schemas.microsoft.com/office/excel/2006/main">
          <x14:cfRule type="notContainsBlanks" priority="4151" id="{0D246F80-DB56-4636-A817-C4A0AEF4AEC0}">
            <xm:f>LEN(TRIM(IDENTIFICATION!F67))&gt;0</xm:f>
            <x14:dxf>
              <fill>
                <patternFill>
                  <bgColor theme="9" tint="0.59996337778862885"/>
                </patternFill>
              </fill>
            </x14:dxf>
          </x14:cfRule>
          <xm:sqref>E58</xm:sqref>
        </x14:conditionalFormatting>
        <x14:conditionalFormatting xmlns:xm="http://schemas.microsoft.com/office/excel/2006/main">
          <x14:cfRule type="notContainsBlanks" priority="3132" id="{0D246F80-DB56-4636-A817-C4A0AEF4AEC0}">
            <xm:f>LEN(TRIM(IDENTIFICATION!F69))&gt;0</xm:f>
            <x14:dxf>
              <fill>
                <patternFill>
                  <bgColor theme="9" tint="0.59996337778862885"/>
                </patternFill>
              </fill>
            </x14:dxf>
          </x14:cfRule>
          <xm:sqref>E59:E60</xm:sqref>
        </x14:conditionalFormatting>
        <x14:conditionalFormatting xmlns:xm="http://schemas.microsoft.com/office/excel/2006/main">
          <x14:cfRule type="expression" priority="3" id="{DE0C8919-AF14-4F4F-A513-3F984AB13A22}">
            <xm:f>$M$73='MENU DÉROULANT'!$C$66</xm:f>
            <x14:dxf>
              <fill>
                <patternFill patternType="lightUp">
                  <fgColor rgb="FF70AD47"/>
                  <bgColor rgb="FFC6E0B4"/>
                </patternFill>
              </fill>
            </x14:dxf>
          </x14:cfRule>
          <xm:sqref>H120:M120 G128 J128:N128 G130 G137 J137:N137 G139</xm:sqref>
        </x14:conditionalFormatting>
      </x14:conditionalFormattings>
    </ext>
    <ext xmlns:x14="http://schemas.microsoft.com/office/spreadsheetml/2009/9/main" uri="{CCE6A557-97BC-4b89-ADB6-D9C93CAAB3DF}">
      <x14:dataValidations xmlns:xm="http://schemas.microsoft.com/office/excel/2006/main" count="20">
        <x14:dataValidation type="list" allowBlank="1" showInputMessage="1" showErrorMessage="1" xr:uid="{00000000-0002-0000-0C00-000001000000}">
          <x14:formula1>
            <xm:f>'MENU DÉROULANT'!$D$113:$D$117</xm:f>
          </x14:formula1>
          <xm:sqref>F613:F614 K634:K636 F634:F636 K630:K631 K625:K627 F630:F631 F625:F627 K621:K622 F621:F622 K617:K618 F617:F618 K613:K614</xm:sqref>
        </x14:dataValidation>
        <x14:dataValidation type="list" allowBlank="1" showInputMessage="1" showErrorMessage="1" xr:uid="{00000000-0002-0000-0C00-000002000000}">
          <x14:formula1>
            <xm:f>'MENU DÉROULANT'!$E$113:$E$118</xm:f>
          </x14:formula1>
          <xm:sqref>F671:F672 K671:K672</xm:sqref>
        </x14:dataValidation>
        <x14:dataValidation type="list" allowBlank="1" showInputMessage="1" showErrorMessage="1" xr:uid="{00000000-0002-0000-0C00-000003000000}">
          <x14:formula1>
            <xm:f>'MENU DÉROULANT'!$E$76:$E$79</xm:f>
          </x14:formula1>
          <xm:sqref>H220:H229</xm:sqref>
        </x14:dataValidation>
        <x14:dataValidation type="list" allowBlank="1" showInputMessage="1" showErrorMessage="1" xr:uid="{00000000-0002-0000-0C00-000004000000}">
          <x14:formula1>
            <xm:f>'MENU DÉROULANT'!$C$88:$C$91</xm:f>
          </x14:formula1>
          <xm:sqref>F269:H274</xm:sqref>
        </x14:dataValidation>
        <x14:dataValidation type="list" allowBlank="1" showInputMessage="1" showErrorMessage="1" xr:uid="{00000000-0002-0000-0C00-000005000000}">
          <x14:formula1>
            <xm:f>'MENU DÉROULANT'!$C$113:$C$116</xm:f>
          </x14:formula1>
          <xm:sqref>H605:H610 M698 H698 M693:M695 H693:H695 M689:M690 H689:H690 M685:M686 H685:H686 M682 H682 M679 H679 M675:M676 H675:H676 M671:M672 H671:H672 M634:M636 H634:H636 M630:M631 H630:H631 M625:M627 H625:H627 M621:M622 H621:H622 M617:M618 H617:H618 M613:M614 H613:H614 M605:M610</xm:sqref>
        </x14:dataValidation>
        <x14:dataValidation type="list" allowBlank="1" showInputMessage="1" showErrorMessage="1" xr:uid="{00000000-0002-0000-0C00-000006000000}">
          <x14:formula1>
            <xm:f>'MENU DÉROULANT'!$F$76:$F$79</xm:f>
          </x14:formula1>
          <xm:sqref>I220:J229</xm:sqref>
        </x14:dataValidation>
        <x14:dataValidation type="list" allowBlank="1" showInputMessage="1" showErrorMessage="1" xr:uid="{00000000-0002-0000-0C00-000007000000}">
          <x14:formula1>
            <xm:f>'MENU DÉROULANT'!$C$76:$C$80</xm:f>
          </x14:formula1>
          <xm:sqref>F220:F229</xm:sqref>
        </x14:dataValidation>
        <x14:dataValidation type="list" allowBlank="1" showInputMessage="1" showErrorMessage="1" xr:uid="{00000000-0002-0000-0C00-000008000000}">
          <x14:formula1>
            <xm:f>'MENU DÉROULANT'!$D$76:$D$77</xm:f>
          </x14:formula1>
          <xm:sqref>G220:G229</xm:sqref>
        </x14:dataValidation>
        <x14:dataValidation type="list" allowBlank="1" showInputMessage="1" showErrorMessage="1" xr:uid="{00000000-0002-0000-0C00-000009000000}">
          <x14:formula1>
            <xm:f>'MENU DÉROULANT'!$C$63:$C$64</xm:f>
          </x14:formula1>
          <xm:sqref>G157</xm:sqref>
        </x14:dataValidation>
        <x14:dataValidation type="list" allowBlank="1" showInputMessage="1" showErrorMessage="1" xr:uid="{00000000-0002-0000-0C00-00000A000000}">
          <x14:formula1>
            <xm:f>'MENU DÉROULANT'!$D$113:$D$118</xm:f>
          </x14:formula1>
          <xm:sqref>F605:F610 K605:K610</xm:sqref>
        </x14:dataValidation>
        <x14:dataValidation type="list" allowBlank="1" showInputMessage="1" showErrorMessage="1" xr:uid="{00000000-0002-0000-0C00-00000B000000}">
          <x14:formula1>
            <xm:f>'MENU DÉROULANT'!$F$57:$F$61</xm:f>
          </x14:formula1>
          <xm:sqref>H120:M120</xm:sqref>
        </x14:dataValidation>
        <x14:dataValidation type="list" allowBlank="1" showInputMessage="1" showErrorMessage="1" xr:uid="{00000000-0002-0000-0C00-00000C000000}">
          <x14:formula1>
            <xm:f>'MENU DÉROULANT'!$C$71:$C$73</xm:f>
          </x14:formula1>
          <xm:sqref>H186:K187</xm:sqref>
        </x14:dataValidation>
        <x14:dataValidation type="list" allowBlank="1" showInputMessage="1" showErrorMessage="1" xr:uid="{00000000-0002-0000-0C00-00000D000000}">
          <x14:formula1>
            <xm:f>'MENU DÉROULANT'!$C$84:$C$86</xm:f>
          </x14:formula1>
          <xm:sqref>H258:K259</xm:sqref>
        </x14:dataValidation>
        <x14:dataValidation type="list" allowBlank="1" showInputMessage="1" showErrorMessage="1" xr:uid="{00000000-0002-0000-0C00-00000E000000}">
          <x14:formula1>
            <xm:f>'MENU DÉROULANT'!$C$99:$C$103</xm:f>
          </x14:formula1>
          <xm:sqref>F312:H317</xm:sqref>
        </x14:dataValidation>
        <x14:dataValidation type="list" allowBlank="1" showInputMessage="1" showErrorMessage="1" xr:uid="{00000000-0002-0000-0C00-00000F000000}">
          <x14:formula1>
            <xm:f>'MENU DÉROULANT'!$C$95:$C$97</xm:f>
          </x14:formula1>
          <xm:sqref>H302:K303</xm:sqref>
        </x14:dataValidation>
        <x14:dataValidation type="list" allowBlank="1" showInputMessage="1" showErrorMessage="1" xr:uid="{00000000-0002-0000-0C00-000010000000}">
          <x14:formula1>
            <xm:f>'MENU DÉROULANT'!$G$79:$G$80</xm:f>
          </x14:formula1>
          <xm:sqref>H199:I203</xm:sqref>
        </x14:dataValidation>
        <x14:dataValidation type="list" allowBlank="1" showInputMessage="1" showErrorMessage="1" xr:uid="{00000000-0002-0000-0C00-000011000000}">
          <x14:formula1>
            <xm:f>'MENU DÉROULANT'!$E$113:$E$117</xm:f>
          </x14:formula1>
          <xm:sqref>F675:F676 K698 F698 K693:K695 F693:F695 K689:K690 F689:F690 K685:K686 F685:F686 K682 F682 K679 F679 K675:K676</xm:sqref>
        </x14:dataValidation>
        <x14:dataValidation type="list" allowBlank="1" showInputMessage="1" showErrorMessage="1" xr:uid="{00000000-0002-0000-0C00-000012000000}">
          <x14:formula1>
            <xm:f>'MENU DÉROULANT'!$C$57:$C$61</xm:f>
          </x14:formula1>
          <xm:sqref>H81:M81</xm:sqref>
        </x14:dataValidation>
        <x14:dataValidation type="list" allowBlank="1" showInputMessage="1" showErrorMessage="1" xr:uid="{00000000-0002-0000-0C00-000013000000}">
          <x14:formula1>
            <xm:f>'MENU DÉROULANT'!$F$63:$F$67</xm:f>
          </x14:formula1>
          <xm:sqref>K160:L165</xm:sqref>
        </x14:dataValidation>
        <x14:dataValidation type="list" allowBlank="1" showInputMessage="1" showErrorMessage="1" xr:uid="{00000000-0002-0000-0C00-000014000000}">
          <x14:formula1>
            <xm:f>'MENU DÉROULANT'!$C$66:$C$67</xm:f>
          </x14:formula1>
          <xm:sqref>M73:O73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24988A"/>
    <pageSetUpPr fitToPage="1"/>
  </sheetPr>
  <dimension ref="A1:Q351"/>
  <sheetViews>
    <sheetView zoomScaleNormal="100" workbookViewId="0">
      <selection activeCell="O20" sqref="O20"/>
    </sheetView>
  </sheetViews>
  <sheetFormatPr baseColWidth="10" defaultColWidth="11.44140625" defaultRowHeight="14.4"/>
  <cols>
    <col min="1" max="1" width="3.6640625" style="55" customWidth="1"/>
    <col min="2" max="2" width="20.44140625" style="28" customWidth="1"/>
    <col min="3" max="3" width="1.5546875" style="28" customWidth="1"/>
    <col min="4" max="4" width="25.5546875" style="28" customWidth="1"/>
    <col min="5" max="5" width="13.44140625" style="28" customWidth="1"/>
    <col min="6" max="15" width="11.6640625" style="28" customWidth="1"/>
    <col min="16" max="16" width="74.33203125" style="28" customWidth="1"/>
    <col min="17" max="17" width="28.44140625" style="28" customWidth="1"/>
    <col min="18" max="16384" width="11.44140625" style="28"/>
  </cols>
  <sheetData>
    <row r="1" spans="2:17" s="55" customFormat="1" ht="9" customHeight="1" thickBot="1"/>
    <row r="2" spans="2:17" s="55" customFormat="1" ht="32.25" customHeight="1">
      <c r="B2" s="1233" t="s">
        <v>857</v>
      </c>
      <c r="C2" s="1234"/>
      <c r="D2" s="1235"/>
      <c r="E2" s="1235"/>
      <c r="F2" s="1235"/>
      <c r="G2" s="1235"/>
      <c r="H2" s="1235"/>
      <c r="I2" s="1235"/>
      <c r="J2" s="1235"/>
      <c r="K2" s="1235"/>
      <c r="L2" s="1235"/>
      <c r="M2" s="1235"/>
      <c r="N2" s="1235"/>
      <c r="O2" s="1235"/>
      <c r="P2" s="1235"/>
      <c r="Q2" s="1236"/>
    </row>
    <row r="3" spans="2:17" s="55" customFormat="1" ht="57.75" customHeight="1">
      <c r="P3" s="2955" t="s">
        <v>2395</v>
      </c>
    </row>
    <row r="4" spans="2:17" ht="31.5" customHeight="1">
      <c r="B4" s="1237" t="s">
        <v>0</v>
      </c>
      <c r="C4" s="1237"/>
      <c r="D4" s="1238"/>
      <c r="E4" s="1238"/>
      <c r="F4" s="1238"/>
      <c r="G4" s="1238"/>
      <c r="H4" s="1238"/>
      <c r="I4" s="1238"/>
      <c r="J4" s="1238"/>
      <c r="K4" s="1238"/>
      <c r="L4" s="1238"/>
      <c r="M4" s="1238"/>
      <c r="N4" s="1238"/>
      <c r="O4" s="1238"/>
      <c r="P4" s="1238"/>
      <c r="Q4" s="1238"/>
    </row>
    <row r="6" spans="2:17" ht="26.25" customHeight="1">
      <c r="B6" s="1239" t="s">
        <v>7</v>
      </c>
      <c r="C6" s="1239"/>
      <c r="D6" s="1239"/>
      <c r="E6" s="1239"/>
      <c r="F6" s="1239"/>
      <c r="G6" s="1239"/>
      <c r="H6" s="1239"/>
      <c r="I6" s="1239"/>
      <c r="J6" s="1239"/>
      <c r="K6" s="1239"/>
      <c r="L6" s="1239"/>
      <c r="M6" s="1239"/>
      <c r="N6" s="1239"/>
      <c r="O6" s="1239"/>
      <c r="P6" s="1239"/>
      <c r="Q6" s="1239"/>
    </row>
    <row r="7" spans="2:17" ht="21">
      <c r="B7" s="1585"/>
      <c r="C7" s="1585"/>
    </row>
    <row r="8" spans="2:17">
      <c r="D8" s="1240" t="str">
        <f>IF(IDENTIFICATION!$D$62='MENU DÉROULANT'!$D$19,"MUNICIPALITÉ :  ",IF(IDENTIFICATION!$D$62='MENU DÉROULANT'!$D$20,"RÉGIE :  ","ORGANISATION :  "))</f>
        <v xml:space="preserve">ORGANISATION :  </v>
      </c>
      <c r="E8" s="1241"/>
      <c r="G8" s="1242" t="str">
        <f>IF(AND(IDENTIFICATION!$D$62='MENU DÉROULANT'!$D$19,IDENTIFICATION!$H$72&lt;&gt;""),IDENTIFICATION!$H$72,IF(AND(IDENTIFICATION!$D$62='MENU DÉROULANT'!$D$20,IDENTIFICATION!$H$81&lt;&gt;""),IDENTIFICATION!$H$81,IF(AND(IDENTIFICATION!$D$62='MENU DÉROULANT'!$D$21,IDENTIFICATION!$H$102&lt;&gt;""),IDENTIFICATION!$H$102,"##")))</f>
        <v>##</v>
      </c>
      <c r="H8" s="1243"/>
      <c r="I8" s="1243"/>
      <c r="J8" s="1243"/>
      <c r="K8" s="1241"/>
      <c r="M8" s="1404"/>
      <c r="N8" s="1346"/>
      <c r="O8" s="2889" t="s">
        <v>2281</v>
      </c>
      <c r="P8" s="2890">
        <f>IDENTIFICATION!$F$126</f>
        <v>0</v>
      </c>
    </row>
    <row r="9" spans="2:17">
      <c r="D9" s="1240" t="str">
        <f>IF(IDENTIFICATION!$D$62='MENU DÉROULANT'!$D$19,"CODE GÉOGRAPHIQUE :  ",IF(IDENTIFICATION!$D$62='MENU DÉROULANT'!$D$20,"CODE DE LA RÉGIE :  ",IF(AND(IDENTIFICATION!$D$62='MENU DÉROULANT'!$D$21,IDENTIFICATION!D102=""),"","CODE DE L'ORGANISATION :  ")))</f>
        <v xml:space="preserve">CODE DE L'ORGANISATION :  </v>
      </c>
      <c r="E9" s="1241"/>
      <c r="G9" s="1242" t="str">
        <f>IF(AND(IDENTIFICATION!$D$62='MENU DÉROULANT'!$D$19,IDENTIFICATION!$D$72&lt;&gt;""),IDENTIFICATION!$D$72,IF(AND(IDENTIFICATION!$D$62='MENU DÉROULANT'!$D$20,IDENTIFICATION!$D$81&lt;&gt;""),IDENTIFICATION!$D$81,IF(AND(IDENTIFICATION!$D$62='MENU DÉROULANT'!$D$21,IDENTIFICATION!$D$102=""),"",IF(AND(IDENTIFICATION!$D$62='MENU DÉROULANT'!$D$21,IDENTIFICATION!$D$102&lt;&gt;""),IDENTIFICATION!$D$102,"##"))))</f>
        <v>##</v>
      </c>
      <c r="H9" s="1243"/>
      <c r="I9" s="1243"/>
      <c r="J9" s="1243"/>
      <c r="K9" s="1241"/>
      <c r="M9" s="104"/>
      <c r="O9" s="1098" t="s">
        <v>2282</v>
      </c>
      <c r="P9" s="2891">
        <f>IDENTIFICATION!$I$126</f>
        <v>0</v>
      </c>
    </row>
    <row r="10" spans="2:17">
      <c r="D10" s="1240" t="str">
        <f>IF(IDENTIFICATION!$D$62='MENU DÉROULANT'!$D$19,"RÉGION ADMINISTRATIVE :  ",IF(IDENTIFICATION!$D$62='MENU DÉROULANT'!$D$20,"RÉGION ADMINISTRATIVE :  ",IF(AND(IDENTIFICATION!$D$62='MENU DÉROULANT'!$D$21,IDENTIFICATION!N102=""),"","RÉGION ADMINISTRATIVE :  ")))</f>
        <v xml:space="preserve">RÉGION ADMINISTRATIVE :  </v>
      </c>
      <c r="E10" s="1241"/>
      <c r="G10" s="1242" t="str">
        <f>IF(AND(IDENTIFICATION!$D$62='MENU DÉROULANT'!$D$19,IDENTIFICATION!$N$72&lt;&gt;""),IDENTIFICATION!$N$72,IF(AND(IDENTIFICATION!$D$62='MENU DÉROULANT'!$D$20,IDENTIFICATION!$N$81&lt;&gt;""),IDENTIFICATION!$N$81,IF(AND(IDENTIFICATION!$D$62='MENU DÉROULANT'!$D$21,IDENTIFICATION!$N$102=""),"",IF(AND(IDENTIFICATION!$D$62='MENU DÉROULANT'!$D$21,IDENTIFICATION!$N$102&lt;&gt;""),IDENTIFICATION!$N$102,"##"))))</f>
        <v>##</v>
      </c>
      <c r="H10" s="1243"/>
      <c r="I10" s="1243"/>
      <c r="J10" s="1243"/>
      <c r="K10" s="1241"/>
      <c r="M10" s="1284"/>
      <c r="N10" s="509"/>
      <c r="O10" s="1411" t="s">
        <v>2283</v>
      </c>
      <c r="P10" s="2892">
        <f>IDENTIFICATION!$L$126</f>
        <v>0</v>
      </c>
    </row>
    <row r="11" spans="2:17">
      <c r="D11" s="1211" t="s">
        <v>4031</v>
      </c>
      <c r="E11" s="1586"/>
      <c r="G11" s="1244" t="str">
        <f>IF(ISBLANK(IDENTIFICATION!$E$116)=TRUE,"##",IDENTIFICATION!$E$116)</f>
        <v>##</v>
      </c>
      <c r="H11" s="1243"/>
      <c r="I11" s="1243"/>
      <c r="J11" s="1243"/>
      <c r="K11" s="1241"/>
      <c r="L11" s="104"/>
      <c r="M11" s="3549" t="s">
        <v>2284</v>
      </c>
      <c r="N11" s="3550"/>
      <c r="O11" s="3550"/>
      <c r="P11" s="3547">
        <f>IDENTIFICATION!$G$142</f>
        <v>0</v>
      </c>
    </row>
    <row r="12" spans="2:17">
      <c r="D12" s="1587"/>
      <c r="E12" s="1588"/>
      <c r="G12" s="1245" t="str">
        <f>IF(IDENTIFICATION!$D$62="","","(")</f>
        <v/>
      </c>
      <c r="H12" s="1246" t="str">
        <f>IF(IDENTIFICATION!$D$62="","",IF(ISBLANK(IDENTIFICATION!$E$118)=TRUE,"##",IDENTIFICATION!$E$118))</f>
        <v/>
      </c>
      <c r="I12" s="1240" t="str">
        <f>IF(IDENTIFICATION!$D$62='MENU DÉROULANT'!$D$19,"  PGA remis par la municipalité)",IF(IDENTIFICATION!$D$62='MENU DÉROULANT'!$D$20,"  PGA remis par la régie)",IF(IDENTIFICATION!$D$62='MENU DÉROULANT'!$D$21,"  PGA réalisé par l'organisation)","")))</f>
        <v/>
      </c>
      <c r="J12" s="1243"/>
      <c r="K12" s="1241"/>
      <c r="L12" s="104"/>
      <c r="M12" s="3551"/>
      <c r="N12" s="3552"/>
      <c r="O12" s="3552"/>
      <c r="P12" s="3548"/>
    </row>
    <row r="13" spans="2:17">
      <c r="D13" s="1240" t="s">
        <v>4030</v>
      </c>
      <c r="E13" s="1241"/>
      <c r="G13" s="1247" t="str">
        <f>IF(ISBLANK(IDENTIFICATION!$J$180)=TRUE,"##",IDENTIFICATION!$J$180)</f>
        <v>##</v>
      </c>
      <c r="H13" s="1243"/>
      <c r="I13" s="1243"/>
      <c r="J13" s="1243"/>
      <c r="K13" s="1241"/>
      <c r="L13" s="104"/>
    </row>
    <row r="14" spans="2:17">
      <c r="O14" s="292" t="s">
        <v>4038</v>
      </c>
      <c r="P14" s="2992" t="str">
        <f>IF(IDENTIFICATION!$D$62='MENU DÉROULANT'!$D$20,"Il n'est pas nécessaire de remplir cette section pour les Régies.","")</f>
        <v/>
      </c>
    </row>
    <row r="16" spans="2:17" ht="31.5" customHeight="1">
      <c r="B16" s="1237" t="s">
        <v>1</v>
      </c>
      <c r="C16" s="1237"/>
      <c r="D16" s="1238"/>
      <c r="E16" s="1238"/>
      <c r="F16" s="1238"/>
      <c r="G16" s="1238"/>
      <c r="H16" s="1238"/>
      <c r="I16" s="1238"/>
      <c r="J16" s="1238"/>
      <c r="K16" s="1238"/>
      <c r="L16" s="1238"/>
      <c r="M16" s="1238"/>
      <c r="N16" s="1238"/>
      <c r="O16" s="1238"/>
      <c r="P16" s="1238"/>
      <c r="Q16" s="1238"/>
    </row>
    <row r="18" spans="1:17" ht="22.5" customHeight="1">
      <c r="B18" s="1239" t="s">
        <v>8</v>
      </c>
      <c r="C18" s="1239"/>
      <c r="D18" s="1239"/>
      <c r="E18" s="1239"/>
      <c r="F18" s="1239"/>
      <c r="G18" s="1239"/>
      <c r="H18" s="1239"/>
      <c r="I18" s="1239"/>
      <c r="J18" s="1239"/>
      <c r="K18" s="1239"/>
      <c r="L18" s="1239"/>
      <c r="M18" s="1239"/>
      <c r="N18" s="1239"/>
      <c r="O18" s="1239"/>
      <c r="P18" s="1239"/>
      <c r="Q18" s="1239"/>
    </row>
    <row r="19" spans="1:17" ht="22.5" customHeight="1">
      <c r="B19" s="1248"/>
      <c r="C19" s="1248"/>
      <c r="D19" s="1248"/>
      <c r="E19" s="1248"/>
      <c r="F19" s="1248"/>
      <c r="G19" s="1248"/>
      <c r="H19" s="1248"/>
      <c r="I19" s="1248"/>
      <c r="J19" s="1248"/>
      <c r="M19" s="1248"/>
      <c r="N19" s="1248"/>
      <c r="O19" s="1248"/>
      <c r="P19" s="1248"/>
      <c r="Q19" s="1248"/>
    </row>
    <row r="20" spans="1:17" s="72" customFormat="1" ht="43.5" customHeight="1">
      <c r="A20" s="82"/>
      <c r="B20" s="1249"/>
      <c r="C20" s="1250"/>
      <c r="D20" s="1251"/>
      <c r="E20" s="1252" t="s">
        <v>22</v>
      </c>
      <c r="F20" s="1253" t="s">
        <v>23</v>
      </c>
      <c r="G20" s="1254" t="s">
        <v>406</v>
      </c>
      <c r="H20" s="1251"/>
      <c r="I20" s="1253" t="s">
        <v>407</v>
      </c>
      <c r="J20" s="1255" t="s">
        <v>24</v>
      </c>
    </row>
    <row r="21" spans="1:17" ht="15" customHeight="1">
      <c r="B21" s="1256"/>
      <c r="C21" s="1257"/>
      <c r="D21" s="1258" t="s">
        <v>830</v>
      </c>
      <c r="E21" s="1259">
        <f>'FORMULAIRE PGA Eaux pluviales'!G91</f>
        <v>0</v>
      </c>
      <c r="F21" s="1260" t="str">
        <f>IF(G21=0,"Aucun",G21)</f>
        <v>Aucun</v>
      </c>
      <c r="G21" s="1261">
        <f>'FORMULAIRE PGA Eaux pluviales'!G89</f>
        <v>0</v>
      </c>
      <c r="H21" s="1262"/>
      <c r="I21" s="1263" t="e">
        <f t="shared" ref="I21:I26" si="0">E21/$E$28</f>
        <v>#DIV/0!</v>
      </c>
      <c r="J21" s="363">
        <f>ROUNDDOWN(AVERAGE('FORMULAIRE PGA Eaux pluviales'!G605,'FORMULAIRE PGA Eaux pluviales'!G607),0)</f>
        <v>0</v>
      </c>
      <c r="K21" s="2775"/>
      <c r="O21" s="2446"/>
      <c r="P21" s="2534"/>
      <c r="Q21" s="2447"/>
    </row>
    <row r="22" spans="1:17" ht="19.5" customHeight="1">
      <c r="B22" s="1264"/>
      <c r="C22" s="1265"/>
      <c r="D22" s="1266" t="s">
        <v>831</v>
      </c>
      <c r="E22" s="1267">
        <f>'FORMULAIRE PGA Eaux pluviales'!G100</f>
        <v>0</v>
      </c>
      <c r="F22" s="1260" t="str">
        <f>IF(G22=0,"Aucun",G22)</f>
        <v>Aucun</v>
      </c>
      <c r="G22" s="1269">
        <f>'FORMULAIRE PGA Eaux pluviales'!G98</f>
        <v>0</v>
      </c>
      <c r="H22" s="1262"/>
      <c r="I22" s="1270" t="e">
        <f t="shared" si="0"/>
        <v>#DIV/0!</v>
      </c>
      <c r="J22" s="1271">
        <f>ROUNDDOWN(AVERAGE('FORMULAIRE PGA Eaux pluviales'!G606,'FORMULAIRE PGA Eaux pluviales'!G608),0)</f>
        <v>0</v>
      </c>
      <c r="K22" s="2775"/>
      <c r="O22" s="1296"/>
      <c r="P22" s="2534"/>
    </row>
    <row r="23" spans="1:17" ht="15" customHeight="1">
      <c r="B23" s="1272"/>
      <c r="C23" s="1273"/>
      <c r="D23" s="1274" t="s">
        <v>832</v>
      </c>
      <c r="E23" s="1275">
        <f>'FORMULAIRE PGA Eaux pluviales'!G112</f>
        <v>0</v>
      </c>
      <c r="F23" s="1276" t="str">
        <f>IF(AND(G23=0,H23=0),"Aucun",CONCATENATE(G23," km; ",H23," ouvrages"))</f>
        <v>Aucun</v>
      </c>
      <c r="G23" s="1286">
        <f>'FORMULAIRE PGA Eaux pluviales'!G108</f>
        <v>0</v>
      </c>
      <c r="H23" s="1287">
        <f>'FORMULAIRE PGA Eaux pluviales'!G110</f>
        <v>0</v>
      </c>
      <c r="I23" s="1288" t="e">
        <f t="shared" si="0"/>
        <v>#DIV/0!</v>
      </c>
      <c r="J23" s="2271"/>
      <c r="K23" s="2776"/>
      <c r="O23" s="1296"/>
      <c r="P23" s="2534"/>
    </row>
    <row r="24" spans="1:17" ht="19.5" customHeight="1">
      <c r="B24" s="1256"/>
      <c r="C24" s="1257"/>
      <c r="D24" s="1277" t="s">
        <v>833</v>
      </c>
      <c r="E24" s="1259">
        <f>'FORMULAIRE PGA Eaux pluviales'!G130</f>
        <v>0</v>
      </c>
      <c r="F24" s="1260" t="str">
        <f>IF('FORMULAIRE PGA Eaux pluviales'!M73='MENU DÉROULANT'!C66,"(Non applicable)",IF(G24=0,"Aucun",G24))</f>
        <v>Aucun</v>
      </c>
      <c r="G24" s="1261">
        <f>'FORMULAIRE PGA Eaux pluviales'!G128</f>
        <v>0</v>
      </c>
      <c r="H24" s="1262"/>
      <c r="I24" s="1263" t="e">
        <f t="shared" si="0"/>
        <v>#DIV/0!</v>
      </c>
      <c r="J24" s="363">
        <f>ROUNDDOWN(AVERAGE('FORMULAIRE PGA Eaux pluviales'!L605,'FORMULAIRE PGA Eaux pluviales'!L607),0)</f>
        <v>0</v>
      </c>
      <c r="K24" s="2776"/>
      <c r="O24" s="2446"/>
    </row>
    <row r="25" spans="1:17" ht="15" customHeight="1">
      <c r="B25" s="1278"/>
      <c r="C25" s="1279"/>
      <c r="D25" s="1280" t="s">
        <v>834</v>
      </c>
      <c r="E25" s="1281">
        <f>'FORMULAIRE PGA Eaux pluviales'!G139</f>
        <v>0</v>
      </c>
      <c r="F25" s="1282" t="str">
        <f>IF('FORMULAIRE PGA Eaux pluviales'!M73='MENU DÉROULANT'!C66,"(Non applicable)",IF(G25=0,"Aucun",G25))</f>
        <v>Aucun</v>
      </c>
      <c r="G25" s="1269">
        <f>'FORMULAIRE PGA Eaux pluviales'!G137</f>
        <v>0</v>
      </c>
      <c r="H25" s="1283"/>
      <c r="I25" s="1270" t="e">
        <f t="shared" si="0"/>
        <v>#DIV/0!</v>
      </c>
      <c r="J25" s="1271">
        <f>ROUNDDOWN(AVERAGE('FORMULAIRE PGA Eaux pluviales'!L606,'FORMULAIRE PGA Eaux pluviales'!L608),0)</f>
        <v>0</v>
      </c>
      <c r="K25" s="2777"/>
      <c r="O25" s="1296"/>
    </row>
    <row r="26" spans="1:17" ht="19.5" customHeight="1">
      <c r="B26" s="1284"/>
      <c r="C26" s="509"/>
      <c r="D26" s="1274" t="s">
        <v>835</v>
      </c>
      <c r="E26" s="1285">
        <f>'FORMULAIRE PGA Eaux pluviales'!G151</f>
        <v>0</v>
      </c>
      <c r="F26" s="1276" t="str">
        <f>IF('FORMULAIRE PGA Eaux pluviales'!M73='MENU DÉROULANT'!C66,"(Non applicable)",IF(AND(G26=0,H26=0),"Aucun",CONCATENATE(G26," km; ",H26," ouvrages")))</f>
        <v>Aucun</v>
      </c>
      <c r="G26" s="1286">
        <f>'FORMULAIRE PGA Eaux pluviales'!G147</f>
        <v>0</v>
      </c>
      <c r="H26" s="1287">
        <f>'FORMULAIRE PGA Eaux pluviales'!G149</f>
        <v>0</v>
      </c>
      <c r="I26" s="1288" t="e">
        <f t="shared" si="0"/>
        <v>#DIV/0!</v>
      </c>
      <c r="J26" s="2271"/>
      <c r="K26" s="2777"/>
      <c r="O26" s="1296"/>
    </row>
    <row r="27" spans="1:17" ht="15" customHeight="1">
      <c r="D27" s="1289"/>
      <c r="E27" s="1290"/>
      <c r="F27" s="1291"/>
      <c r="G27" s="1292"/>
      <c r="H27" s="1293"/>
      <c r="J27" s="1294" t="s">
        <v>414</v>
      </c>
      <c r="K27" s="2778"/>
      <c r="L27" s="1356" t="s">
        <v>415</v>
      </c>
      <c r="O27" s="1296"/>
    </row>
    <row r="28" spans="1:17" ht="19.5" customHeight="1">
      <c r="D28" s="1289" t="s">
        <v>416</v>
      </c>
      <c r="E28" s="3559">
        <f>SUM(E21:E26)</f>
        <v>0</v>
      </c>
      <c r="F28" s="3559"/>
      <c r="G28" s="1292"/>
      <c r="H28" s="1293"/>
      <c r="I28" s="292" t="s">
        <v>107</v>
      </c>
      <c r="J28" s="363">
        <f>IF(I33=1,0,IF(I33=2,J21,IF(I33=3,J22,ROUNDDOWN(AVERAGE(J21:J22),0))))</f>
        <v>0</v>
      </c>
      <c r="K28" s="2778"/>
      <c r="L28" s="1357" t="s">
        <v>418</v>
      </c>
      <c r="O28" s="1296"/>
    </row>
    <row r="29" spans="1:17" ht="15" customHeight="1">
      <c r="D29" s="1289"/>
      <c r="E29" s="3559"/>
      <c r="F29" s="3559"/>
      <c r="G29" s="1292"/>
      <c r="H29" s="1293"/>
      <c r="I29" s="292" t="s">
        <v>108</v>
      </c>
      <c r="J29" s="1295">
        <f>IF(I41=1,0,IF(I41=2,J24,IF(I41=3,J25,ROUNDDOWN(AVERAGE(J24:J25),0))))</f>
        <v>0</v>
      </c>
      <c r="K29" s="2779"/>
      <c r="L29" s="2294" t="s">
        <v>420</v>
      </c>
      <c r="O29" s="1296"/>
    </row>
    <row r="30" spans="1:17" ht="19.5" customHeight="1">
      <c r="B30" s="1297" t="s">
        <v>421</v>
      </c>
      <c r="C30" s="1297"/>
      <c r="D30" s="1298" t="s">
        <v>422</v>
      </c>
      <c r="E30" s="1299"/>
      <c r="F30" s="1293"/>
      <c r="G30" s="1292"/>
      <c r="H30" s="1293"/>
      <c r="J30" s="1295">
        <f>IF(OR(K36=1,I41=1),J28,IF(I33=1,J29,ROUNDDOWN(AVERAGE(J28:J29),0)))</f>
        <v>0</v>
      </c>
      <c r="K30" s="2779"/>
      <c r="L30" s="1357" t="s">
        <v>423</v>
      </c>
      <c r="O30" s="1296"/>
    </row>
    <row r="31" spans="1:17" ht="15" customHeight="1">
      <c r="J31" s="1296"/>
      <c r="K31" s="2780"/>
      <c r="O31" s="1296"/>
      <c r="P31" s="1357"/>
    </row>
    <row r="32" spans="1:17" ht="15.75" customHeight="1">
      <c r="B32" s="2258" t="s">
        <v>25</v>
      </c>
      <c r="C32" s="2259"/>
      <c r="D32" s="2259"/>
      <c r="E32" s="2260"/>
      <c r="F32" s="2261"/>
      <c r="G32" s="2262"/>
      <c r="H32" s="2261"/>
      <c r="I32" s="2259"/>
      <c r="J32" s="1296"/>
      <c r="K32" s="2780"/>
      <c r="O32" s="1296"/>
    </row>
    <row r="33" spans="2:16" ht="19.5" customHeight="1">
      <c r="B33" s="2263" t="s">
        <v>836</v>
      </c>
      <c r="C33" s="2263"/>
      <c r="D33" s="2885">
        <f>'FORMULAIRE PGA Eaux pluviales'!H81</f>
        <v>0</v>
      </c>
      <c r="E33" s="2265"/>
      <c r="F33" s="2266"/>
      <c r="G33" s="2267"/>
      <c r="H33" s="2266"/>
      <c r="I33" s="2264">
        <f>IF('FORMULAIRE PGA Eaux pluviales'!O81="",0,'FORMULAIRE PGA Eaux pluviales'!O81)</f>
        <v>0</v>
      </c>
      <c r="J33" s="1296"/>
      <c r="K33" s="2448"/>
      <c r="O33" s="1296"/>
    </row>
    <row r="34" spans="2:16" ht="15" customHeight="1">
      <c r="B34" s="2259"/>
      <c r="C34" s="2259"/>
      <c r="D34" s="2268" t="s">
        <v>837</v>
      </c>
      <c r="E34" s="3564" t="str">
        <f>IF(I33=1,"Aucun actif lié au sous-service Collecte dans la municipalité.","")</f>
        <v/>
      </c>
      <c r="F34" s="3564"/>
      <c r="G34" s="3564"/>
      <c r="H34" s="3564"/>
      <c r="I34" s="2259"/>
      <c r="M34" s="1296"/>
      <c r="N34" s="1296"/>
      <c r="O34" s="1296"/>
    </row>
    <row r="35" spans="2:16">
      <c r="B35" s="2269"/>
      <c r="C35" s="2269"/>
      <c r="D35" s="2268"/>
      <c r="E35" s="3564"/>
      <c r="F35" s="3564"/>
      <c r="G35" s="3564"/>
      <c r="H35" s="3564"/>
      <c r="I35" s="2259"/>
      <c r="K35" s="2258" t="s">
        <v>858</v>
      </c>
      <c r="L35" s="2259"/>
      <c r="M35" s="2272"/>
      <c r="N35" s="2272"/>
      <c r="O35" s="2272"/>
      <c r="P35" s="2259"/>
    </row>
    <row r="36" spans="2:16" ht="15" customHeight="1">
      <c r="B36" s="2259"/>
      <c r="C36" s="2259"/>
      <c r="D36" s="2268" t="s">
        <v>426</v>
      </c>
      <c r="E36" s="3564" t="str">
        <f>IF(I33=2,"(Aucun actif ponctuel pour Collecte)","")</f>
        <v/>
      </c>
      <c r="F36" s="3564"/>
      <c r="G36" s="3564"/>
      <c r="H36" s="3564"/>
      <c r="I36" s="2259"/>
      <c r="K36" s="2273">
        <f>IF(L36='MENU DÉROULANT'!C66,1,IF(L36='MENU DÉROULANT'!C67,2,0))</f>
        <v>0</v>
      </c>
      <c r="L36" s="2259">
        <f>'FORMULAIRE PGA Eaux pluviales'!M73</f>
        <v>0</v>
      </c>
      <c r="M36" s="2272"/>
      <c r="N36" s="2272"/>
      <c r="O36" s="2272"/>
      <c r="P36" s="2259"/>
    </row>
    <row r="37" spans="2:16">
      <c r="B37" s="2269"/>
      <c r="C37" s="2269"/>
      <c r="D37" s="2259"/>
      <c r="E37" s="3564"/>
      <c r="F37" s="3564"/>
      <c r="G37" s="3564"/>
      <c r="H37" s="3564"/>
      <c r="I37" s="2259"/>
      <c r="M37" s="1296"/>
      <c r="N37" s="1296"/>
      <c r="O37" s="1296"/>
    </row>
    <row r="38" spans="2:16" ht="15" customHeight="1">
      <c r="B38" s="2259"/>
      <c r="C38" s="2259"/>
      <c r="D38" s="2268" t="s">
        <v>427</v>
      </c>
      <c r="E38" s="3564" t="str">
        <f>IF(I33=3,"(Aucun actif linéaire pour Collecte)","")</f>
        <v/>
      </c>
      <c r="F38" s="3564"/>
      <c r="G38" s="3564"/>
      <c r="H38" s="3564"/>
      <c r="I38" s="2259"/>
      <c r="M38" s="1296"/>
      <c r="N38" s="1296"/>
      <c r="O38" s="1296"/>
    </row>
    <row r="39" spans="2:16">
      <c r="B39" s="2269"/>
      <c r="C39" s="2269"/>
      <c r="D39" s="2268"/>
      <c r="E39" s="3564"/>
      <c r="F39" s="3564"/>
      <c r="G39" s="3564"/>
      <c r="H39" s="3564"/>
      <c r="I39" s="2259"/>
      <c r="M39" s="1296"/>
      <c r="N39" s="1296"/>
      <c r="O39" s="1296"/>
    </row>
    <row r="40" spans="2:16">
      <c r="B40" s="2269"/>
      <c r="C40" s="2269"/>
      <c r="D40" s="2268"/>
      <c r="E40" s="2270"/>
      <c r="F40" s="2270"/>
      <c r="G40" s="2270"/>
      <c r="H40" s="2270"/>
      <c r="I40" s="2259"/>
      <c r="M40" s="1296"/>
      <c r="N40" s="1296"/>
      <c r="O40" s="1296"/>
    </row>
    <row r="41" spans="2:16" ht="19.5" customHeight="1">
      <c r="B41" s="2263" t="s">
        <v>838</v>
      </c>
      <c r="C41" s="2263"/>
      <c r="D41" s="2885">
        <f>'FORMULAIRE PGA Eaux pluviales'!H120</f>
        <v>0</v>
      </c>
      <c r="E41" s="2260"/>
      <c r="F41" s="2261"/>
      <c r="G41" s="2262"/>
      <c r="H41" s="2261"/>
      <c r="I41" s="2264">
        <f>IF('FORMULAIRE PGA Eaux pluviales'!O120="",0,'FORMULAIRE PGA Eaux pluviales'!O120)</f>
        <v>0</v>
      </c>
      <c r="J41" s="1296"/>
      <c r="M41" s="1296"/>
      <c r="N41" s="1296"/>
      <c r="O41" s="1296"/>
    </row>
    <row r="42" spans="2:16">
      <c r="B42" s="2269"/>
      <c r="C42" s="2269"/>
      <c r="D42" s="2268" t="s">
        <v>839</v>
      </c>
      <c r="E42" s="3564" t="str">
        <f>IF(I41=1,"Aucun actif lié au sous-service Traitement dans la municipalité.","")</f>
        <v/>
      </c>
      <c r="F42" s="3564"/>
      <c r="G42" s="3564"/>
      <c r="H42" s="3564"/>
      <c r="I42" s="2259"/>
      <c r="J42" s="1296"/>
      <c r="M42" s="1296"/>
      <c r="N42" s="1296"/>
      <c r="O42" s="1296"/>
    </row>
    <row r="43" spans="2:16">
      <c r="B43" s="2269"/>
      <c r="C43" s="2269"/>
      <c r="D43" s="2268"/>
      <c r="E43" s="3564"/>
      <c r="F43" s="3564"/>
      <c r="G43" s="3564"/>
      <c r="H43" s="3564"/>
      <c r="I43" s="2259"/>
      <c r="J43" s="1296"/>
      <c r="M43" s="1296"/>
      <c r="N43" s="1296"/>
      <c r="O43" s="1296"/>
    </row>
    <row r="44" spans="2:16">
      <c r="B44" s="2269"/>
      <c r="C44" s="2269"/>
      <c r="D44" s="2268" t="s">
        <v>426</v>
      </c>
      <c r="E44" s="3564" t="str">
        <f>IF(I41=2,"(Aucun actif ponctuel pour Traitement)","")</f>
        <v/>
      </c>
      <c r="F44" s="3564"/>
      <c r="G44" s="3564"/>
      <c r="H44" s="3564"/>
      <c r="I44" s="2259"/>
      <c r="J44" s="1296"/>
      <c r="M44" s="1296"/>
      <c r="N44" s="1296"/>
      <c r="O44" s="1296"/>
    </row>
    <row r="45" spans="2:16">
      <c r="B45" s="2269"/>
      <c r="C45" s="2269"/>
      <c r="D45" s="2259"/>
      <c r="E45" s="3564"/>
      <c r="F45" s="3564"/>
      <c r="G45" s="3564"/>
      <c r="H45" s="3564"/>
      <c r="I45" s="2259"/>
      <c r="J45" s="1296"/>
      <c r="M45" s="1296"/>
      <c r="N45" s="1296"/>
      <c r="O45" s="1296"/>
    </row>
    <row r="46" spans="2:16">
      <c r="B46" s="2269"/>
      <c r="C46" s="2269"/>
      <c r="D46" s="2268" t="s">
        <v>427</v>
      </c>
      <c r="E46" s="3564" t="str">
        <f>IF(I41=3,"(Aucun actif linéaire pour Traitement)","")</f>
        <v/>
      </c>
      <c r="F46" s="3564"/>
      <c r="G46" s="3564"/>
      <c r="H46" s="3564"/>
      <c r="I46" s="2259"/>
      <c r="J46" s="1296"/>
      <c r="M46" s="1296"/>
      <c r="N46" s="1296"/>
      <c r="O46" s="1296"/>
    </row>
    <row r="47" spans="2:16">
      <c r="B47" s="2259"/>
      <c r="C47" s="2259"/>
      <c r="D47" s="2268"/>
      <c r="E47" s="3564"/>
      <c r="F47" s="3564"/>
      <c r="G47" s="3564"/>
      <c r="H47" s="3564"/>
      <c r="I47" s="2259"/>
      <c r="J47" s="1296"/>
      <c r="O47" s="1296"/>
    </row>
    <row r="48" spans="2:16" ht="18.75" customHeight="1"/>
    <row r="49" spans="1:17" ht="18.75" customHeight="1">
      <c r="E49" s="2759"/>
      <c r="F49" s="2759"/>
    </row>
    <row r="50" spans="1:17" ht="22.5" customHeight="1">
      <c r="B50" s="1239" t="s">
        <v>9</v>
      </c>
      <c r="C50" s="1239"/>
      <c r="D50" s="1239"/>
      <c r="E50" s="1239"/>
      <c r="F50" s="1239"/>
      <c r="G50" s="1239"/>
      <c r="H50" s="1239"/>
      <c r="I50" s="1239"/>
      <c r="J50" s="1239"/>
      <c r="K50" s="1239"/>
      <c r="L50" s="1239"/>
      <c r="M50" s="1239"/>
      <c r="N50" s="1239"/>
      <c r="O50" s="1239"/>
      <c r="P50" s="1239"/>
      <c r="Q50" s="1239"/>
    </row>
    <row r="51" spans="1:17" ht="18">
      <c r="B51" s="1248"/>
      <c r="C51" s="1248"/>
      <c r="D51" s="1248"/>
      <c r="E51" s="1248"/>
      <c r="F51" s="1248"/>
      <c r="G51" s="1248"/>
      <c r="H51" s="1248"/>
      <c r="I51" s="1248"/>
      <c r="J51" s="1248"/>
      <c r="K51" s="1248"/>
      <c r="L51" s="1248"/>
      <c r="M51" s="1248"/>
      <c r="N51" s="1248"/>
      <c r="O51" s="1248"/>
      <c r="P51" s="1248"/>
    </row>
    <row r="52" spans="1:17" ht="24">
      <c r="B52" s="509"/>
      <c r="C52" s="509"/>
      <c r="D52" s="509"/>
      <c r="E52" s="2283" t="s">
        <v>61</v>
      </c>
      <c r="F52" s="2284" t="s">
        <v>62</v>
      </c>
      <c r="G52" s="2284" t="s">
        <v>2290</v>
      </c>
      <c r="H52" s="2284" t="s">
        <v>64</v>
      </c>
      <c r="I52" s="2284" t="s">
        <v>65</v>
      </c>
      <c r="J52" s="2284" t="s">
        <v>66</v>
      </c>
      <c r="K52" s="2285" t="s">
        <v>430</v>
      </c>
      <c r="L52" s="2284" t="s">
        <v>33</v>
      </c>
      <c r="M52" s="2284" t="s">
        <v>431</v>
      </c>
      <c r="N52" s="2284" t="s">
        <v>432</v>
      </c>
    </row>
    <row r="53" spans="1:17" s="308" customFormat="1" ht="25.5" customHeight="1">
      <c r="A53" s="671"/>
      <c r="B53" s="374" t="s">
        <v>107</v>
      </c>
      <c r="C53" s="374"/>
      <c r="D53" s="374" t="s">
        <v>34</v>
      </c>
      <c r="E53" s="2279">
        <f>'FORMULAIRE PGA Eaux pluviales'!J89</f>
        <v>0</v>
      </c>
      <c r="F53" s="1301">
        <f>'FORMULAIRE PGA Eaux pluviales'!K89</f>
        <v>0</v>
      </c>
      <c r="G53" s="1301">
        <f>'FORMULAIRE PGA Eaux pluviales'!L89</f>
        <v>0</v>
      </c>
      <c r="H53" s="1301">
        <f>'FORMULAIRE PGA Eaux pluviales'!M89</f>
        <v>0</v>
      </c>
      <c r="I53" s="1301">
        <f>'FORMULAIRE PGA Eaux pluviales'!N89</f>
        <v>0</v>
      </c>
      <c r="J53" s="1301">
        <f>IF('FORMULAIRE PGA Eaux pluviales'!O89="",0,'FORMULAIRE PGA Eaux pluviales'!O89)</f>
        <v>0</v>
      </c>
      <c r="K53" s="2281">
        <f>SUM(E53:J53)</f>
        <v>0</v>
      </c>
      <c r="L53" s="308">
        <f>'FORMULAIRE PGA Eaux pluviales'!G609</f>
        <v>0</v>
      </c>
      <c r="M53" s="3555">
        <f>IF(I33=1,0,IF(I33=2,L53,IF(I33=3,L54,ROUNDDOWN(AVERAGE(L53:L54),0))))</f>
        <v>0</v>
      </c>
      <c r="N53" s="3555">
        <f>IF(OR(K36=1,I41=1),M53,IF(I33=1,M55,ROUNDDOWN(AVERAGE(M53:M56),0)))</f>
        <v>0</v>
      </c>
    </row>
    <row r="54" spans="1:17" s="308" customFormat="1" ht="25.5" customHeight="1">
      <c r="A54" s="671"/>
      <c r="B54" s="2276" t="s">
        <v>107</v>
      </c>
      <c r="C54" s="2276"/>
      <c r="D54" s="2276" t="s">
        <v>35</v>
      </c>
      <c r="E54" s="2280">
        <f>'FORMULAIRE PGA Eaux pluviales'!J98</f>
        <v>0</v>
      </c>
      <c r="F54" s="2277">
        <f>'FORMULAIRE PGA Eaux pluviales'!K98</f>
        <v>0</v>
      </c>
      <c r="G54" s="2277">
        <f>'FORMULAIRE PGA Eaux pluviales'!L98</f>
        <v>0</v>
      </c>
      <c r="H54" s="2277">
        <f>'FORMULAIRE PGA Eaux pluviales'!M98</f>
        <v>0</v>
      </c>
      <c r="I54" s="2277">
        <f>'FORMULAIRE PGA Eaux pluviales'!N98</f>
        <v>0</v>
      </c>
      <c r="J54" s="2277">
        <f>IF('FORMULAIRE PGA Eaux pluviales'!O98="",0,'FORMULAIRE PGA Eaux pluviales'!O98)</f>
        <v>0</v>
      </c>
      <c r="K54" s="2282">
        <f>SUM(E54:J54)</f>
        <v>0</v>
      </c>
      <c r="L54" s="2278">
        <f>'FORMULAIRE PGA Eaux pluviales'!G610</f>
        <v>0</v>
      </c>
      <c r="M54" s="3557"/>
      <c r="N54" s="3556"/>
    </row>
    <row r="55" spans="1:17" s="308" customFormat="1" ht="25.5" customHeight="1">
      <c r="A55" s="671"/>
      <c r="B55" s="374" t="s">
        <v>108</v>
      </c>
      <c r="C55" s="374"/>
      <c r="D55" s="374" t="s">
        <v>34</v>
      </c>
      <c r="E55" s="2279">
        <f>'FORMULAIRE PGA Eaux pluviales'!J128</f>
        <v>0</v>
      </c>
      <c r="F55" s="1301">
        <f>'FORMULAIRE PGA Eaux pluviales'!K128</f>
        <v>0</v>
      </c>
      <c r="G55" s="1301">
        <f>'FORMULAIRE PGA Eaux pluviales'!L128</f>
        <v>0</v>
      </c>
      <c r="H55" s="1301">
        <f>'FORMULAIRE PGA Eaux pluviales'!M128</f>
        <v>0</v>
      </c>
      <c r="I55" s="1301">
        <f>'FORMULAIRE PGA Eaux pluviales'!N128</f>
        <v>0</v>
      </c>
      <c r="J55" s="1301">
        <f>IF('FORMULAIRE PGA Eaux pluviales'!O128="",0,'FORMULAIRE PGA Eaux pluviales'!O128)</f>
        <v>0</v>
      </c>
      <c r="K55" s="2281">
        <f>SUM(E55:J55)</f>
        <v>0</v>
      </c>
      <c r="L55" s="308">
        <f>'FORMULAIRE PGA Eaux pluviales'!L609</f>
        <v>0</v>
      </c>
      <c r="M55" s="3555">
        <f>IF(I41=1,0,IF(I41=2,L55,IF(I41=3,L56,ROUNDDOWN(AVERAGE(L55:L56),0))))</f>
        <v>0</v>
      </c>
      <c r="N55" s="3556"/>
    </row>
    <row r="56" spans="1:17" s="308" customFormat="1" ht="25.5" customHeight="1">
      <c r="A56" s="671"/>
      <c r="B56" s="2276" t="s">
        <v>108</v>
      </c>
      <c r="C56" s="2276"/>
      <c r="D56" s="2276" t="s">
        <v>35</v>
      </c>
      <c r="E56" s="2280">
        <f>'FORMULAIRE PGA Eaux pluviales'!J137</f>
        <v>0</v>
      </c>
      <c r="F56" s="2277">
        <f>'FORMULAIRE PGA Eaux pluviales'!K137</f>
        <v>0</v>
      </c>
      <c r="G56" s="2277">
        <f>'FORMULAIRE PGA Eaux pluviales'!L137</f>
        <v>0</v>
      </c>
      <c r="H56" s="2277">
        <f>'FORMULAIRE PGA Eaux pluviales'!M137</f>
        <v>0</v>
      </c>
      <c r="I56" s="2277">
        <f>'FORMULAIRE PGA Eaux pluviales'!N137</f>
        <v>0</v>
      </c>
      <c r="J56" s="2277">
        <f>IF('FORMULAIRE PGA Eaux pluviales'!O137="",0,'FORMULAIRE PGA Eaux pluviales'!O137)</f>
        <v>0</v>
      </c>
      <c r="K56" s="2282">
        <f>SUM(E56:J56)</f>
        <v>0</v>
      </c>
      <c r="L56" s="2278">
        <f>'FORMULAIRE PGA Eaux pluviales'!L610</f>
        <v>0</v>
      </c>
      <c r="M56" s="3557"/>
      <c r="N56" s="3557"/>
    </row>
    <row r="57" spans="1:17" s="308" customFormat="1" ht="17.25" customHeight="1">
      <c r="A57" s="671"/>
      <c r="B57" s="374"/>
      <c r="C57" s="374"/>
      <c r="D57" s="374"/>
      <c r="E57" s="1301"/>
      <c r="F57" s="1301"/>
      <c r="G57" s="1301"/>
      <c r="H57" s="1301"/>
      <c r="I57" s="1301"/>
      <c r="J57" s="1301"/>
      <c r="K57" s="1302"/>
    </row>
    <row r="59" spans="1:17" ht="31.5" customHeight="1">
      <c r="B59" s="1237" t="s">
        <v>2</v>
      </c>
      <c r="C59" s="1237"/>
      <c r="D59" s="1238"/>
      <c r="E59" s="1238"/>
      <c r="F59" s="1238"/>
      <c r="G59" s="1238"/>
      <c r="H59" s="1238"/>
      <c r="I59" s="1238"/>
      <c r="J59" s="1238"/>
      <c r="K59" s="1238"/>
      <c r="L59" s="1238"/>
      <c r="M59" s="1238"/>
      <c r="N59" s="1238"/>
      <c r="O59" s="1238"/>
      <c r="P59" s="1238"/>
      <c r="Q59" s="1238"/>
    </row>
    <row r="61" spans="1:17" ht="22.5" customHeight="1">
      <c r="B61" s="1239" t="s">
        <v>10</v>
      </c>
      <c r="C61" s="1239"/>
      <c r="D61" s="1239"/>
      <c r="E61" s="1239"/>
      <c r="F61" s="1239"/>
      <c r="G61" s="1239"/>
      <c r="H61" s="1239"/>
      <c r="I61" s="1239"/>
      <c r="J61" s="1239"/>
      <c r="K61" s="1239"/>
      <c r="L61" s="1239"/>
      <c r="M61" s="1239"/>
      <c r="N61" s="1239"/>
      <c r="O61" s="1239"/>
      <c r="P61" s="1239"/>
      <c r="Q61" s="1239"/>
    </row>
    <row r="62" spans="1:17" ht="18">
      <c r="B62" s="1248"/>
      <c r="C62" s="1248"/>
      <c r="D62" s="1248"/>
      <c r="E62" s="1248"/>
      <c r="F62" s="1248"/>
      <c r="G62" s="1248"/>
      <c r="H62" s="1248"/>
      <c r="I62" s="1248"/>
      <c r="J62" s="1248"/>
      <c r="K62" s="1248"/>
      <c r="L62" s="1248"/>
      <c r="M62" s="1248"/>
      <c r="N62" s="1248"/>
      <c r="O62" s="1248"/>
      <c r="P62" s="1248"/>
      <c r="Q62" s="1248"/>
    </row>
    <row r="63" spans="1:17" ht="25.5" customHeight="1">
      <c r="B63" s="1248"/>
      <c r="C63" s="1248"/>
      <c r="D63" s="2888" t="s">
        <v>2280</v>
      </c>
      <c r="E63" s="2886"/>
      <c r="F63" s="2886"/>
      <c r="G63" s="1334"/>
      <c r="H63" s="2888" t="s">
        <v>494</v>
      </c>
      <c r="I63" s="1248"/>
      <c r="L63" s="1248"/>
      <c r="N63" s="1304" t="s">
        <v>33</v>
      </c>
      <c r="O63" s="1305">
        <f>IF(OR(I41=1,K36=1),'FORMULAIRE PGA Eaux pluviales'!G613,IF(I33=1,'FORMULAIRE PGA Eaux pluviales'!L613,ROUNDDOWN(AVERAGE('FORMULAIRE PGA Eaux pluviales'!G613,'FORMULAIRE PGA Eaux pluviales'!L613),0)))</f>
        <v>0</v>
      </c>
      <c r="P63" s="1248"/>
      <c r="Q63" s="1248"/>
    </row>
    <row r="64" spans="1:17" ht="18">
      <c r="B64" s="1429">
        <v>1</v>
      </c>
      <c r="C64" s="1248"/>
      <c r="D64" s="1337">
        <f>'FORMULAIRE PGA Eaux pluviales'!D199</f>
        <v>0</v>
      </c>
      <c r="E64" s="1337"/>
      <c r="F64" s="1337"/>
      <c r="G64" s="1337"/>
      <c r="H64" s="1337">
        <f>'FORMULAIRE PGA Eaux pluviales'!J199</f>
        <v>0</v>
      </c>
      <c r="I64" s="1337"/>
      <c r="K64" s="1248"/>
      <c r="L64" s="1248"/>
      <c r="O64" s="1248"/>
      <c r="P64" s="1248"/>
      <c r="Q64" s="1248"/>
    </row>
    <row r="65" spans="2:17" ht="18">
      <c r="B65" s="1429">
        <v>2</v>
      </c>
      <c r="C65" s="1248"/>
      <c r="D65" s="1337">
        <f>'FORMULAIRE PGA Eaux pluviales'!D200</f>
        <v>0</v>
      </c>
      <c r="E65" s="1424"/>
      <c r="F65" s="1424"/>
      <c r="G65" s="1424"/>
      <c r="H65" s="1337">
        <f>'FORMULAIRE PGA Eaux pluviales'!J200</f>
        <v>0</v>
      </c>
      <c r="I65" s="1248"/>
      <c r="J65" s="1248"/>
      <c r="K65" s="1248"/>
      <c r="L65" s="1248"/>
      <c r="O65" s="1248"/>
      <c r="P65" s="1248"/>
      <c r="Q65" s="1248"/>
    </row>
    <row r="66" spans="2:17" ht="18">
      <c r="B66" s="1429">
        <v>3</v>
      </c>
      <c r="C66" s="1248"/>
      <c r="D66" s="1337">
        <f>'FORMULAIRE PGA Eaux pluviales'!D201</f>
        <v>0</v>
      </c>
      <c r="E66" s="1424"/>
      <c r="F66" s="1424"/>
      <c r="G66" s="1424"/>
      <c r="H66" s="1337">
        <f>'FORMULAIRE PGA Eaux pluviales'!J201</f>
        <v>0</v>
      </c>
      <c r="I66" s="1248"/>
      <c r="J66" s="1248"/>
      <c r="K66" s="1248"/>
      <c r="L66" s="1248"/>
      <c r="O66" s="1248"/>
      <c r="P66" s="1248"/>
      <c r="Q66" s="1248"/>
    </row>
    <row r="67" spans="2:17" ht="18">
      <c r="B67" s="1248"/>
      <c r="C67" s="1248"/>
      <c r="D67" s="1248"/>
      <c r="E67" s="1248"/>
      <c r="F67" s="1248"/>
      <c r="G67" s="1248"/>
      <c r="H67" s="1248"/>
      <c r="I67" s="1248"/>
      <c r="J67" s="1248"/>
      <c r="K67" s="1248"/>
      <c r="L67" s="1248"/>
      <c r="O67" s="1248"/>
      <c r="P67" s="1248"/>
      <c r="Q67" s="1248"/>
    </row>
    <row r="68" spans="2:17" ht="18">
      <c r="B68" s="1248"/>
      <c r="C68" s="1248"/>
      <c r="D68" s="1248"/>
      <c r="E68" s="1248"/>
      <c r="F68" s="1248"/>
      <c r="G68" s="1248"/>
      <c r="H68" s="1248"/>
      <c r="I68" s="1248"/>
      <c r="J68" s="1248"/>
      <c r="K68" s="1248"/>
      <c r="L68" s="1248"/>
      <c r="M68" s="1248"/>
      <c r="N68" s="1248"/>
      <c r="O68" s="1248"/>
      <c r="P68" s="1248"/>
      <c r="Q68" s="1248"/>
    </row>
    <row r="69" spans="2:17" ht="22.5" customHeight="1">
      <c r="B69" s="1239" t="s">
        <v>11</v>
      </c>
      <c r="C69" s="1239"/>
      <c r="D69" s="1239"/>
      <c r="E69" s="1239"/>
      <c r="F69" s="1239"/>
      <c r="G69" s="1239"/>
      <c r="H69" s="1239"/>
      <c r="I69" s="1239"/>
      <c r="J69" s="1239"/>
      <c r="K69" s="1239"/>
      <c r="L69" s="1239"/>
      <c r="M69" s="1239"/>
      <c r="N69" s="1239"/>
      <c r="O69" s="1239"/>
      <c r="P69" s="1239"/>
      <c r="Q69" s="1239"/>
    </row>
    <row r="70" spans="2:17" ht="18">
      <c r="B70" s="1248"/>
      <c r="C70" s="1248"/>
      <c r="D70" s="1248"/>
      <c r="E70" s="1248"/>
      <c r="F70" s="1248"/>
      <c r="G70" s="1248"/>
      <c r="H70" s="1248"/>
      <c r="I70" s="1248"/>
      <c r="J70" s="1248"/>
      <c r="K70" s="1248"/>
      <c r="L70" s="1248"/>
      <c r="M70" s="1248"/>
      <c r="N70" s="1248"/>
      <c r="O70" s="1248"/>
      <c r="P70" s="1248"/>
      <c r="Q70" s="1248"/>
    </row>
    <row r="71" spans="2:17" ht="25.5" customHeight="1">
      <c r="D71" s="1306" t="s">
        <v>26</v>
      </c>
      <c r="E71" s="1306" t="s">
        <v>433</v>
      </c>
      <c r="F71" s="1306" t="s">
        <v>434</v>
      </c>
      <c r="G71" s="1307"/>
      <c r="H71" s="308"/>
      <c r="I71" s="1308"/>
      <c r="J71" s="1309" t="str">
        <f>'MENU DÉROULANT'!D76</f>
        <v>Technique</v>
      </c>
      <c r="K71" s="1310" t="str">
        <f>'MENU DÉROULANT'!D77</f>
        <v>Citoyen</v>
      </c>
      <c r="L71" s="319"/>
      <c r="N71" s="1304" t="s">
        <v>33</v>
      </c>
      <c r="O71" s="1305">
        <f>O63</f>
        <v>0</v>
      </c>
    </row>
    <row r="72" spans="2:17" ht="18" customHeight="1">
      <c r="B72" s="292"/>
      <c r="C72" s="292"/>
      <c r="D72" s="1097">
        <f>'FORMULAIRE PGA Eaux pluviales'!D220</f>
        <v>0</v>
      </c>
      <c r="E72" s="1097">
        <f>'FORMULAIRE PGA Eaux pluviales'!F220</f>
        <v>0</v>
      </c>
      <c r="F72" s="1097">
        <f>'FORMULAIRE PGA Eaux pluviales'!G220</f>
        <v>0</v>
      </c>
      <c r="G72" s="28">
        <v>1</v>
      </c>
      <c r="H72" s="1311"/>
      <c r="I72" s="1312" t="str">
        <f>'MENU DÉROULANT'!C76</f>
        <v>Fonction</v>
      </c>
      <c r="J72" s="1313">
        <f>SUMIFS($G$72:$G$81,$E$72:$E$81,I72,$F$72:$F$81,$J$71)</f>
        <v>0</v>
      </c>
      <c r="K72" s="1314">
        <f>SUMIFS($G$72:$G$81,$E$72:$E$81,I72,$F$72:$F$81,$K$71)</f>
        <v>0</v>
      </c>
      <c r="L72" s="319"/>
      <c r="M72" s="319"/>
      <c r="N72" s="148"/>
    </row>
    <row r="73" spans="2:17" ht="18" customHeight="1">
      <c r="B73" s="292"/>
      <c r="C73" s="292"/>
      <c r="D73" s="1097">
        <f>'FORMULAIRE PGA Eaux pluviales'!D221</f>
        <v>0</v>
      </c>
      <c r="E73" s="1097">
        <f>'FORMULAIRE PGA Eaux pluviales'!F221</f>
        <v>0</v>
      </c>
      <c r="F73" s="1097">
        <f>'FORMULAIRE PGA Eaux pluviales'!G221</f>
        <v>0</v>
      </c>
      <c r="G73" s="28">
        <v>1</v>
      </c>
      <c r="H73" s="1311"/>
      <c r="I73" s="1312" t="str">
        <f>'MENU DÉROULANT'!C77</f>
        <v>Qualité</v>
      </c>
      <c r="J73" s="1315">
        <f>SUMIFS($G$72:$G$81,$E$72:$E$81,I73,$F$72:$F$81,$J$71)</f>
        <v>0</v>
      </c>
      <c r="K73" s="1316">
        <f>SUMIFS($G$72:$G$81,$E$72:$E$81,I73,$F$72:$F$81,$K$71)</f>
        <v>0</v>
      </c>
      <c r="L73" s="319"/>
      <c r="M73" s="319"/>
    </row>
    <row r="74" spans="2:17" ht="18" customHeight="1">
      <c r="B74" s="292"/>
      <c r="C74" s="292"/>
      <c r="D74" s="1097">
        <f>'FORMULAIRE PGA Eaux pluviales'!D222</f>
        <v>0</v>
      </c>
      <c r="E74" s="1097">
        <f>'FORMULAIRE PGA Eaux pluviales'!F222</f>
        <v>0</v>
      </c>
      <c r="F74" s="1097">
        <f>'FORMULAIRE PGA Eaux pluviales'!G222</f>
        <v>0</v>
      </c>
      <c r="G74" s="28">
        <v>1</v>
      </c>
      <c r="H74" s="1311"/>
      <c r="I74" s="1312" t="str">
        <f>'MENU DÉROULANT'!C78</f>
        <v>État</v>
      </c>
      <c r="J74" s="1315">
        <f>SUMIFS($G$72:$G$81,$E$72:$E$81,I74,$F$72:$F$81,$J$71)</f>
        <v>0</v>
      </c>
      <c r="K74" s="1316">
        <f>SUMIFS($G$72:$G$81,$E$72:$E$81,I74,$F$72:$F$81,$K$71)</f>
        <v>0</v>
      </c>
      <c r="L74" s="319"/>
      <c r="M74" s="319"/>
      <c r="N74" s="148"/>
    </row>
    <row r="75" spans="2:17" ht="18" customHeight="1">
      <c r="B75" s="292"/>
      <c r="C75" s="292"/>
      <c r="D75" s="1097">
        <f>'FORMULAIRE PGA Eaux pluviales'!D223</f>
        <v>0</v>
      </c>
      <c r="E75" s="1097">
        <f>'FORMULAIRE PGA Eaux pluviales'!F223</f>
        <v>0</v>
      </c>
      <c r="F75" s="1097">
        <f>'FORMULAIRE PGA Eaux pluviales'!G223</f>
        <v>0</v>
      </c>
      <c r="G75" s="28">
        <v>1</v>
      </c>
      <c r="H75" s="1311"/>
      <c r="I75" s="1312" t="str">
        <f>'MENU DÉROULANT'!C79</f>
        <v>Capacité</v>
      </c>
      <c r="J75" s="1315">
        <f>SUMIFS($G$72:$G$81,$E$72:$E$81,I75,$F$72:$F$81,$J$71)</f>
        <v>0</v>
      </c>
      <c r="K75" s="1316">
        <f>SUMIFS($G$72:$G$81,$E$72:$E$81,I75,$F$72:$F$81,$K$71)</f>
        <v>0</v>
      </c>
      <c r="L75" s="319"/>
      <c r="M75" s="319"/>
      <c r="N75" s="148"/>
    </row>
    <row r="76" spans="2:17" ht="18" customHeight="1">
      <c r="B76" s="292"/>
      <c r="C76" s="292"/>
      <c r="D76" s="1097">
        <f>'FORMULAIRE PGA Eaux pluviales'!D224</f>
        <v>0</v>
      </c>
      <c r="E76" s="1097">
        <f>'FORMULAIRE PGA Eaux pluviales'!F224</f>
        <v>0</v>
      </c>
      <c r="F76" s="1097">
        <f>'FORMULAIRE PGA Eaux pluviales'!G224</f>
        <v>0</v>
      </c>
      <c r="G76" s="28">
        <v>1</v>
      </c>
      <c r="H76" s="1311"/>
      <c r="I76" s="1317" t="str">
        <f>'MENU DÉROULANT'!C80</f>
        <v>Autre</v>
      </c>
      <c r="J76" s="1318">
        <f>SUMIFS($G$72:$G$81,$E$72:$E$81,I76,$F$72:$F$81,$J$71)</f>
        <v>0</v>
      </c>
      <c r="K76" s="1319">
        <f>SUMIFS($G$72:$G$81,$E$72:$E$81,I76,$F$72:$F$81,$K$71)</f>
        <v>0</v>
      </c>
      <c r="L76" s="319"/>
      <c r="M76" s="319"/>
      <c r="N76" s="148"/>
    </row>
    <row r="77" spans="2:17" ht="18" customHeight="1">
      <c r="D77" s="1097">
        <f>'FORMULAIRE PGA Eaux pluviales'!D225</f>
        <v>0</v>
      </c>
      <c r="E77" s="1097">
        <f>'FORMULAIRE PGA Eaux pluviales'!F225</f>
        <v>0</v>
      </c>
      <c r="F77" s="1097">
        <f>'FORMULAIRE PGA Eaux pluviales'!G225</f>
        <v>0</v>
      </c>
      <c r="G77" s="28">
        <v>1</v>
      </c>
      <c r="H77" s="1311"/>
      <c r="I77" s="1311"/>
      <c r="K77" s="1097"/>
      <c r="L77" s="319"/>
      <c r="M77" s="319"/>
    </row>
    <row r="78" spans="2:17" ht="18" customHeight="1">
      <c r="D78" s="1097">
        <f>'FORMULAIRE PGA Eaux pluviales'!D226</f>
        <v>0</v>
      </c>
      <c r="E78" s="1097">
        <f>'FORMULAIRE PGA Eaux pluviales'!F226</f>
        <v>0</v>
      </c>
      <c r="F78" s="1097">
        <f>'FORMULAIRE PGA Eaux pluviales'!G226</f>
        <v>0</v>
      </c>
      <c r="G78" s="28">
        <v>1</v>
      </c>
      <c r="H78" s="1311"/>
      <c r="I78" s="1311"/>
      <c r="J78" s="319"/>
      <c r="K78" s="1097"/>
      <c r="L78" s="319"/>
      <c r="M78" s="1320"/>
      <c r="N78" s="319"/>
    </row>
    <row r="79" spans="2:17" ht="18" customHeight="1">
      <c r="D79" s="1097">
        <f>'FORMULAIRE PGA Eaux pluviales'!D227</f>
        <v>0</v>
      </c>
      <c r="E79" s="1097">
        <f>'FORMULAIRE PGA Eaux pluviales'!F227</f>
        <v>0</v>
      </c>
      <c r="F79" s="1097">
        <f>'FORMULAIRE PGA Eaux pluviales'!G227</f>
        <v>0</v>
      </c>
      <c r="G79" s="28">
        <v>1</v>
      </c>
      <c r="H79" s="1311"/>
      <c r="I79" s="1311"/>
      <c r="J79" s="319"/>
      <c r="K79" s="1097"/>
      <c r="L79" s="319"/>
      <c r="M79" s="1320"/>
      <c r="N79" s="319"/>
    </row>
    <row r="80" spans="2:17" ht="18" customHeight="1">
      <c r="D80" s="1097">
        <f>'FORMULAIRE PGA Eaux pluviales'!D228</f>
        <v>0</v>
      </c>
      <c r="E80" s="1097">
        <f>'FORMULAIRE PGA Eaux pluviales'!F228</f>
        <v>0</v>
      </c>
      <c r="F80" s="1097">
        <f>'FORMULAIRE PGA Eaux pluviales'!G228</f>
        <v>0</v>
      </c>
      <c r="G80" s="28">
        <v>1</v>
      </c>
      <c r="H80" s="1311"/>
      <c r="I80" s="1311"/>
      <c r="J80" s="319"/>
      <c r="K80" s="1097"/>
      <c r="L80" s="319"/>
      <c r="M80" s="1320"/>
      <c r="N80" s="319"/>
    </row>
    <row r="81" spans="2:17" ht="18" customHeight="1">
      <c r="D81" s="1097">
        <f>'FORMULAIRE PGA Eaux pluviales'!D229</f>
        <v>0</v>
      </c>
      <c r="E81" s="1097">
        <f>'FORMULAIRE PGA Eaux pluviales'!F229</f>
        <v>0</v>
      </c>
      <c r="F81" s="1097">
        <f>'FORMULAIRE PGA Eaux pluviales'!G229</f>
        <v>0</v>
      </c>
      <c r="G81" s="28">
        <v>1</v>
      </c>
      <c r="H81" s="1311"/>
      <c r="I81" s="1311"/>
      <c r="J81" s="319"/>
      <c r="K81" s="1097"/>
      <c r="L81" s="319"/>
      <c r="M81" s="1320"/>
      <c r="N81" s="319"/>
    </row>
    <row r="82" spans="2:17" ht="18" customHeight="1">
      <c r="D82" s="1097"/>
      <c r="E82" s="1097"/>
      <c r="F82" s="1097"/>
      <c r="H82" s="1311"/>
      <c r="I82" s="1311"/>
      <c r="J82" s="319"/>
      <c r="K82" s="1097"/>
      <c r="L82" s="319"/>
      <c r="M82" s="1320"/>
      <c r="N82" s="319"/>
    </row>
    <row r="83" spans="2:17">
      <c r="M83" s="1097"/>
    </row>
    <row r="84" spans="2:17" ht="22.5" customHeight="1">
      <c r="B84" s="1239" t="s">
        <v>12</v>
      </c>
      <c r="C84" s="1239"/>
      <c r="D84" s="1239"/>
      <c r="E84" s="1239"/>
      <c r="F84" s="1239"/>
      <c r="G84" s="1239"/>
      <c r="H84" s="1239"/>
      <c r="I84" s="1239"/>
      <c r="J84" s="1239"/>
      <c r="K84" s="1239"/>
      <c r="L84" s="1239"/>
      <c r="M84" s="1239"/>
      <c r="N84" s="1239"/>
      <c r="O84" s="1239"/>
      <c r="P84" s="1239"/>
      <c r="Q84" s="1239"/>
    </row>
    <row r="86" spans="2:17" ht="25.5" customHeight="1">
      <c r="D86" s="1970" t="s">
        <v>26</v>
      </c>
      <c r="E86" s="1321" t="s">
        <v>435</v>
      </c>
      <c r="F86" s="1321" t="s">
        <v>436</v>
      </c>
      <c r="G86" s="72"/>
      <c r="H86" s="1321"/>
      <c r="I86" s="3553" t="s">
        <v>435</v>
      </c>
      <c r="J86" s="3554"/>
      <c r="K86" s="3553" t="s">
        <v>436</v>
      </c>
      <c r="L86" s="3554"/>
      <c r="N86" s="1304" t="s">
        <v>33</v>
      </c>
      <c r="O86" s="1305">
        <f>O63</f>
        <v>0</v>
      </c>
    </row>
    <row r="87" spans="2:17">
      <c r="D87" s="292">
        <f>'FORMULAIRE PGA Eaux pluviales'!D220</f>
        <v>0</v>
      </c>
      <c r="E87" s="319">
        <f>'FORMULAIRE PGA Eaux pluviales'!H220</f>
        <v>0</v>
      </c>
      <c r="F87" s="319">
        <f>'FORMULAIRE PGA Eaux pluviales'!I220</f>
        <v>0</v>
      </c>
      <c r="I87" s="1322" t="str">
        <f>IF(E87=$G$94,"h",IF(E87=$G$95,"g",IF((E87=$G$96),"i","")))</f>
        <v/>
      </c>
      <c r="J87" s="1262" t="str">
        <f>IF(E87=$G$97,"Inconnu","")</f>
        <v/>
      </c>
      <c r="K87" s="1323" t="str">
        <f>IF(F87=$J$94,5,IF(F87=$J$95,0,IF((F87=$J$96),6,"")))</f>
        <v/>
      </c>
      <c r="L87" s="1324" t="str">
        <f>IF(F87=$J$97,"Aucun","")</f>
        <v/>
      </c>
    </row>
    <row r="88" spans="2:17">
      <c r="D88" s="292">
        <f>'FORMULAIRE PGA Eaux pluviales'!D221</f>
        <v>0</v>
      </c>
      <c r="E88" s="319">
        <f>'FORMULAIRE PGA Eaux pluviales'!H221</f>
        <v>0</v>
      </c>
      <c r="F88" s="319">
        <f>'FORMULAIRE PGA Eaux pluviales'!I221</f>
        <v>0</v>
      </c>
      <c r="I88" s="1322" t="str">
        <f>IF(E88=$G$94,"h",IF(E88=$G$95,"g",IF((E88=$G$96),"i","")))</f>
        <v/>
      </c>
      <c r="J88" s="1262" t="str">
        <f>IF(E88=$G$97,"Inconnu","")</f>
        <v/>
      </c>
      <c r="K88" s="1323" t="str">
        <f>IF(F88=$J$94,5,IF(F88=$J$95,0,IF((F88=$J$96),6,"")))</f>
        <v/>
      </c>
      <c r="L88" s="1324" t="str">
        <f>IF(F88=$J$97,"Aucun","")</f>
        <v/>
      </c>
    </row>
    <row r="89" spans="2:17">
      <c r="D89" s="292">
        <f>'FORMULAIRE PGA Eaux pluviales'!D222</f>
        <v>0</v>
      </c>
      <c r="E89" s="319">
        <f>'FORMULAIRE PGA Eaux pluviales'!H222</f>
        <v>0</v>
      </c>
      <c r="F89" s="319">
        <f>'FORMULAIRE PGA Eaux pluviales'!I222</f>
        <v>0</v>
      </c>
      <c r="I89" s="1325" t="str">
        <f>IF(E89=$G$94,"h",IF(E89=$G$95,"g",IF((E89=$G$96),"i","")))</f>
        <v/>
      </c>
      <c r="J89" s="1326" t="str">
        <f>IF(E89=$G$97,"Inconnu","")</f>
        <v/>
      </c>
      <c r="K89" s="1327" t="str">
        <f>IF(F89=$J$94,5,IF(F89=$J$95,0,IF((F89=$J$96),6,"")))</f>
        <v/>
      </c>
      <c r="L89" s="1328" t="str">
        <f>IF(F89=$J$97,"Aucun","")</f>
        <v/>
      </c>
    </row>
    <row r="90" spans="2:17">
      <c r="I90" s="1329" t="str">
        <f>IF(E90=$G$94,"h",IF(E90=$G$95,"g",IF((E90=$G$96),"i","")))</f>
        <v/>
      </c>
      <c r="J90" s="1330" t="str">
        <f>IF(E90=$G$97,"Inconnu","")</f>
        <v/>
      </c>
      <c r="K90" s="1329" t="str">
        <f>IF(F90=$J$94,5,IF(F90=$J$95,0,IF((F90=$J$96),6,"")))</f>
        <v/>
      </c>
      <c r="L90" s="1331" t="str">
        <f>IF(F90=$J$97,"Aucun","")</f>
        <v/>
      </c>
    </row>
    <row r="91" spans="2:17">
      <c r="I91" s="1325" t="str">
        <f>IF(E91=$G$94,"h",IF(E91=$G$95,"g",IF((E91=$G$96),"i","")))</f>
        <v/>
      </c>
      <c r="J91" s="1326" t="str">
        <f>IF(E91=$G$97,"Inconnu","")</f>
        <v/>
      </c>
      <c r="K91" s="1325" t="str">
        <f>IF(F91=$J$94,5,IF(F91=$J$95,0,IF((F91=$J$96),6,"")))</f>
        <v/>
      </c>
      <c r="L91" s="1328" t="str">
        <f>IF(F91=$J$97,"Aucun","")</f>
        <v/>
      </c>
    </row>
    <row r="92" spans="2:17">
      <c r="I92" s="1320"/>
      <c r="K92" s="1320"/>
    </row>
    <row r="93" spans="2:17" ht="15.6">
      <c r="F93" s="1332"/>
      <c r="G93" s="1333" t="s">
        <v>437</v>
      </c>
      <c r="H93" s="1334"/>
      <c r="I93" s="1332"/>
      <c r="J93" s="1333" t="s">
        <v>438</v>
      </c>
      <c r="K93" s="1320"/>
    </row>
    <row r="94" spans="2:17">
      <c r="G94" s="1320" t="str">
        <f>'MENU DÉROULANT'!E76</f>
        <v>Amélioration</v>
      </c>
      <c r="H94" s="319"/>
      <c r="J94" s="1320" t="str">
        <f>'MENU DÉROULANT'!F76</f>
        <v>Augmenter la performance</v>
      </c>
      <c r="K94" s="1320"/>
    </row>
    <row r="95" spans="2:17">
      <c r="G95" s="1320" t="str">
        <f>'MENU DÉROULANT'!E77</f>
        <v>Stabilité</v>
      </c>
      <c r="H95" s="319"/>
      <c r="J95" s="1320" t="str">
        <f>'MENU DÉROULANT'!F77</f>
        <v>Maintenir la performance</v>
      </c>
      <c r="K95" s="1320"/>
    </row>
    <row r="96" spans="2:17">
      <c r="G96" s="1320" t="str">
        <f>'MENU DÉROULANT'!E78</f>
        <v>Détérioration</v>
      </c>
      <c r="H96" s="319"/>
      <c r="J96" s="1320" t="str">
        <f>'MENU DÉROULANT'!F78</f>
        <v>Diminuer la performance</v>
      </c>
      <c r="K96" s="1320"/>
    </row>
    <row r="97" spans="2:17">
      <c r="G97" s="1320" t="str">
        <f>'MENU DÉROULANT'!E79</f>
        <v>Inconnu</v>
      </c>
      <c r="J97" s="1320" t="str">
        <f>'MENU DÉROULANT'!F79</f>
        <v>Aucun objectif pour le moment</v>
      </c>
      <c r="K97" s="319"/>
    </row>
    <row r="98" spans="2:17">
      <c r="G98" s="1320"/>
      <c r="J98" s="1320"/>
      <c r="K98" s="319"/>
    </row>
    <row r="99" spans="2:17">
      <c r="I99" s="319"/>
      <c r="K99" s="319"/>
    </row>
    <row r="100" spans="2:17" ht="31.5" customHeight="1">
      <c r="B100" s="1237" t="s">
        <v>3</v>
      </c>
      <c r="C100" s="1237"/>
      <c r="D100" s="1238"/>
      <c r="E100" s="1238"/>
      <c r="F100" s="1238"/>
      <c r="G100" s="1238"/>
      <c r="H100" s="1238"/>
      <c r="I100" s="1238"/>
      <c r="J100" s="1238"/>
      <c r="K100" s="1238"/>
      <c r="L100" s="1238"/>
      <c r="M100" s="1238"/>
      <c r="N100" s="1238"/>
      <c r="O100" s="1238"/>
      <c r="P100" s="1238"/>
      <c r="Q100" s="1238"/>
    </row>
    <row r="102" spans="2:17" ht="22.5" customHeight="1">
      <c r="B102" s="1239" t="s">
        <v>13</v>
      </c>
      <c r="C102" s="1239"/>
      <c r="D102" s="1239"/>
      <c r="E102" s="1239"/>
      <c r="F102" s="1239"/>
      <c r="G102" s="1239"/>
      <c r="H102" s="1239"/>
      <c r="I102" s="1239"/>
      <c r="J102" s="1239"/>
      <c r="K102" s="1239"/>
      <c r="L102" s="1239"/>
      <c r="M102" s="1239"/>
      <c r="N102" s="1239"/>
      <c r="O102" s="1239"/>
      <c r="P102" s="1239"/>
      <c r="Q102" s="1239"/>
    </row>
    <row r="104" spans="2:17" ht="18">
      <c r="D104" s="1335" t="str">
        <f>'FORMULAIRE PGA Eaux pluviales'!D311</f>
        <v>Catégories de changements</v>
      </c>
    </row>
    <row r="105" spans="2:17">
      <c r="D105" s="1320" t="str">
        <f>'FORMULAIRE PGA Eaux pluviales'!D312</f>
        <v>Démographiques</v>
      </c>
      <c r="E105" s="1336">
        <f>'FORMULAIRE PGA Eaux pluviales'!F312</f>
        <v>0</v>
      </c>
      <c r="I105" s="28">
        <f t="shared" ref="I105:I110" si="1">IF(E105=$L$109,4,IF(E105=$L$108,3,IF(E105=$L$107,2,IF(E105=$L$106,1,0))))</f>
        <v>0</v>
      </c>
      <c r="K105" s="28" t="s">
        <v>439</v>
      </c>
      <c r="L105" s="1337" t="str">
        <f>'MENU DÉROULANT'!C99</f>
        <v>Aucun changement n'est anticipé.</v>
      </c>
    </row>
    <row r="106" spans="2:17">
      <c r="D106" s="1320" t="str">
        <f>'FORMULAIRE PGA Eaux pluviales'!D313</f>
        <v>Climatiques</v>
      </c>
      <c r="E106" s="1336">
        <f>'FORMULAIRE PGA Eaux pluviales'!F313</f>
        <v>0</v>
      </c>
      <c r="I106" s="28">
        <f t="shared" si="1"/>
        <v>0</v>
      </c>
      <c r="L106" s="1337" t="str">
        <f>'MENU DÉROULANT'!C100</f>
        <v>Des changements sont anticipés à court terme (1-4 ans).</v>
      </c>
    </row>
    <row r="107" spans="2:17">
      <c r="D107" s="1320" t="str">
        <f>'FORMULAIRE PGA Eaux pluviales'!D314</f>
        <v>Cadre légal et règlementaire</v>
      </c>
      <c r="E107" s="1336">
        <f>'FORMULAIRE PGA Eaux pluviales'!F314</f>
        <v>0</v>
      </c>
      <c r="I107" s="28">
        <f t="shared" si="1"/>
        <v>0</v>
      </c>
      <c r="L107" s="1337" t="str">
        <f>'MENU DÉROULANT'!C101</f>
        <v>Des changements sont anticipés à moyen terme (5-7 ans).</v>
      </c>
    </row>
    <row r="108" spans="2:17">
      <c r="D108" s="1320" t="str">
        <f>'FORMULAIRE PGA Eaux pluviales'!D315</f>
        <v>Économiques</v>
      </c>
      <c r="E108" s="1336">
        <f>'FORMULAIRE PGA Eaux pluviales'!F315</f>
        <v>0</v>
      </c>
      <c r="I108" s="28">
        <f t="shared" si="1"/>
        <v>0</v>
      </c>
      <c r="L108" s="1337" t="str">
        <f>'MENU DÉROULANT'!C102</f>
        <v>Des changements sont à prévoir à long terme (8-10 ans).</v>
      </c>
    </row>
    <row r="109" spans="2:17">
      <c r="D109" s="1320" t="str">
        <f>'FORMULAIRE PGA Eaux pluviales'!D316</f>
        <v>Technologiques</v>
      </c>
      <c r="E109" s="1336">
        <f>'FORMULAIRE PGA Eaux pluviales'!F316</f>
        <v>0</v>
      </c>
      <c r="I109" s="28">
        <f t="shared" si="1"/>
        <v>0</v>
      </c>
      <c r="L109" s="1337" t="str">
        <f>'MENU DÉROULANT'!C103</f>
        <v>Des changements sont à prévoir continuellement sur 10 ans.</v>
      </c>
    </row>
    <row r="110" spans="2:17">
      <c r="D110" s="1320" t="str">
        <f>CONCATENATE(K110,L110)</f>
        <v xml:space="preserve">Autre </v>
      </c>
      <c r="E110" s="1336">
        <f>'FORMULAIRE PGA Eaux pluviales'!F317</f>
        <v>0</v>
      </c>
      <c r="I110" s="28">
        <f t="shared" si="1"/>
        <v>0</v>
      </c>
      <c r="K110" s="1338" t="s">
        <v>42</v>
      </c>
      <c r="L110" s="3562" t="str">
        <f>IF('FORMULAIRE PGA Eaux pluviales'!E317=0,"",CONCATENATE("(",'FORMULAIRE PGA Eaux pluviales'!E317,")"))</f>
        <v/>
      </c>
      <c r="M110" s="3562"/>
      <c r="N110" s="3562"/>
    </row>
    <row r="112" spans="2:17" ht="24.75" customHeight="1">
      <c r="D112" s="1339"/>
      <c r="K112" s="1340" t="s">
        <v>440</v>
      </c>
      <c r="L112" s="1341">
        <f>IF(OR(I41=1,K36=1),'FORMULAIRE PGA Eaux pluviales'!G621,IF(I33=1,'FORMULAIRE PGA Eaux pluviales'!L621,ROUNDDOWN(AVERAGE('FORMULAIRE PGA Eaux pluviales'!G621,'FORMULAIRE PGA Eaux pluviales'!L621),0)))</f>
        <v>0</v>
      </c>
    </row>
    <row r="115" spans="2:17" ht="22.5" customHeight="1">
      <c r="B115" s="1239" t="s">
        <v>14</v>
      </c>
      <c r="C115" s="1239"/>
      <c r="D115" s="1239"/>
      <c r="E115" s="1239"/>
      <c r="F115" s="1239"/>
      <c r="G115" s="1239"/>
      <c r="H115" s="1239"/>
      <c r="I115" s="1239"/>
      <c r="J115" s="1239"/>
      <c r="K115" s="1239"/>
      <c r="L115" s="1239"/>
      <c r="M115" s="1239"/>
      <c r="N115" s="1239"/>
      <c r="O115" s="1239"/>
      <c r="P115" s="1239"/>
      <c r="Q115" s="1239"/>
    </row>
    <row r="117" spans="2:17" ht="18">
      <c r="D117" s="1335" t="str">
        <f>'FORMULAIRE PGA Eaux pluviales'!D268</f>
        <v>Catégories de risques</v>
      </c>
    </row>
    <row r="118" spans="2:17">
      <c r="D118" s="1320" t="str">
        <f>CONCATENATE(K123,L123)</f>
        <v xml:space="preserve">Autre </v>
      </c>
      <c r="E118" s="1336">
        <f>'FORMULAIRE PGA Eaux pluviales'!F274</f>
        <v>0</v>
      </c>
      <c r="I118" s="28">
        <f t="shared" ref="I118:I123" si="2">IF(E118=$L$121,3,IF(E118=$L$120,2,IF(E118=$L$119,1,0)))</f>
        <v>0</v>
      </c>
      <c r="K118" s="28" t="s">
        <v>439</v>
      </c>
      <c r="L118" s="319" t="str">
        <f>'MENU DÉROULANT'!C88</f>
        <v>Aucun risque associé n'a été déterminé.</v>
      </c>
    </row>
    <row r="119" spans="2:17">
      <c r="D119" s="1320" t="str">
        <f>'FORMULAIRE PGA Eaux pluviales'!D272</f>
        <v>Manque d'informations</v>
      </c>
      <c r="E119" s="1336">
        <f>'FORMULAIRE PGA Eaux pluviales'!F272</f>
        <v>0</v>
      </c>
      <c r="I119" s="28">
        <f t="shared" si="2"/>
        <v>0</v>
      </c>
      <c r="L119" s="319" t="str">
        <f>'MENU DÉROULANT'!C89</f>
        <v>Les risques associés sont de niveau modéré ou faible.</v>
      </c>
    </row>
    <row r="120" spans="2:17">
      <c r="D120" s="1320" t="str">
        <f>'FORMULAIRE PGA Eaux pluviales'!D273</f>
        <v>Changements climatiques</v>
      </c>
      <c r="E120" s="1336">
        <f>'FORMULAIRE PGA Eaux pluviales'!F273</f>
        <v>0</v>
      </c>
      <c r="I120" s="28">
        <f t="shared" si="2"/>
        <v>0</v>
      </c>
      <c r="L120" s="319" t="str">
        <f>'MENU DÉROULANT'!C90</f>
        <v>Certains risques associés sont de niveau élevé.</v>
      </c>
    </row>
    <row r="121" spans="2:17">
      <c r="D121" s="1320" t="str">
        <f>'FORMULAIRE PGA Eaux pluviales'!D271</f>
        <v>Sous-financement</v>
      </c>
      <c r="E121" s="1336">
        <f>'FORMULAIRE PGA Eaux pluviales'!F271</f>
        <v>0</v>
      </c>
      <c r="I121" s="28">
        <f t="shared" si="2"/>
        <v>0</v>
      </c>
      <c r="L121" s="319" t="str">
        <f>'MENU DÉROULANT'!C91</f>
        <v>Certains risques associés sont de niveau très élevé.</v>
      </c>
    </row>
    <row r="122" spans="2:17">
      <c r="D122" s="1320" t="str">
        <f>'FORMULAIRE PGA Eaux pluviales'!D270</f>
        <v>Dotation de personnel</v>
      </c>
      <c r="E122" s="1336">
        <f>'FORMULAIRE PGA Eaux pluviales'!F270</f>
        <v>0</v>
      </c>
      <c r="I122" s="28">
        <f t="shared" si="2"/>
        <v>0</v>
      </c>
    </row>
    <row r="123" spans="2:17">
      <c r="D123" s="1320" t="str">
        <f>'FORMULAIRE PGA Eaux pluviales'!D269</f>
        <v>Actifs critiques</v>
      </c>
      <c r="E123" s="1336">
        <f>'FORMULAIRE PGA Eaux pluviales'!F269</f>
        <v>0</v>
      </c>
      <c r="I123" s="28">
        <f t="shared" si="2"/>
        <v>0</v>
      </c>
      <c r="K123" s="1343" t="s">
        <v>42</v>
      </c>
      <c r="L123" s="3562" t="str">
        <f>IF('FORMULAIRE PGA Eaux pluviales'!E274=0,"",CONCATENATE("(",'FORMULAIRE PGA Eaux pluviales'!E274,")"))</f>
        <v/>
      </c>
      <c r="M123" s="3562"/>
      <c r="N123" s="3562"/>
    </row>
    <row r="125" spans="2:17" ht="24.75" customHeight="1">
      <c r="K125" s="1340" t="s">
        <v>440</v>
      </c>
      <c r="L125" s="1341">
        <f>IF(OR(I41=1,K36=1),'FORMULAIRE PGA Eaux pluviales'!G617,IF(I33=1,'FORMULAIRE PGA Eaux pluviales'!L617,ROUNDDOWN(AVERAGE('FORMULAIRE PGA Eaux pluviales'!G617,'FORMULAIRE PGA Eaux pluviales'!L617),0)))</f>
        <v>0</v>
      </c>
    </row>
    <row r="129" spans="2:17" ht="31.5" customHeight="1">
      <c r="B129" s="1237" t="s">
        <v>4</v>
      </c>
      <c r="C129" s="1237"/>
      <c r="D129" s="1238"/>
      <c r="E129" s="1238"/>
      <c r="F129" s="1238"/>
      <c r="G129" s="1238"/>
      <c r="H129" s="1238"/>
      <c r="I129" s="1238"/>
      <c r="J129" s="1238"/>
      <c r="K129" s="1238"/>
      <c r="L129" s="1238"/>
      <c r="M129" s="1238"/>
      <c r="N129" s="1238"/>
      <c r="O129" s="1238"/>
      <c r="P129" s="1238"/>
      <c r="Q129" s="1238"/>
    </row>
    <row r="132" spans="2:17" ht="22.5" customHeight="1">
      <c r="B132" s="1239" t="s">
        <v>15</v>
      </c>
      <c r="C132" s="1239"/>
      <c r="D132" s="1239"/>
      <c r="E132" s="1239"/>
      <c r="F132" s="1239"/>
      <c r="G132" s="1239"/>
      <c r="H132" s="1239"/>
      <c r="I132" s="1239"/>
      <c r="J132" s="1239"/>
      <c r="K132" s="1239"/>
      <c r="L132" s="1239"/>
      <c r="M132" s="1239"/>
      <c r="N132" s="1239"/>
      <c r="O132" s="1239"/>
      <c r="P132" s="1239"/>
      <c r="Q132" s="1239"/>
    </row>
    <row r="133" spans="2:17" ht="21">
      <c r="B133" s="1344"/>
      <c r="C133" s="1344"/>
    </row>
    <row r="134" spans="2:17" ht="24.75" customHeight="1">
      <c r="D134" s="1345" t="s">
        <v>441</v>
      </c>
      <c r="E134" s="1299"/>
      <c r="F134" s="1299"/>
      <c r="G134" s="1299"/>
      <c r="H134" s="1299"/>
      <c r="I134" s="1299"/>
      <c r="J134" s="1299"/>
      <c r="K134" s="1299"/>
      <c r="L134" s="1299"/>
      <c r="M134" s="1299"/>
      <c r="N134" s="1299"/>
      <c r="O134" s="1299"/>
    </row>
    <row r="135" spans="2:17" ht="6" customHeight="1">
      <c r="B135" s="1344"/>
      <c r="C135" s="1344"/>
    </row>
    <row r="136" spans="2:17" ht="6" customHeight="1">
      <c r="B136" s="1344"/>
      <c r="C136" s="1344"/>
    </row>
    <row r="137" spans="2:17">
      <c r="B137" s="308"/>
      <c r="C137" s="308"/>
      <c r="D137" s="1346"/>
      <c r="E137" s="1346">
        <f>'FORMULAIRE PGA Eaux pluviales'!E410</f>
        <v>0</v>
      </c>
      <c r="F137" s="1346">
        <f>E137+1</f>
        <v>1</v>
      </c>
      <c r="G137" s="1346">
        <f t="shared" ref="G137:N137" si="3">F137+1</f>
        <v>2</v>
      </c>
      <c r="H137" s="1346">
        <f t="shared" si="3"/>
        <v>3</v>
      </c>
      <c r="I137" s="1346">
        <f t="shared" si="3"/>
        <v>4</v>
      </c>
      <c r="J137" s="1346">
        <f t="shared" si="3"/>
        <v>5</v>
      </c>
      <c r="K137" s="1346">
        <f t="shared" si="3"/>
        <v>6</v>
      </c>
      <c r="L137" s="1346">
        <f t="shared" si="3"/>
        <v>7</v>
      </c>
      <c r="M137" s="1346">
        <f t="shared" si="3"/>
        <v>8</v>
      </c>
      <c r="N137" s="1346">
        <f t="shared" si="3"/>
        <v>9</v>
      </c>
      <c r="O137" s="1347" t="s">
        <v>442</v>
      </c>
    </row>
    <row r="138" spans="2:17">
      <c r="D138" s="1348" t="s">
        <v>100</v>
      </c>
      <c r="E138" s="1349">
        <f>E192+E209</f>
        <v>0</v>
      </c>
      <c r="F138" s="1349">
        <f>E138</f>
        <v>0</v>
      </c>
      <c r="G138" s="1349">
        <f t="shared" ref="G138:N138" si="4">F138</f>
        <v>0</v>
      </c>
      <c r="H138" s="1349">
        <f t="shared" si="4"/>
        <v>0</v>
      </c>
      <c r="I138" s="1349">
        <f t="shared" si="4"/>
        <v>0</v>
      </c>
      <c r="J138" s="1349">
        <f t="shared" si="4"/>
        <v>0</v>
      </c>
      <c r="K138" s="1349">
        <f t="shared" si="4"/>
        <v>0</v>
      </c>
      <c r="L138" s="1349">
        <f t="shared" si="4"/>
        <v>0</v>
      </c>
      <c r="M138" s="1349">
        <f t="shared" si="4"/>
        <v>0</v>
      </c>
      <c r="N138" s="1349">
        <f t="shared" si="4"/>
        <v>0</v>
      </c>
      <c r="O138" s="1350">
        <f t="shared" ref="O138:O143" si="5">SUM(E138:N138)</f>
        <v>0</v>
      </c>
    </row>
    <row r="139" spans="2:17">
      <c r="D139" s="903" t="s">
        <v>101</v>
      </c>
      <c r="E139" s="1299">
        <f>E193+E210</f>
        <v>0</v>
      </c>
      <c r="F139" s="1299">
        <f t="shared" ref="F139:N139" si="6">F193+F210</f>
        <v>0</v>
      </c>
      <c r="G139" s="1299">
        <f t="shared" si="6"/>
        <v>0</v>
      </c>
      <c r="H139" s="1299">
        <f t="shared" si="6"/>
        <v>0</v>
      </c>
      <c r="I139" s="1299">
        <f t="shared" si="6"/>
        <v>0</v>
      </c>
      <c r="J139" s="1299">
        <f t="shared" si="6"/>
        <v>0</v>
      </c>
      <c r="K139" s="1299">
        <f t="shared" si="6"/>
        <v>0</v>
      </c>
      <c r="L139" s="1299">
        <f t="shared" si="6"/>
        <v>0</v>
      </c>
      <c r="M139" s="1299">
        <f t="shared" si="6"/>
        <v>0</v>
      </c>
      <c r="N139" s="1299">
        <f t="shared" si="6"/>
        <v>0</v>
      </c>
      <c r="O139" s="1299">
        <f t="shared" si="5"/>
        <v>0</v>
      </c>
    </row>
    <row r="140" spans="2:17">
      <c r="D140" s="903" t="s">
        <v>102</v>
      </c>
      <c r="E140" s="1299">
        <f t="shared" ref="E140:N140" si="7">E194+E211</f>
        <v>0</v>
      </c>
      <c r="F140" s="1299">
        <f t="shared" si="7"/>
        <v>0</v>
      </c>
      <c r="G140" s="1299">
        <f t="shared" si="7"/>
        <v>0</v>
      </c>
      <c r="H140" s="1299">
        <f t="shared" si="7"/>
        <v>0</v>
      </c>
      <c r="I140" s="1299">
        <f t="shared" si="7"/>
        <v>0</v>
      </c>
      <c r="J140" s="1299">
        <f t="shared" si="7"/>
        <v>0</v>
      </c>
      <c r="K140" s="1299">
        <f t="shared" si="7"/>
        <v>0</v>
      </c>
      <c r="L140" s="1299">
        <f t="shared" si="7"/>
        <v>0</v>
      </c>
      <c r="M140" s="1299">
        <f t="shared" si="7"/>
        <v>0</v>
      </c>
      <c r="N140" s="1299">
        <f t="shared" si="7"/>
        <v>0</v>
      </c>
      <c r="O140" s="1299">
        <f t="shared" si="5"/>
        <v>0</v>
      </c>
    </row>
    <row r="141" spans="2:17">
      <c r="D141" s="903" t="s">
        <v>103</v>
      </c>
      <c r="E141" s="1299">
        <f t="shared" ref="E141:N141" si="8">E195+E212</f>
        <v>0</v>
      </c>
      <c r="F141" s="1299">
        <f t="shared" si="8"/>
        <v>0</v>
      </c>
      <c r="G141" s="1299">
        <f t="shared" si="8"/>
        <v>0</v>
      </c>
      <c r="H141" s="1299">
        <f t="shared" si="8"/>
        <v>0</v>
      </c>
      <c r="I141" s="1299">
        <f t="shared" si="8"/>
        <v>0</v>
      </c>
      <c r="J141" s="1299">
        <f t="shared" si="8"/>
        <v>0</v>
      </c>
      <c r="K141" s="1299">
        <f t="shared" si="8"/>
        <v>0</v>
      </c>
      <c r="L141" s="1299">
        <f t="shared" si="8"/>
        <v>0</v>
      </c>
      <c r="M141" s="1299">
        <f t="shared" si="8"/>
        <v>0</v>
      </c>
      <c r="N141" s="1299">
        <f t="shared" si="8"/>
        <v>0</v>
      </c>
      <c r="O141" s="1299">
        <f t="shared" si="5"/>
        <v>0</v>
      </c>
    </row>
    <row r="142" spans="2:17">
      <c r="D142" s="903" t="s">
        <v>104</v>
      </c>
      <c r="E142" s="1299">
        <f t="shared" ref="E142:N142" si="9">E196+E213</f>
        <v>0</v>
      </c>
      <c r="F142" s="1299">
        <f t="shared" si="9"/>
        <v>0</v>
      </c>
      <c r="G142" s="1299">
        <f t="shared" si="9"/>
        <v>0</v>
      </c>
      <c r="H142" s="1299">
        <f t="shared" si="9"/>
        <v>0</v>
      </c>
      <c r="I142" s="1299">
        <f t="shared" si="9"/>
        <v>0</v>
      </c>
      <c r="J142" s="1299">
        <f t="shared" si="9"/>
        <v>0</v>
      </c>
      <c r="K142" s="1299">
        <f t="shared" si="9"/>
        <v>0</v>
      </c>
      <c r="L142" s="1299">
        <f t="shared" si="9"/>
        <v>0</v>
      </c>
      <c r="M142" s="1299">
        <f t="shared" si="9"/>
        <v>0</v>
      </c>
      <c r="N142" s="1299">
        <f t="shared" si="9"/>
        <v>0</v>
      </c>
      <c r="O142" s="1299">
        <f t="shared" si="5"/>
        <v>0</v>
      </c>
    </row>
    <row r="143" spans="2:17">
      <c r="D143" s="1351" t="s">
        <v>105</v>
      </c>
      <c r="E143" s="1352">
        <f t="shared" ref="E143:N143" si="10">E197+E214</f>
        <v>0</v>
      </c>
      <c r="F143" s="1352">
        <f t="shared" si="10"/>
        <v>0</v>
      </c>
      <c r="G143" s="1352">
        <f t="shared" si="10"/>
        <v>0</v>
      </c>
      <c r="H143" s="1352">
        <f t="shared" si="10"/>
        <v>0</v>
      </c>
      <c r="I143" s="1352">
        <f t="shared" si="10"/>
        <v>0</v>
      </c>
      <c r="J143" s="1352">
        <f t="shared" si="10"/>
        <v>0</v>
      </c>
      <c r="K143" s="1352">
        <f t="shared" si="10"/>
        <v>0</v>
      </c>
      <c r="L143" s="1352">
        <f t="shared" si="10"/>
        <v>0</v>
      </c>
      <c r="M143" s="1352">
        <f t="shared" si="10"/>
        <v>0</v>
      </c>
      <c r="N143" s="1352">
        <f t="shared" si="10"/>
        <v>0</v>
      </c>
      <c r="O143" s="1352">
        <f t="shared" si="5"/>
        <v>0</v>
      </c>
    </row>
    <row r="144" spans="2:17">
      <c r="D144" s="903"/>
      <c r="E144" s="1299"/>
      <c r="F144" s="1299"/>
      <c r="G144" s="1299"/>
      <c r="H144" s="1299"/>
      <c r="I144" s="1299"/>
      <c r="J144" s="1299"/>
      <c r="K144" s="1299"/>
      <c r="L144" s="1299"/>
      <c r="M144" s="1299"/>
      <c r="N144" s="1299"/>
      <c r="O144" s="1299"/>
    </row>
    <row r="145" spans="2:16" ht="24.75" customHeight="1">
      <c r="D145" s="1345" t="s">
        <v>29</v>
      </c>
      <c r="E145" s="1299"/>
      <c r="F145" s="1299"/>
      <c r="H145" s="1299"/>
      <c r="I145" s="1299"/>
      <c r="J145" s="1299"/>
      <c r="M145" s="1299"/>
      <c r="N145" s="1299"/>
      <c r="O145" s="1299"/>
    </row>
    <row r="146" spans="2:16" ht="7.5" customHeight="1">
      <c r="D146" s="903"/>
      <c r="E146" s="1299"/>
      <c r="F146" s="1299"/>
      <c r="G146" s="1299"/>
      <c r="H146" s="1299"/>
      <c r="I146" s="1299"/>
      <c r="J146" s="1299"/>
      <c r="K146" s="1299"/>
      <c r="L146" s="1299"/>
      <c r="M146" s="1299"/>
      <c r="N146" s="1299"/>
      <c r="O146" s="1299"/>
    </row>
    <row r="147" spans="2:16" ht="18">
      <c r="B147" s="1353"/>
      <c r="C147" s="1353"/>
      <c r="E147" s="1971" t="s">
        <v>836</v>
      </c>
      <c r="F147" s="1354" t="s">
        <v>444</v>
      </c>
      <c r="G147" s="1354" t="s">
        <v>445</v>
      </c>
      <c r="H147" s="1354" t="s">
        <v>414</v>
      </c>
      <c r="I147" s="1299"/>
      <c r="K147" s="3560" t="s">
        <v>838</v>
      </c>
      <c r="L147" s="3561"/>
      <c r="M147" s="1354" t="s">
        <v>444</v>
      </c>
      <c r="N147" s="1354" t="s">
        <v>445</v>
      </c>
      <c r="O147" s="1354" t="s">
        <v>414</v>
      </c>
    </row>
    <row r="148" spans="2:16">
      <c r="E148" s="1097" t="s">
        <v>67</v>
      </c>
      <c r="F148" s="148">
        <f>'FORMULAIRE PGA Eaux pluviales'!G630</f>
        <v>0</v>
      </c>
      <c r="G148" s="1355">
        <v>0.5</v>
      </c>
      <c r="H148" s="3558">
        <f>ROUNDDOWN((F148*G148+F149*G149),0)</f>
        <v>0</v>
      </c>
      <c r="I148" s="1299"/>
      <c r="J148" s="1299"/>
      <c r="L148" s="1097" t="s">
        <v>67</v>
      </c>
      <c r="M148" s="148">
        <f>'FORMULAIRE PGA Eaux pluviales'!L630</f>
        <v>0</v>
      </c>
      <c r="N148" s="1355">
        <v>0.5</v>
      </c>
      <c r="O148" s="3558">
        <f>ROUNDDOWN((M148*N148+M149*N149),0)</f>
        <v>0</v>
      </c>
      <c r="P148" s="1356" t="s">
        <v>415</v>
      </c>
    </row>
    <row r="149" spans="2:16">
      <c r="E149" s="1097" t="s">
        <v>68</v>
      </c>
      <c r="F149" s="148">
        <f>'FORMULAIRE PGA Eaux pluviales'!G625</f>
        <v>0</v>
      </c>
      <c r="G149" s="1355">
        <v>0.5</v>
      </c>
      <c r="H149" s="3558"/>
      <c r="I149" s="1299"/>
      <c r="L149" s="1097" t="s">
        <v>68</v>
      </c>
      <c r="M149" s="148">
        <f>'FORMULAIRE PGA Eaux pluviales'!L625</f>
        <v>0</v>
      </c>
      <c r="N149" s="1355">
        <v>0.5</v>
      </c>
      <c r="O149" s="3558"/>
      <c r="P149" s="1357" t="s">
        <v>446</v>
      </c>
    </row>
    <row r="150" spans="2:16">
      <c r="E150" s="1097" t="s">
        <v>69</v>
      </c>
      <c r="F150" s="148">
        <f>'FORMULAIRE PGA Eaux pluviales'!G631</f>
        <v>0</v>
      </c>
      <c r="G150" s="1355">
        <f>2/3/3</f>
        <v>0.22222222222222221</v>
      </c>
      <c r="H150" s="3558">
        <f>ROUNDDOWN((F150*G150+F151*G151+F152*G152+F154*G154+F155*G155+F156*G156),0)</f>
        <v>0</v>
      </c>
      <c r="I150" s="1299"/>
      <c r="L150" s="1097" t="s">
        <v>69</v>
      </c>
      <c r="M150" s="148">
        <f>'FORMULAIRE PGA Eaux pluviales'!L631</f>
        <v>0</v>
      </c>
      <c r="N150" s="1355">
        <f>2/3/3</f>
        <v>0.22222222222222221</v>
      </c>
      <c r="O150" s="3558">
        <f>ROUNDDOWN((M150*N150+M151*N151+M152*N152+M154*N154+M155*N155+M156*N156),0)</f>
        <v>0</v>
      </c>
      <c r="P150" s="1357" t="s">
        <v>447</v>
      </c>
    </row>
    <row r="151" spans="2:16">
      <c r="E151" s="1097" t="s">
        <v>70</v>
      </c>
      <c r="F151" s="148">
        <f>'FORMULAIRE PGA Eaux pluviales'!G626</f>
        <v>0</v>
      </c>
      <c r="G151" s="1355">
        <f>2/3/3</f>
        <v>0.22222222222222221</v>
      </c>
      <c r="H151" s="3558"/>
      <c r="I151" s="1299"/>
      <c r="L151" s="1097" t="s">
        <v>70</v>
      </c>
      <c r="M151" s="148">
        <f>'FORMULAIRE PGA Eaux pluviales'!L626</f>
        <v>0</v>
      </c>
      <c r="N151" s="1355">
        <f>2/3/3</f>
        <v>0.22222222222222221</v>
      </c>
      <c r="O151" s="3558"/>
      <c r="P151" s="1357" t="s">
        <v>448</v>
      </c>
    </row>
    <row r="152" spans="2:16">
      <c r="E152" s="1097" t="s">
        <v>71</v>
      </c>
      <c r="F152" s="148">
        <f>'FORMULAIRE PGA Eaux pluviales'!G627</f>
        <v>0</v>
      </c>
      <c r="G152" s="1355">
        <f>2/3/3</f>
        <v>0.22222222222222221</v>
      </c>
      <c r="H152" s="3558"/>
      <c r="I152" s="1299"/>
      <c r="L152" s="1097" t="s">
        <v>71</v>
      </c>
      <c r="M152" s="148">
        <f>'FORMULAIRE PGA Eaux pluviales'!L627</f>
        <v>0</v>
      </c>
      <c r="N152" s="1355">
        <f>2/3/3</f>
        <v>0.22222222222222221</v>
      </c>
      <c r="O152" s="3558"/>
      <c r="P152" s="1357" t="s">
        <v>449</v>
      </c>
    </row>
    <row r="153" spans="2:16">
      <c r="E153" s="1300" t="s">
        <v>450</v>
      </c>
      <c r="G153" s="1355"/>
      <c r="H153" s="3558"/>
      <c r="I153" s="1299"/>
      <c r="L153" s="1300" t="s">
        <v>450</v>
      </c>
      <c r="N153" s="1355"/>
      <c r="O153" s="3558"/>
      <c r="P153" s="1357" t="s">
        <v>451</v>
      </c>
    </row>
    <row r="154" spans="2:16">
      <c r="E154" s="1097" t="s">
        <v>72</v>
      </c>
      <c r="F154" s="148">
        <f>'FORMULAIRE PGA Eaux pluviales'!G614</f>
        <v>0</v>
      </c>
      <c r="G154" s="1355">
        <f>1/3/3</f>
        <v>0.1111111111111111</v>
      </c>
      <c r="H154" s="3558"/>
      <c r="I154" s="1299"/>
      <c r="J154" s="1354"/>
      <c r="L154" s="1097" t="s">
        <v>72</v>
      </c>
      <c r="M154" s="148">
        <f>'FORMULAIRE PGA Eaux pluviales'!L614</f>
        <v>0</v>
      </c>
      <c r="N154" s="1355">
        <f>1/3/3</f>
        <v>0.1111111111111111</v>
      </c>
      <c r="O154" s="3558"/>
    </row>
    <row r="155" spans="2:16">
      <c r="E155" s="1097" t="s">
        <v>73</v>
      </c>
      <c r="F155" s="148">
        <f>'FORMULAIRE PGA Eaux pluviales'!G618</f>
        <v>0</v>
      </c>
      <c r="G155" s="1355">
        <f>1/3/3</f>
        <v>0.1111111111111111</v>
      </c>
      <c r="H155" s="3558"/>
      <c r="I155" s="1299"/>
      <c r="J155" s="1299"/>
      <c r="L155" s="1097" t="s">
        <v>73</v>
      </c>
      <c r="M155" s="148">
        <f>'FORMULAIRE PGA Eaux pluviales'!L618</f>
        <v>0</v>
      </c>
      <c r="N155" s="1355">
        <f>1/3/3</f>
        <v>0.1111111111111111</v>
      </c>
      <c r="O155" s="3558"/>
    </row>
    <row r="156" spans="2:16">
      <c r="E156" s="1097" t="s">
        <v>74</v>
      </c>
      <c r="F156" s="148">
        <f>'FORMULAIRE PGA Eaux pluviales'!G622</f>
        <v>0</v>
      </c>
      <c r="G156" s="1355">
        <f>1/3/3</f>
        <v>0.1111111111111111</v>
      </c>
      <c r="H156" s="3558"/>
      <c r="I156" s="1299"/>
      <c r="J156" s="1299"/>
      <c r="L156" s="1097" t="s">
        <v>74</v>
      </c>
      <c r="M156" s="148">
        <f>'FORMULAIRE PGA Eaux pluviales'!L622</f>
        <v>0</v>
      </c>
      <c r="N156" s="1355">
        <f>1/3/3</f>
        <v>0.1111111111111111</v>
      </c>
      <c r="O156" s="3558"/>
    </row>
    <row r="157" spans="2:16">
      <c r="D157" s="1097"/>
      <c r="E157" s="148"/>
      <c r="F157" s="1358"/>
      <c r="G157" s="1358"/>
      <c r="H157" s="1358"/>
      <c r="I157" s="1299"/>
      <c r="J157" s="1299"/>
      <c r="K157" s="1097"/>
      <c r="L157" s="148"/>
      <c r="M157" s="1358"/>
      <c r="N157" s="1358"/>
      <c r="O157" s="1358"/>
    </row>
    <row r="158" spans="2:16" ht="18.75" customHeight="1">
      <c r="D158" s="3560" t="s">
        <v>452</v>
      </c>
      <c r="E158" s="3561"/>
      <c r="F158" s="1354" t="s">
        <v>444</v>
      </c>
      <c r="G158" s="1354" t="s">
        <v>445</v>
      </c>
      <c r="H158" s="1354" t="s">
        <v>414</v>
      </c>
      <c r="I158" s="1359"/>
      <c r="J158" s="1359"/>
      <c r="K158" s="1360" t="s">
        <v>453</v>
      </c>
      <c r="L158" s="148"/>
      <c r="M158" s="1358"/>
      <c r="N158" s="1358"/>
      <c r="O158" s="1358"/>
    </row>
    <row r="159" spans="2:16">
      <c r="E159" s="1097" t="s">
        <v>67</v>
      </c>
      <c r="F159" s="148">
        <f>IF(OR($I$41=1,$K$36=1),F148,IF($I$33=1,M148,AVERAGE(F148+M148)))</f>
        <v>0</v>
      </c>
      <c r="G159" s="1355">
        <v>0.5</v>
      </c>
      <c r="H159" s="3558">
        <f>ROUNDDOWN((F159*G159+F160*G160),0)</f>
        <v>0</v>
      </c>
      <c r="I159" s="1355">
        <v>0.15</v>
      </c>
      <c r="J159" s="28">
        <f>F159*I159</f>
        <v>0</v>
      </c>
      <c r="K159" s="3558">
        <f>ROUNDDOWN(SUM(J159:J167),0)</f>
        <v>0</v>
      </c>
      <c r="L159" s="148"/>
      <c r="M159" s="1358"/>
      <c r="N159" s="1358"/>
      <c r="O159" s="1358"/>
      <c r="P159" s="1357" t="s">
        <v>454</v>
      </c>
    </row>
    <row r="160" spans="2:16">
      <c r="E160" s="1097" t="s">
        <v>68</v>
      </c>
      <c r="F160" s="148">
        <f t="shared" ref="F160:F167" si="11">IF(OR($I$41=1,$K$36=1),F149,IF($I$33=1,M149,AVERAGE(F149+M149)))</f>
        <v>0</v>
      </c>
      <c r="G160" s="1355">
        <v>0.5</v>
      </c>
      <c r="H160" s="3558"/>
      <c r="I160" s="1355">
        <v>0.15</v>
      </c>
      <c r="J160" s="28">
        <f t="shared" ref="J160:J167" si="12">F160*I160</f>
        <v>0</v>
      </c>
      <c r="K160" s="3558"/>
      <c r="L160" s="148"/>
      <c r="M160" s="1358"/>
      <c r="N160" s="1358"/>
      <c r="O160" s="1358"/>
    </row>
    <row r="161" spans="2:17">
      <c r="E161" s="1097" t="s">
        <v>69</v>
      </c>
      <c r="F161" s="148">
        <f t="shared" si="11"/>
        <v>0</v>
      </c>
      <c r="G161" s="1355">
        <f>2/3/3</f>
        <v>0.22222222222222221</v>
      </c>
      <c r="H161" s="3558">
        <f>ROUNDDOWN((F161*G161+F162*G162+F163*G163+F165*G165+F166*G166+F167*G167),0)</f>
        <v>0</v>
      </c>
      <c r="I161" s="1355">
        <v>0.15</v>
      </c>
      <c r="J161" s="28">
        <f t="shared" si="12"/>
        <v>0</v>
      </c>
      <c r="K161" s="3558"/>
      <c r="L161" s="148"/>
      <c r="M161" s="1358"/>
      <c r="N161" s="1358"/>
      <c r="O161" s="1358"/>
    </row>
    <row r="162" spans="2:17">
      <c r="E162" s="1097" t="s">
        <v>70</v>
      </c>
      <c r="F162" s="148">
        <f t="shared" si="11"/>
        <v>0</v>
      </c>
      <c r="G162" s="1355">
        <f>2/3/3</f>
        <v>0.22222222222222221</v>
      </c>
      <c r="H162" s="3558"/>
      <c r="I162" s="1355">
        <v>0.15</v>
      </c>
      <c r="J162" s="28">
        <f t="shared" si="12"/>
        <v>0</v>
      </c>
      <c r="K162" s="3558"/>
      <c r="L162" s="148"/>
      <c r="M162" s="1358"/>
      <c r="N162" s="1358"/>
      <c r="O162" s="1358"/>
    </row>
    <row r="163" spans="2:17">
      <c r="E163" s="1097" t="s">
        <v>71</v>
      </c>
      <c r="F163" s="148">
        <f t="shared" si="11"/>
        <v>0</v>
      </c>
      <c r="G163" s="1355">
        <f>2/3/3</f>
        <v>0.22222222222222221</v>
      </c>
      <c r="H163" s="3558"/>
      <c r="I163" s="1355">
        <v>0.15</v>
      </c>
      <c r="J163" s="28">
        <f t="shared" si="12"/>
        <v>0</v>
      </c>
      <c r="K163" s="3558"/>
      <c r="L163" s="148"/>
      <c r="M163" s="1358"/>
      <c r="N163" s="1358"/>
      <c r="O163" s="1358"/>
    </row>
    <row r="164" spans="2:17">
      <c r="E164" s="1300" t="s">
        <v>450</v>
      </c>
      <c r="F164" s="148"/>
      <c r="G164" s="1355"/>
      <c r="H164" s="3558"/>
      <c r="I164" s="1355"/>
      <c r="K164" s="3558"/>
      <c r="L164" s="148"/>
      <c r="M164" s="1358"/>
      <c r="N164" s="1358"/>
      <c r="O164" s="1358"/>
    </row>
    <row r="165" spans="2:17">
      <c r="E165" s="1097" t="s">
        <v>72</v>
      </c>
      <c r="F165" s="148">
        <f t="shared" si="11"/>
        <v>0</v>
      </c>
      <c r="G165" s="1355">
        <f>1/3/3</f>
        <v>0.1111111111111111</v>
      </c>
      <c r="H165" s="3558"/>
      <c r="I165" s="1355">
        <f>0.25/3</f>
        <v>8.3333333333333329E-2</v>
      </c>
      <c r="J165" s="28">
        <f t="shared" si="12"/>
        <v>0</v>
      </c>
      <c r="K165" s="3558"/>
      <c r="L165" s="148"/>
      <c r="M165" s="1358"/>
      <c r="N165" s="1358"/>
      <c r="O165" s="1358"/>
      <c r="P165" s="1356" t="s">
        <v>455</v>
      </c>
    </row>
    <row r="166" spans="2:17">
      <c r="E166" s="1097" t="s">
        <v>73</v>
      </c>
      <c r="F166" s="148">
        <f t="shared" si="11"/>
        <v>0</v>
      </c>
      <c r="G166" s="1355">
        <f>1/3/3</f>
        <v>0.1111111111111111</v>
      </c>
      <c r="H166" s="3558"/>
      <c r="I166" s="1355">
        <f>0.25/3</f>
        <v>8.3333333333333329E-2</v>
      </c>
      <c r="J166" s="28">
        <f t="shared" si="12"/>
        <v>0</v>
      </c>
      <c r="K166" s="3558"/>
      <c r="L166" s="148"/>
      <c r="M166" s="1358"/>
      <c r="N166" s="1358"/>
      <c r="O166" s="1358"/>
      <c r="P166" s="1357" t="s">
        <v>456</v>
      </c>
    </row>
    <row r="167" spans="2:17">
      <c r="E167" s="1097" t="s">
        <v>74</v>
      </c>
      <c r="F167" s="148">
        <f t="shared" si="11"/>
        <v>0</v>
      </c>
      <c r="G167" s="1355">
        <f>1/3/3</f>
        <v>0.1111111111111111</v>
      </c>
      <c r="H167" s="3558"/>
      <c r="I167" s="1355">
        <f>0.25/3</f>
        <v>8.3333333333333329E-2</v>
      </c>
      <c r="J167" s="28">
        <f t="shared" si="12"/>
        <v>0</v>
      </c>
      <c r="K167" s="3558"/>
      <c r="L167" s="148"/>
      <c r="M167" s="1358"/>
      <c r="N167" s="1358"/>
      <c r="O167" s="1358"/>
      <c r="P167" s="1357" t="s">
        <v>457</v>
      </c>
    </row>
    <row r="171" spans="2:17" ht="22.5" customHeight="1">
      <c r="B171" s="1239" t="s">
        <v>458</v>
      </c>
      <c r="C171" s="1239"/>
      <c r="D171" s="1239"/>
      <c r="E171" s="1239"/>
      <c r="F171" s="1239"/>
      <c r="G171" s="1239"/>
      <c r="H171" s="1239"/>
      <c r="I171" s="1239"/>
      <c r="J171" s="1239"/>
      <c r="K171" s="1239"/>
      <c r="L171" s="1239"/>
      <c r="M171" s="1239"/>
      <c r="N171" s="1239"/>
      <c r="O171" s="1239"/>
      <c r="P171" s="1239"/>
      <c r="Q171" s="1239"/>
    </row>
    <row r="172" spans="2:17" ht="21">
      <c r="B172" s="1344"/>
      <c r="C172" s="1344"/>
    </row>
    <row r="173" spans="2:17" ht="21">
      <c r="B173" s="1344"/>
      <c r="C173" s="1344"/>
      <c r="D173" s="1345" t="s">
        <v>459</v>
      </c>
      <c r="J173" s="1345" t="s">
        <v>29</v>
      </c>
    </row>
    <row r="174" spans="2:17" ht="9" customHeight="1">
      <c r="B174" s="1344"/>
      <c r="C174" s="1344"/>
    </row>
    <row r="175" spans="2:17" ht="33" customHeight="1">
      <c r="D175" s="3563" t="s">
        <v>460</v>
      </c>
      <c r="E175" s="3563"/>
      <c r="F175" s="1362" t="s">
        <v>100</v>
      </c>
      <c r="G175" s="1097" t="s">
        <v>461</v>
      </c>
      <c r="J175" s="509"/>
      <c r="K175" s="1352"/>
      <c r="L175" s="1363" t="s">
        <v>414</v>
      </c>
      <c r="M175" s="1299"/>
    </row>
    <row r="176" spans="2:17">
      <c r="D176" s="1364" t="s">
        <v>101</v>
      </c>
      <c r="E176" s="1365">
        <f>O139/10</f>
        <v>0</v>
      </c>
      <c r="F176" s="1365">
        <f>'FORMULAIRE PGA Eaux pluviales'!F351+'FORMULAIRE PGA Eaux pluviales'!F361</f>
        <v>0</v>
      </c>
      <c r="G176" s="1366">
        <f t="shared" ref="G176:G181" si="13">F176-E176</f>
        <v>0</v>
      </c>
      <c r="K176" s="1367" t="s">
        <v>462</v>
      </c>
      <c r="L176" s="296">
        <f>ROUNDDOWN((F161*0.75+$F$165*0.25/3+$F$166*0.25/3+$F$167*0.25/3),0)</f>
        <v>0</v>
      </c>
      <c r="O176" s="1368" t="s">
        <v>463</v>
      </c>
      <c r="P176" s="1357" t="s">
        <v>464</v>
      </c>
    </row>
    <row r="177" spans="1:17">
      <c r="D177" s="903" t="s">
        <v>102</v>
      </c>
      <c r="E177" s="1369">
        <f>O140/10</f>
        <v>0</v>
      </c>
      <c r="F177" s="1369">
        <f>'FORMULAIRE PGA Eaux pluviales'!H351+'FORMULAIRE PGA Eaux pluviales'!H361</f>
        <v>0</v>
      </c>
      <c r="G177" s="1370">
        <f t="shared" si="13"/>
        <v>0</v>
      </c>
      <c r="K177" s="1367" t="s">
        <v>103</v>
      </c>
      <c r="L177" s="296">
        <f>ROUNDDOWN((F162*0.75+$F$165*0.25/3+$F$166*0.25/3+$F$167*0.25/3),0)</f>
        <v>0</v>
      </c>
      <c r="O177" s="1371"/>
      <c r="P177" s="1357"/>
    </row>
    <row r="178" spans="1:17">
      <c r="D178" s="903" t="s">
        <v>103</v>
      </c>
      <c r="E178" s="1369">
        <f>O141/10</f>
        <v>0</v>
      </c>
      <c r="F178" s="1369">
        <f>'FORMULAIRE PGA Eaux pluviales'!K351+'FORMULAIRE PGA Eaux pluviales'!K361</f>
        <v>0</v>
      </c>
      <c r="G178" s="1370">
        <f t="shared" si="13"/>
        <v>0</v>
      </c>
      <c r="K178" s="1367" t="s">
        <v>465</v>
      </c>
      <c r="L178" s="296">
        <f>ROUNDDOWN((F163*0.75+$F$165*0.25/3+$F$166*0.25/3+$F$167*0.25/3),0)</f>
        <v>0</v>
      </c>
      <c r="O178" s="1368" t="s">
        <v>463</v>
      </c>
      <c r="P178" s="1357" t="s">
        <v>446</v>
      </c>
    </row>
    <row r="179" spans="1:17">
      <c r="D179" s="903" t="s">
        <v>104</v>
      </c>
      <c r="E179" s="1369">
        <f>O142/10</f>
        <v>0</v>
      </c>
      <c r="F179" s="1369">
        <f>'FORMULAIRE PGA Eaux pluviales'!M351+'FORMULAIRE PGA Eaux pluviales'!M361</f>
        <v>0</v>
      </c>
      <c r="G179" s="1370">
        <f t="shared" si="13"/>
        <v>0</v>
      </c>
      <c r="P179" s="1357" t="s">
        <v>447</v>
      </c>
    </row>
    <row r="180" spans="1:17">
      <c r="D180" s="1351" t="s">
        <v>105</v>
      </c>
      <c r="E180" s="1372">
        <f>O143/10</f>
        <v>0</v>
      </c>
      <c r="F180" s="1372">
        <f>'FORMULAIRE PGA Eaux pluviales'!O351+'FORMULAIRE PGA Eaux pluviales'!O361</f>
        <v>0</v>
      </c>
      <c r="G180" s="1373">
        <f t="shared" si="13"/>
        <v>0</v>
      </c>
      <c r="P180" s="1357" t="s">
        <v>466</v>
      </c>
    </row>
    <row r="181" spans="1:17">
      <c r="D181" s="903" t="s">
        <v>467</v>
      </c>
      <c r="E181" s="1370">
        <f>SUM(E176:E180)</f>
        <v>0</v>
      </c>
      <c r="F181" s="1370">
        <f>SUM(F176:F180)</f>
        <v>0</v>
      </c>
      <c r="G181" s="1370">
        <f t="shared" si="13"/>
        <v>0</v>
      </c>
      <c r="K181" s="148"/>
      <c r="P181" s="1357" t="s">
        <v>468</v>
      </c>
    </row>
    <row r="182" spans="1:17">
      <c r="P182" s="1357" t="s">
        <v>451</v>
      </c>
    </row>
    <row r="185" spans="1:17" ht="22.5" customHeight="1">
      <c r="B185" s="1239" t="s">
        <v>99</v>
      </c>
      <c r="C185" s="1239"/>
      <c r="D185" s="1239"/>
      <c r="E185" s="1239"/>
      <c r="F185" s="1239"/>
      <c r="G185" s="1239"/>
      <c r="H185" s="1239"/>
      <c r="I185" s="1239"/>
      <c r="J185" s="1239"/>
      <c r="K185" s="1239"/>
      <c r="L185" s="1239"/>
      <c r="M185" s="1239"/>
      <c r="N185" s="1239"/>
      <c r="O185" s="1239"/>
      <c r="P185" s="1239"/>
      <c r="Q185" s="1239"/>
    </row>
    <row r="186" spans="1:17" ht="18">
      <c r="B186" s="1248"/>
      <c r="C186" s="1248"/>
      <c r="D186" s="1248"/>
      <c r="E186" s="1248"/>
      <c r="F186" s="1248"/>
      <c r="G186" s="1248"/>
      <c r="H186" s="1248"/>
      <c r="I186" s="1248"/>
      <c r="J186" s="1248"/>
      <c r="K186" s="1248"/>
      <c r="L186" s="1248"/>
      <c r="M186" s="1248"/>
      <c r="N186" s="1248"/>
      <c r="O186" s="1248"/>
      <c r="P186" s="1248"/>
      <c r="Q186" s="1248"/>
    </row>
    <row r="187" spans="1:17" ht="26.25" customHeight="1">
      <c r="B187" s="1344"/>
      <c r="C187" s="1344"/>
      <c r="D187" s="1345" t="s">
        <v>469</v>
      </c>
      <c r="I187" s="1345"/>
    </row>
    <row r="188" spans="1:17" ht="22.5" customHeight="1">
      <c r="B188" s="1344"/>
      <c r="C188" s="1344"/>
    </row>
    <row r="189" spans="1:17" ht="21">
      <c r="B189" s="1344"/>
      <c r="C189" s="1344"/>
      <c r="D189" s="1374" t="s">
        <v>836</v>
      </c>
      <c r="E189" s="72"/>
    </row>
    <row r="190" spans="1:17" ht="9.75" customHeight="1">
      <c r="B190" s="1344"/>
      <c r="C190" s="1344"/>
      <c r="D190" s="1375"/>
      <c r="E190" s="72"/>
    </row>
    <row r="191" spans="1:17" s="72" customFormat="1" ht="20.25" customHeight="1">
      <c r="A191" s="82"/>
      <c r="D191" s="1376"/>
      <c r="E191" s="1250">
        <f>'FORMULAIRE PGA Eaux pluviales'!E410</f>
        <v>0</v>
      </c>
      <c r="F191" s="1250">
        <f>E191+1</f>
        <v>1</v>
      </c>
      <c r="G191" s="1250">
        <f t="shared" ref="G191:N191" si="14">F191+1</f>
        <v>2</v>
      </c>
      <c r="H191" s="1250">
        <f t="shared" si="14"/>
        <v>3</v>
      </c>
      <c r="I191" s="1250">
        <f t="shared" si="14"/>
        <v>4</v>
      </c>
      <c r="J191" s="1250">
        <f t="shared" si="14"/>
        <v>5</v>
      </c>
      <c r="K191" s="1250">
        <f t="shared" si="14"/>
        <v>6</v>
      </c>
      <c r="L191" s="1250">
        <f t="shared" si="14"/>
        <v>7</v>
      </c>
      <c r="M191" s="1250">
        <f t="shared" si="14"/>
        <v>8</v>
      </c>
      <c r="N191" s="1250">
        <f t="shared" si="14"/>
        <v>9</v>
      </c>
      <c r="O191" s="1377" t="s">
        <v>442</v>
      </c>
    </row>
    <row r="192" spans="1:17">
      <c r="D192" s="1378" t="s">
        <v>100</v>
      </c>
      <c r="E192" s="1379">
        <f>'FORMULAIRE PGA Eaux pluviales'!F355</f>
        <v>0</v>
      </c>
      <c r="F192" s="1380">
        <f>E192</f>
        <v>0</v>
      </c>
      <c r="G192" s="1380">
        <f t="shared" ref="G192:N192" si="15">F192</f>
        <v>0</v>
      </c>
      <c r="H192" s="1380">
        <f t="shared" si="15"/>
        <v>0</v>
      </c>
      <c r="I192" s="1380">
        <f t="shared" si="15"/>
        <v>0</v>
      </c>
      <c r="J192" s="1380">
        <f t="shared" si="15"/>
        <v>0</v>
      </c>
      <c r="K192" s="1380">
        <f t="shared" si="15"/>
        <v>0</v>
      </c>
      <c r="L192" s="1380">
        <f t="shared" si="15"/>
        <v>0</v>
      </c>
      <c r="M192" s="1380">
        <f t="shared" si="15"/>
        <v>0</v>
      </c>
      <c r="N192" s="1380">
        <f t="shared" si="15"/>
        <v>0</v>
      </c>
      <c r="O192" s="1381">
        <f t="shared" ref="O192:O198" si="16">SUM(E192:N192)</f>
        <v>0</v>
      </c>
    </row>
    <row r="193" spans="1:16">
      <c r="B193" s="903"/>
      <c r="C193" s="903"/>
      <c r="D193" s="903" t="s">
        <v>101</v>
      </c>
      <c r="E193" s="1382">
        <f>'FORMULAIRE PGA Eaux pluviales'!E412</f>
        <v>0</v>
      </c>
      <c r="F193" s="1382">
        <f>'FORMULAIRE PGA Eaux pluviales'!F412</f>
        <v>0</v>
      </c>
      <c r="G193" s="1382">
        <f>'FORMULAIRE PGA Eaux pluviales'!G412</f>
        <v>0</v>
      </c>
      <c r="H193" s="1382">
        <f>'FORMULAIRE PGA Eaux pluviales'!H412</f>
        <v>0</v>
      </c>
      <c r="I193" s="1382">
        <f>'FORMULAIRE PGA Eaux pluviales'!I412</f>
        <v>0</v>
      </c>
      <c r="J193" s="1382">
        <f>'FORMULAIRE PGA Eaux pluviales'!J412</f>
        <v>0</v>
      </c>
      <c r="K193" s="1382">
        <f>'FORMULAIRE PGA Eaux pluviales'!K412</f>
        <v>0</v>
      </c>
      <c r="L193" s="1382">
        <f>'FORMULAIRE PGA Eaux pluviales'!L412</f>
        <v>0</v>
      </c>
      <c r="M193" s="1382">
        <f>'FORMULAIRE PGA Eaux pluviales'!M412</f>
        <v>0</v>
      </c>
      <c r="N193" s="1382">
        <f>'FORMULAIRE PGA Eaux pluviales'!N412</f>
        <v>0</v>
      </c>
      <c r="O193" s="1383">
        <f t="shared" si="16"/>
        <v>0</v>
      </c>
      <c r="P193" s="1384" t="str">
        <f>IF(ISERR(O193/$O$198)=TRUE,"",(O193/$O$198))</f>
        <v/>
      </c>
    </row>
    <row r="194" spans="1:16">
      <c r="B194" s="903"/>
      <c r="C194" s="903"/>
      <c r="D194" s="903" t="s">
        <v>102</v>
      </c>
      <c r="E194" s="1382">
        <f>'FORMULAIRE PGA Eaux pluviales'!E419</f>
        <v>0</v>
      </c>
      <c r="F194" s="1382">
        <f>'FORMULAIRE PGA Eaux pluviales'!F419</f>
        <v>0</v>
      </c>
      <c r="G194" s="1382">
        <f>'FORMULAIRE PGA Eaux pluviales'!G419</f>
        <v>0</v>
      </c>
      <c r="H194" s="1382">
        <f>'FORMULAIRE PGA Eaux pluviales'!H419</f>
        <v>0</v>
      </c>
      <c r="I194" s="1382">
        <f>'FORMULAIRE PGA Eaux pluviales'!I419</f>
        <v>0</v>
      </c>
      <c r="J194" s="1382">
        <f>'FORMULAIRE PGA Eaux pluviales'!J419</f>
        <v>0</v>
      </c>
      <c r="K194" s="1382">
        <f>'FORMULAIRE PGA Eaux pluviales'!K419</f>
        <v>0</v>
      </c>
      <c r="L194" s="1382">
        <f>'FORMULAIRE PGA Eaux pluviales'!L419</f>
        <v>0</v>
      </c>
      <c r="M194" s="1382">
        <f>'FORMULAIRE PGA Eaux pluviales'!M419</f>
        <v>0</v>
      </c>
      <c r="N194" s="1382">
        <f>'FORMULAIRE PGA Eaux pluviales'!N419</f>
        <v>0</v>
      </c>
      <c r="O194" s="1383">
        <f t="shared" si="16"/>
        <v>0</v>
      </c>
      <c r="P194" s="1384" t="str">
        <f>IF(ISERR(O194/$O$198)=TRUE,"",(O194/$O$198))</f>
        <v/>
      </c>
    </row>
    <row r="195" spans="1:16">
      <c r="B195" s="903"/>
      <c r="C195" s="903"/>
      <c r="D195" s="903" t="s">
        <v>103</v>
      </c>
      <c r="E195" s="1382">
        <f>'FORMULAIRE PGA Eaux pluviales'!E427</f>
        <v>0</v>
      </c>
      <c r="F195" s="1382">
        <f>'FORMULAIRE PGA Eaux pluviales'!F427</f>
        <v>0</v>
      </c>
      <c r="G195" s="1382">
        <f>'FORMULAIRE PGA Eaux pluviales'!G427</f>
        <v>0</v>
      </c>
      <c r="H195" s="1382">
        <f>'FORMULAIRE PGA Eaux pluviales'!H427</f>
        <v>0</v>
      </c>
      <c r="I195" s="1382">
        <f>'FORMULAIRE PGA Eaux pluviales'!I427</f>
        <v>0</v>
      </c>
      <c r="J195" s="1382">
        <f>'FORMULAIRE PGA Eaux pluviales'!J427</f>
        <v>0</v>
      </c>
      <c r="K195" s="1382">
        <f>'FORMULAIRE PGA Eaux pluviales'!K427</f>
        <v>0</v>
      </c>
      <c r="L195" s="1382">
        <f>'FORMULAIRE PGA Eaux pluviales'!L427</f>
        <v>0</v>
      </c>
      <c r="M195" s="1382">
        <f>'FORMULAIRE PGA Eaux pluviales'!M427</f>
        <v>0</v>
      </c>
      <c r="N195" s="1382">
        <f>'FORMULAIRE PGA Eaux pluviales'!N427</f>
        <v>0</v>
      </c>
      <c r="O195" s="1383">
        <f t="shared" si="16"/>
        <v>0</v>
      </c>
      <c r="P195" s="1384" t="str">
        <f>IF(ISERR(O195/$O$198)=TRUE,"",(O195/$O$198))</f>
        <v/>
      </c>
    </row>
    <row r="196" spans="1:16">
      <c r="B196" s="903"/>
      <c r="C196" s="903"/>
      <c r="D196" s="903" t="s">
        <v>104</v>
      </c>
      <c r="E196" s="1382">
        <f>'FORMULAIRE PGA Eaux pluviales'!E436</f>
        <v>0</v>
      </c>
      <c r="F196" s="1382">
        <f>'FORMULAIRE PGA Eaux pluviales'!F436</f>
        <v>0</v>
      </c>
      <c r="G196" s="1382">
        <f>'FORMULAIRE PGA Eaux pluviales'!G436</f>
        <v>0</v>
      </c>
      <c r="H196" s="1382">
        <f>'FORMULAIRE PGA Eaux pluviales'!H436</f>
        <v>0</v>
      </c>
      <c r="I196" s="1382">
        <f>'FORMULAIRE PGA Eaux pluviales'!I436</f>
        <v>0</v>
      </c>
      <c r="J196" s="1382">
        <f>'FORMULAIRE PGA Eaux pluviales'!J436</f>
        <v>0</v>
      </c>
      <c r="K196" s="1382">
        <f>'FORMULAIRE PGA Eaux pluviales'!K436</f>
        <v>0</v>
      </c>
      <c r="L196" s="1382">
        <f>'FORMULAIRE PGA Eaux pluviales'!L436</f>
        <v>0</v>
      </c>
      <c r="M196" s="1382">
        <f>'FORMULAIRE PGA Eaux pluviales'!M436</f>
        <v>0</v>
      </c>
      <c r="N196" s="1382">
        <f>'FORMULAIRE PGA Eaux pluviales'!N436</f>
        <v>0</v>
      </c>
      <c r="O196" s="1383">
        <f t="shared" si="16"/>
        <v>0</v>
      </c>
      <c r="P196" s="1384" t="str">
        <f>IF(ISERR(O196/$O$198)=TRUE,"",(O196/$O$198))</f>
        <v/>
      </c>
    </row>
    <row r="197" spans="1:16">
      <c r="B197" s="903"/>
      <c r="C197" s="903"/>
      <c r="D197" s="903" t="s">
        <v>105</v>
      </c>
      <c r="E197" s="1382">
        <f>'FORMULAIRE PGA Eaux pluviales'!E442</f>
        <v>0</v>
      </c>
      <c r="F197" s="1382">
        <f>'FORMULAIRE PGA Eaux pluviales'!F442</f>
        <v>0</v>
      </c>
      <c r="G197" s="1382">
        <f>'FORMULAIRE PGA Eaux pluviales'!G442</f>
        <v>0</v>
      </c>
      <c r="H197" s="1382">
        <f>'FORMULAIRE PGA Eaux pluviales'!H442</f>
        <v>0</v>
      </c>
      <c r="I197" s="1382">
        <f>'FORMULAIRE PGA Eaux pluviales'!I442</f>
        <v>0</v>
      </c>
      <c r="J197" s="1382">
        <f>'FORMULAIRE PGA Eaux pluviales'!J442</f>
        <v>0</v>
      </c>
      <c r="K197" s="1382">
        <f>'FORMULAIRE PGA Eaux pluviales'!K442</f>
        <v>0</v>
      </c>
      <c r="L197" s="1382">
        <f>'FORMULAIRE PGA Eaux pluviales'!L442</f>
        <v>0</v>
      </c>
      <c r="M197" s="1382">
        <f>'FORMULAIRE PGA Eaux pluviales'!M442</f>
        <v>0</v>
      </c>
      <c r="N197" s="1382">
        <f>'FORMULAIRE PGA Eaux pluviales'!N442</f>
        <v>0</v>
      </c>
      <c r="O197" s="1383">
        <f t="shared" si="16"/>
        <v>0</v>
      </c>
      <c r="P197" s="1384" t="str">
        <f>IF(ISERR(O197/$O$198)=TRUE,"",(O197/$O$198))</f>
        <v/>
      </c>
    </row>
    <row r="198" spans="1:16" ht="18.75" customHeight="1">
      <c r="B198" s="903"/>
      <c r="C198" s="903"/>
      <c r="D198" s="1385" t="s">
        <v>467</v>
      </c>
      <c r="E198" s="1386">
        <f>SUM(E193:E197)</f>
        <v>0</v>
      </c>
      <c r="F198" s="1386">
        <f t="shared" ref="F198:N198" si="17">SUM(F193:F197)</f>
        <v>0</v>
      </c>
      <c r="G198" s="1386">
        <f t="shared" si="17"/>
        <v>0</v>
      </c>
      <c r="H198" s="1386">
        <f t="shared" si="17"/>
        <v>0</v>
      </c>
      <c r="I198" s="1386">
        <f t="shared" si="17"/>
        <v>0</v>
      </c>
      <c r="J198" s="1386">
        <f t="shared" si="17"/>
        <v>0</v>
      </c>
      <c r="K198" s="1386">
        <f t="shared" si="17"/>
        <v>0</v>
      </c>
      <c r="L198" s="1386">
        <f t="shared" si="17"/>
        <v>0</v>
      </c>
      <c r="M198" s="1386">
        <f t="shared" si="17"/>
        <v>0</v>
      </c>
      <c r="N198" s="1386">
        <f t="shared" si="17"/>
        <v>0</v>
      </c>
      <c r="O198" s="1387">
        <f t="shared" si="16"/>
        <v>0</v>
      </c>
      <c r="P198" s="1388">
        <f>IF(O226=0,0,O198/O226)</f>
        <v>0</v>
      </c>
    </row>
    <row r="199" spans="1:16">
      <c r="B199" s="903"/>
      <c r="C199" s="903"/>
      <c r="D199" s="903"/>
      <c r="E199" s="1382"/>
      <c r="F199" s="1382"/>
      <c r="G199" s="1382"/>
      <c r="H199" s="1382"/>
      <c r="I199" s="1382"/>
      <c r="J199" s="1382"/>
      <c r="K199" s="1382"/>
      <c r="L199" s="1382"/>
      <c r="M199" s="1382"/>
      <c r="N199" s="1382"/>
      <c r="O199" s="1382"/>
      <c r="P199" s="1388"/>
    </row>
    <row r="200" spans="1:16">
      <c r="B200" s="903"/>
      <c r="C200" s="903"/>
      <c r="D200" s="903"/>
      <c r="E200" s="1382"/>
      <c r="F200" s="1382"/>
      <c r="G200" s="1382"/>
      <c r="H200" s="1382"/>
      <c r="I200" s="1382"/>
      <c r="J200" s="1382"/>
      <c r="K200" s="1382"/>
      <c r="L200" s="1382"/>
      <c r="M200" s="1382"/>
      <c r="N200" s="1382"/>
      <c r="O200" s="1382"/>
      <c r="P200" s="1388"/>
    </row>
    <row r="201" spans="1:16" ht="21.75" customHeight="1">
      <c r="B201" s="903"/>
      <c r="C201" s="903"/>
      <c r="D201" s="1389" t="s">
        <v>33</v>
      </c>
      <c r="E201" s="2505"/>
      <c r="F201" s="1395"/>
      <c r="G201" s="2506"/>
      <c r="H201" s="1395"/>
      <c r="I201" s="2507"/>
      <c r="J201" s="1395"/>
      <c r="L201" s="2508"/>
      <c r="M201" s="1395"/>
      <c r="N201" s="2509"/>
      <c r="O201" s="1395"/>
    </row>
    <row r="202" spans="1:16" ht="18.75" customHeight="1">
      <c r="B202" s="903"/>
      <c r="C202" s="903"/>
      <c r="D202" s="1390">
        <f>H150</f>
        <v>0</v>
      </c>
      <c r="E202" s="1361"/>
      <c r="F202" s="2511"/>
      <c r="G202" s="2511"/>
      <c r="H202" s="2511"/>
      <c r="I202" s="2511"/>
      <c r="J202" s="2511"/>
      <c r="K202" s="2511"/>
      <c r="M202" s="2511"/>
      <c r="N202" s="2511"/>
      <c r="O202" s="2511"/>
      <c r="P202" s="2511"/>
    </row>
    <row r="203" spans="1:16" ht="11.25" customHeight="1">
      <c r="B203" s="903"/>
      <c r="C203" s="903"/>
      <c r="D203" s="903"/>
      <c r="E203" s="2510"/>
      <c r="F203" s="1382"/>
      <c r="G203" s="1382"/>
      <c r="H203" s="2510"/>
      <c r="I203" s="1382"/>
      <c r="J203" s="1382"/>
      <c r="K203" s="1382"/>
      <c r="L203" s="1382"/>
      <c r="M203" s="1382"/>
      <c r="N203" s="1382"/>
      <c r="O203" s="1382"/>
      <c r="P203" s="1388"/>
    </row>
    <row r="204" spans="1:16">
      <c r="B204" s="903"/>
      <c r="C204" s="903"/>
      <c r="D204" s="903"/>
      <c r="E204" s="1382"/>
      <c r="F204" s="1382"/>
      <c r="G204" s="1382"/>
      <c r="H204" s="1382"/>
      <c r="I204" s="1382"/>
      <c r="J204" s="1382"/>
      <c r="N204" s="1382"/>
      <c r="O204" s="1382"/>
      <c r="P204" s="1388"/>
    </row>
    <row r="205" spans="1:16" ht="15.75" customHeight="1">
      <c r="D205" s="1097"/>
      <c r="E205" s="1097"/>
    </row>
    <row r="206" spans="1:16" ht="21" customHeight="1">
      <c r="D206" s="1374" t="s">
        <v>838</v>
      </c>
      <c r="E206" s="72"/>
    </row>
    <row r="207" spans="1:16" ht="9.75" customHeight="1">
      <c r="B207" s="1344"/>
      <c r="C207" s="1344"/>
      <c r="D207" s="1375"/>
      <c r="E207" s="72"/>
    </row>
    <row r="208" spans="1:16" s="72" customFormat="1" ht="20.25" customHeight="1">
      <c r="A208" s="82"/>
      <c r="D208" s="1376"/>
      <c r="E208" s="1250">
        <f>'FORMULAIRE PGA Eaux pluviales'!E410</f>
        <v>0</v>
      </c>
      <c r="F208" s="1250">
        <f>E208+1</f>
        <v>1</v>
      </c>
      <c r="G208" s="1250">
        <f t="shared" ref="G208:N208" si="18">F208+1</f>
        <v>2</v>
      </c>
      <c r="H208" s="1250">
        <f t="shared" si="18"/>
        <v>3</v>
      </c>
      <c r="I208" s="1250">
        <f t="shared" si="18"/>
        <v>4</v>
      </c>
      <c r="J208" s="1250">
        <f t="shared" si="18"/>
        <v>5</v>
      </c>
      <c r="K208" s="1250">
        <f t="shared" si="18"/>
        <v>6</v>
      </c>
      <c r="L208" s="1250">
        <f t="shared" si="18"/>
        <v>7</v>
      </c>
      <c r="M208" s="1250">
        <f t="shared" si="18"/>
        <v>8</v>
      </c>
      <c r="N208" s="1250">
        <f t="shared" si="18"/>
        <v>9</v>
      </c>
      <c r="O208" s="1377" t="s">
        <v>442</v>
      </c>
    </row>
    <row r="209" spans="2:16">
      <c r="D209" s="1378" t="s">
        <v>100</v>
      </c>
      <c r="E209" s="1379">
        <f>'FORMULAIRE PGA Eaux pluviales'!F365</f>
        <v>0</v>
      </c>
      <c r="F209" s="1379">
        <f>E209</f>
        <v>0</v>
      </c>
      <c r="G209" s="1379">
        <f t="shared" ref="G209:N209" si="19">F209</f>
        <v>0</v>
      </c>
      <c r="H209" s="1379">
        <f t="shared" si="19"/>
        <v>0</v>
      </c>
      <c r="I209" s="1379">
        <f t="shared" si="19"/>
        <v>0</v>
      </c>
      <c r="J209" s="1379">
        <f t="shared" si="19"/>
        <v>0</v>
      </c>
      <c r="K209" s="1379">
        <f t="shared" si="19"/>
        <v>0</v>
      </c>
      <c r="L209" s="1379">
        <f t="shared" si="19"/>
        <v>0</v>
      </c>
      <c r="M209" s="1379">
        <f t="shared" si="19"/>
        <v>0</v>
      </c>
      <c r="N209" s="1379">
        <f t="shared" si="19"/>
        <v>0</v>
      </c>
      <c r="O209" s="1381">
        <f t="shared" ref="O209:O215" si="20">SUM(E209:N209)</f>
        <v>0</v>
      </c>
    </row>
    <row r="210" spans="2:16">
      <c r="D210" s="903" t="s">
        <v>101</v>
      </c>
      <c r="E210" s="1382">
        <f>'FORMULAIRE PGA Eaux pluviales'!E457</f>
        <v>0</v>
      </c>
      <c r="F210" s="1382">
        <f>'FORMULAIRE PGA Eaux pluviales'!F457</f>
        <v>0</v>
      </c>
      <c r="G210" s="1382">
        <f>'FORMULAIRE PGA Eaux pluviales'!G457</f>
        <v>0</v>
      </c>
      <c r="H210" s="1382">
        <f>'FORMULAIRE PGA Eaux pluviales'!H457</f>
        <v>0</v>
      </c>
      <c r="I210" s="1382">
        <f>'FORMULAIRE PGA Eaux pluviales'!I457</f>
        <v>0</v>
      </c>
      <c r="J210" s="1382">
        <f>'FORMULAIRE PGA Eaux pluviales'!J457</f>
        <v>0</v>
      </c>
      <c r="K210" s="1382">
        <f>'FORMULAIRE PGA Eaux pluviales'!K457</f>
        <v>0</v>
      </c>
      <c r="L210" s="1382">
        <f>'FORMULAIRE PGA Eaux pluviales'!L457</f>
        <v>0</v>
      </c>
      <c r="M210" s="1382">
        <f>'FORMULAIRE PGA Eaux pluviales'!M457</f>
        <v>0</v>
      </c>
      <c r="N210" s="1382">
        <f>'FORMULAIRE PGA Eaux pluviales'!N457</f>
        <v>0</v>
      </c>
      <c r="O210" s="1383">
        <f>SUM(E210:N210)</f>
        <v>0</v>
      </c>
      <c r="P210" s="1384" t="str">
        <f>IF(ISERR(O210/$O$198)=TRUE,"",(O210/$O$198))</f>
        <v/>
      </c>
    </row>
    <row r="211" spans="2:16">
      <c r="D211" s="903" t="s">
        <v>102</v>
      </c>
      <c r="E211" s="1382">
        <f>'FORMULAIRE PGA Eaux pluviales'!E464</f>
        <v>0</v>
      </c>
      <c r="F211" s="1382">
        <f>'FORMULAIRE PGA Eaux pluviales'!F464</f>
        <v>0</v>
      </c>
      <c r="G211" s="1382">
        <f>'FORMULAIRE PGA Eaux pluviales'!G464</f>
        <v>0</v>
      </c>
      <c r="H211" s="1382">
        <f>'FORMULAIRE PGA Eaux pluviales'!H464</f>
        <v>0</v>
      </c>
      <c r="I211" s="1382">
        <f>'FORMULAIRE PGA Eaux pluviales'!I464</f>
        <v>0</v>
      </c>
      <c r="J211" s="1382">
        <f>'FORMULAIRE PGA Eaux pluviales'!J464</f>
        <v>0</v>
      </c>
      <c r="K211" s="1382">
        <f>'FORMULAIRE PGA Eaux pluviales'!K464</f>
        <v>0</v>
      </c>
      <c r="L211" s="1382">
        <f>'FORMULAIRE PGA Eaux pluviales'!L464</f>
        <v>0</v>
      </c>
      <c r="M211" s="1382">
        <f>'FORMULAIRE PGA Eaux pluviales'!M464</f>
        <v>0</v>
      </c>
      <c r="N211" s="1382">
        <f>'FORMULAIRE PGA Eaux pluviales'!N464</f>
        <v>0</v>
      </c>
      <c r="O211" s="1383">
        <f t="shared" ref="O211:O214" si="21">SUM(E211:N211)</f>
        <v>0</v>
      </c>
      <c r="P211" s="1384" t="str">
        <f>IF(ISERR(O211/$O$198)=TRUE,"",(O211/$O$198))</f>
        <v/>
      </c>
    </row>
    <row r="212" spans="2:16">
      <c r="D212" s="903" t="s">
        <v>103</v>
      </c>
      <c r="E212" s="1382">
        <f>'FORMULAIRE PGA Eaux pluviales'!E472</f>
        <v>0</v>
      </c>
      <c r="F212" s="1382">
        <f>'FORMULAIRE PGA Eaux pluviales'!F472</f>
        <v>0</v>
      </c>
      <c r="G212" s="1382">
        <f>'FORMULAIRE PGA Eaux pluviales'!G472</f>
        <v>0</v>
      </c>
      <c r="H212" s="1382">
        <f>'FORMULAIRE PGA Eaux pluviales'!H472</f>
        <v>0</v>
      </c>
      <c r="I212" s="1382">
        <f>'FORMULAIRE PGA Eaux pluviales'!I472</f>
        <v>0</v>
      </c>
      <c r="J212" s="1382">
        <f>'FORMULAIRE PGA Eaux pluviales'!J472</f>
        <v>0</v>
      </c>
      <c r="K212" s="1382">
        <f>'FORMULAIRE PGA Eaux pluviales'!K472</f>
        <v>0</v>
      </c>
      <c r="L212" s="1382">
        <f>'FORMULAIRE PGA Eaux pluviales'!L472</f>
        <v>0</v>
      </c>
      <c r="M212" s="1382">
        <f>'FORMULAIRE PGA Eaux pluviales'!M472</f>
        <v>0</v>
      </c>
      <c r="N212" s="1382">
        <f>'FORMULAIRE PGA Eaux pluviales'!N472</f>
        <v>0</v>
      </c>
      <c r="O212" s="1383">
        <f t="shared" si="21"/>
        <v>0</v>
      </c>
      <c r="P212" s="1384" t="str">
        <f>IF(ISERR(O212/$O$198)=TRUE,"",(O212/$O$198))</f>
        <v/>
      </c>
    </row>
    <row r="213" spans="2:16">
      <c r="D213" s="903" t="s">
        <v>104</v>
      </c>
      <c r="E213" s="1382">
        <f>'FORMULAIRE PGA Eaux pluviales'!E481</f>
        <v>0</v>
      </c>
      <c r="F213" s="1382">
        <f>'FORMULAIRE PGA Eaux pluviales'!F481</f>
        <v>0</v>
      </c>
      <c r="G213" s="1382">
        <f>'FORMULAIRE PGA Eaux pluviales'!G481</f>
        <v>0</v>
      </c>
      <c r="H213" s="1382">
        <f>'FORMULAIRE PGA Eaux pluviales'!H481</f>
        <v>0</v>
      </c>
      <c r="I213" s="1382">
        <f>'FORMULAIRE PGA Eaux pluviales'!I481</f>
        <v>0</v>
      </c>
      <c r="J213" s="1382">
        <f>'FORMULAIRE PGA Eaux pluviales'!J481</f>
        <v>0</v>
      </c>
      <c r="K213" s="1382">
        <f>'FORMULAIRE PGA Eaux pluviales'!K481</f>
        <v>0</v>
      </c>
      <c r="L213" s="1382">
        <f>'FORMULAIRE PGA Eaux pluviales'!L481</f>
        <v>0</v>
      </c>
      <c r="M213" s="1382">
        <f>'FORMULAIRE PGA Eaux pluviales'!M481</f>
        <v>0</v>
      </c>
      <c r="N213" s="1382">
        <f>'FORMULAIRE PGA Eaux pluviales'!N481</f>
        <v>0</v>
      </c>
      <c r="O213" s="1383">
        <f t="shared" si="21"/>
        <v>0</v>
      </c>
      <c r="P213" s="1384" t="str">
        <f>IF(ISERR(O213/$O$198)=TRUE,"",(O213/$O$198))</f>
        <v/>
      </c>
    </row>
    <row r="214" spans="2:16">
      <c r="D214" s="903" t="s">
        <v>105</v>
      </c>
      <c r="E214" s="1382">
        <f>'FORMULAIRE PGA Eaux pluviales'!E487</f>
        <v>0</v>
      </c>
      <c r="F214" s="1382">
        <f>'FORMULAIRE PGA Eaux pluviales'!F487</f>
        <v>0</v>
      </c>
      <c r="G214" s="1382">
        <f>'FORMULAIRE PGA Eaux pluviales'!G487</f>
        <v>0</v>
      </c>
      <c r="H214" s="1382">
        <f>'FORMULAIRE PGA Eaux pluviales'!H487</f>
        <v>0</v>
      </c>
      <c r="I214" s="1382">
        <f>'FORMULAIRE PGA Eaux pluviales'!I487</f>
        <v>0</v>
      </c>
      <c r="J214" s="1382">
        <f>'FORMULAIRE PGA Eaux pluviales'!J487</f>
        <v>0</v>
      </c>
      <c r="K214" s="1382">
        <f>'FORMULAIRE PGA Eaux pluviales'!K487</f>
        <v>0</v>
      </c>
      <c r="L214" s="1382">
        <f>'FORMULAIRE PGA Eaux pluviales'!L487</f>
        <v>0</v>
      </c>
      <c r="M214" s="1382">
        <f>'FORMULAIRE PGA Eaux pluviales'!M487</f>
        <v>0</v>
      </c>
      <c r="N214" s="1382">
        <f>'FORMULAIRE PGA Eaux pluviales'!N487</f>
        <v>0</v>
      </c>
      <c r="O214" s="1383">
        <f t="shared" si="21"/>
        <v>0</v>
      </c>
      <c r="P214" s="1384" t="str">
        <f>IF(ISERR(O214/$O$198)=TRUE,"",(O214/$O$198))</f>
        <v/>
      </c>
    </row>
    <row r="215" spans="2:16" ht="21" customHeight="1">
      <c r="D215" s="1385" t="s">
        <v>467</v>
      </c>
      <c r="E215" s="1386">
        <f>SUM(E210:E214)</f>
        <v>0</v>
      </c>
      <c r="F215" s="1386">
        <f t="shared" ref="F215:N215" si="22">SUM(F210:F214)</f>
        <v>0</v>
      </c>
      <c r="G215" s="1386">
        <f t="shared" si="22"/>
        <v>0</v>
      </c>
      <c r="H215" s="1386">
        <f t="shared" si="22"/>
        <v>0</v>
      </c>
      <c r="I215" s="1386">
        <f t="shared" si="22"/>
        <v>0</v>
      </c>
      <c r="J215" s="1386">
        <f t="shared" si="22"/>
        <v>0</v>
      </c>
      <c r="K215" s="1386">
        <f t="shared" si="22"/>
        <v>0</v>
      </c>
      <c r="L215" s="1386">
        <f t="shared" si="22"/>
        <v>0</v>
      </c>
      <c r="M215" s="1386">
        <f t="shared" si="22"/>
        <v>0</v>
      </c>
      <c r="N215" s="1386">
        <f t="shared" si="22"/>
        <v>0</v>
      </c>
      <c r="O215" s="1387">
        <f t="shared" si="20"/>
        <v>0</v>
      </c>
      <c r="P215" s="1388">
        <f>IF(O243=0,0,O215/O243)</f>
        <v>0</v>
      </c>
    </row>
    <row r="216" spans="2:16">
      <c r="B216" s="903"/>
      <c r="C216" s="903"/>
      <c r="D216" s="903"/>
      <c r="E216" s="1382"/>
      <c r="F216" s="1382"/>
      <c r="G216" s="1382"/>
      <c r="H216" s="1382"/>
      <c r="I216" s="1382"/>
      <c r="J216" s="1382"/>
      <c r="K216" s="1382"/>
      <c r="L216" s="1382"/>
      <c r="M216" s="1382"/>
      <c r="N216" s="1382"/>
      <c r="O216" s="1382"/>
      <c r="P216" s="1388"/>
    </row>
    <row r="217" spans="2:16">
      <c r="B217" s="903"/>
      <c r="C217" s="903"/>
      <c r="D217" s="903"/>
      <c r="E217" s="1382"/>
      <c r="F217" s="1382"/>
      <c r="G217" s="1382"/>
      <c r="H217" s="1382"/>
      <c r="I217" s="1382"/>
      <c r="J217" s="1382"/>
      <c r="K217" s="1382"/>
      <c r="L217" s="1382"/>
      <c r="M217" s="1382"/>
      <c r="N217" s="1382"/>
      <c r="O217" s="1382"/>
      <c r="P217" s="1388"/>
    </row>
    <row r="218" spans="2:16" ht="21.75" customHeight="1">
      <c r="B218" s="903"/>
      <c r="C218" s="903"/>
      <c r="D218" s="1389" t="s">
        <v>33</v>
      </c>
      <c r="E218" s="2505"/>
      <c r="F218" s="1395"/>
      <c r="G218" s="2506"/>
      <c r="H218" s="1395"/>
      <c r="I218" s="2507"/>
      <c r="J218" s="1395"/>
      <c r="L218" s="2508"/>
      <c r="M218" s="1395"/>
      <c r="N218" s="2509"/>
      <c r="O218" s="1395"/>
    </row>
    <row r="219" spans="2:16" ht="18.75" customHeight="1">
      <c r="B219" s="903"/>
      <c r="C219" s="903"/>
      <c r="D219" s="1390">
        <f>O150</f>
        <v>0</v>
      </c>
      <c r="E219" s="1361"/>
      <c r="F219" s="2511"/>
      <c r="G219" s="2511"/>
      <c r="H219" s="2511"/>
      <c r="I219" s="2511"/>
      <c r="J219" s="2511"/>
      <c r="K219" s="2511"/>
      <c r="M219" s="2511"/>
      <c r="N219" s="2511"/>
      <c r="O219" s="2511"/>
      <c r="P219" s="2511"/>
    </row>
    <row r="220" spans="2:16" ht="11.25" customHeight="1">
      <c r="B220" s="903"/>
      <c r="C220" s="903"/>
      <c r="D220" s="903"/>
      <c r="E220" s="2510"/>
      <c r="F220" s="1382"/>
      <c r="G220" s="1382"/>
      <c r="H220" s="2510"/>
      <c r="I220" s="1382"/>
      <c r="J220" s="1382"/>
      <c r="K220" s="1382"/>
      <c r="L220" s="1382"/>
      <c r="M220" s="1382"/>
      <c r="N220" s="1382"/>
      <c r="O220" s="1382"/>
      <c r="P220" s="1388"/>
    </row>
    <row r="221" spans="2:16">
      <c r="B221" s="903"/>
      <c r="C221" s="903"/>
      <c r="D221" s="903"/>
      <c r="E221" s="1382"/>
      <c r="F221" s="1382"/>
      <c r="G221" s="1382"/>
      <c r="H221" s="1382"/>
      <c r="I221" s="1382"/>
      <c r="J221" s="1382"/>
      <c r="N221" s="1382"/>
      <c r="O221" s="1382"/>
      <c r="P221" s="1388"/>
    </row>
    <row r="222" spans="2:16" ht="15" customHeight="1"/>
    <row r="224" spans="2:16" ht="21.75" customHeight="1">
      <c r="D224" s="1374" t="s">
        <v>452</v>
      </c>
    </row>
    <row r="225" spans="1:17" ht="7.5" customHeight="1">
      <c r="D225" s="1375"/>
    </row>
    <row r="226" spans="1:17" ht="20.25" customHeight="1">
      <c r="D226" s="1385" t="s">
        <v>467</v>
      </c>
      <c r="E226" s="1386">
        <f>E198+E215</f>
        <v>0</v>
      </c>
      <c r="F226" s="1386">
        <f t="shared" ref="F226:N226" si="23">F198+F215</f>
        <v>0</v>
      </c>
      <c r="G226" s="1386">
        <f t="shared" si="23"/>
        <v>0</v>
      </c>
      <c r="H226" s="1386">
        <f t="shared" si="23"/>
        <v>0</v>
      </c>
      <c r="I226" s="1386">
        <f t="shared" si="23"/>
        <v>0</v>
      </c>
      <c r="J226" s="1386">
        <f t="shared" si="23"/>
        <v>0</v>
      </c>
      <c r="K226" s="1386">
        <f t="shared" si="23"/>
        <v>0</v>
      </c>
      <c r="L226" s="1386">
        <f t="shared" si="23"/>
        <v>0</v>
      </c>
      <c r="M226" s="1386">
        <f t="shared" si="23"/>
        <v>0</v>
      </c>
      <c r="N226" s="1386">
        <f t="shared" si="23"/>
        <v>0</v>
      </c>
      <c r="O226" s="1387">
        <f>O198+O215</f>
        <v>0</v>
      </c>
    </row>
    <row r="229" spans="1:17" ht="22.5" customHeight="1">
      <c r="B229" s="1239" t="s">
        <v>16</v>
      </c>
      <c r="C229" s="1239"/>
      <c r="D229" s="1239"/>
      <c r="E229" s="1239"/>
      <c r="F229" s="1239"/>
      <c r="G229" s="1239"/>
      <c r="H229" s="1239"/>
      <c r="I229" s="1239"/>
      <c r="J229" s="1239"/>
      <c r="K229" s="1239"/>
      <c r="L229" s="1239"/>
      <c r="M229" s="1239"/>
      <c r="N229" s="1239"/>
      <c r="O229" s="1239"/>
      <c r="P229" s="1239"/>
      <c r="Q229" s="1239"/>
    </row>
    <row r="231" spans="1:17" ht="26.25" customHeight="1">
      <c r="B231" s="1344"/>
      <c r="C231" s="1344"/>
      <c r="D231" s="1345" t="s">
        <v>30</v>
      </c>
      <c r="I231" s="1345"/>
    </row>
    <row r="232" spans="1:17" ht="22.5" customHeight="1">
      <c r="B232" s="1344"/>
      <c r="C232" s="1344"/>
    </row>
    <row r="233" spans="1:17" ht="15" customHeight="1"/>
    <row r="234" spans="1:17" ht="15" customHeight="1">
      <c r="E234" s="2746"/>
    </row>
    <row r="235" spans="1:17" ht="20.25" customHeight="1">
      <c r="E235" s="2514" t="s">
        <v>2287</v>
      </c>
      <c r="F235" s="1429"/>
      <c r="G235" s="1097"/>
      <c r="H235" s="1300"/>
    </row>
    <row r="236" spans="1:17" s="72" customFormat="1" ht="19.5" customHeight="1">
      <c r="A236" s="82"/>
      <c r="E236" s="2515"/>
      <c r="F236" s="2516" t="s">
        <v>31</v>
      </c>
      <c r="G236" s="2525"/>
      <c r="H236" s="2687"/>
      <c r="L236" s="28"/>
      <c r="M236" s="1391">
        <f>'FORMULAIRE PGA Eaux pluviales'!O413+'FORMULAIRE PGA Eaux pluviales'!O420+'FORMULAIRE PGA Eaux pluviales'!O458+'FORMULAIRE PGA Eaux pluviales'!O465</f>
        <v>0</v>
      </c>
      <c r="N236" s="1392" t="e">
        <f>M236/$L$247</f>
        <v>#DIV/0!</v>
      </c>
    </row>
    <row r="237" spans="1:17" s="72" customFormat="1" ht="19.5" customHeight="1">
      <c r="A237" s="82"/>
      <c r="E237" s="2515"/>
      <c r="F237" s="2516" t="s">
        <v>75</v>
      </c>
      <c r="G237" s="2519"/>
      <c r="H237" s="2519"/>
      <c r="M237" s="1391">
        <f>'FORMULAIRE PGA Eaux pluviales'!O428+'FORMULAIRE PGA Eaux pluviales'!O437+'FORMULAIRE PGA Eaux pluviales'!O443+'FORMULAIRE PGA Eaux pluviales'!O473+'FORMULAIRE PGA Eaux pluviales'!O482+'FORMULAIRE PGA Eaux pluviales'!O488</f>
        <v>0</v>
      </c>
      <c r="N237" s="1392" t="e">
        <f>M237/$L$247</f>
        <v>#DIV/0!</v>
      </c>
    </row>
    <row r="238" spans="1:17" ht="12" customHeight="1">
      <c r="E238" s="614"/>
      <c r="F238" s="2516"/>
      <c r="G238" s="1370"/>
      <c r="H238" s="1370"/>
      <c r="M238" s="1391"/>
      <c r="N238" s="1392"/>
    </row>
    <row r="239" spans="1:17" ht="20.25" customHeight="1">
      <c r="E239" s="2514" t="s">
        <v>48</v>
      </c>
      <c r="F239" s="2516"/>
      <c r="G239" s="1370"/>
      <c r="H239" s="1370"/>
      <c r="M239" s="1391"/>
      <c r="N239" s="1392"/>
    </row>
    <row r="240" spans="1:17" ht="19.5" customHeight="1">
      <c r="E240" s="2515"/>
      <c r="F240" s="2516" t="s">
        <v>76</v>
      </c>
      <c r="G240" s="1370"/>
      <c r="H240" s="1370"/>
      <c r="M240" s="1391">
        <f>'FORMULAIRE PGA Eaux pluviales'!O429+'FORMULAIRE PGA Eaux pluviales'!O474</f>
        <v>0</v>
      </c>
      <c r="N240" s="1392" t="e">
        <f>M240/$L$247</f>
        <v>#DIV/0!</v>
      </c>
    </row>
    <row r="241" spans="4:16" ht="12" customHeight="1">
      <c r="E241" s="614"/>
      <c r="F241" s="2516"/>
      <c r="G241" s="1370"/>
      <c r="H241" s="1370"/>
      <c r="M241" s="1391"/>
      <c r="N241" s="1392"/>
    </row>
    <row r="242" spans="4:16" ht="20.25" customHeight="1">
      <c r="E242" s="2514" t="s">
        <v>49</v>
      </c>
      <c r="F242" s="2516"/>
      <c r="G242" s="1370"/>
      <c r="H242" s="1370"/>
      <c r="N242" s="1392"/>
    </row>
    <row r="243" spans="4:16" ht="19.5" customHeight="1">
      <c r="E243" s="2515"/>
      <c r="F243" s="2516" t="s">
        <v>77</v>
      </c>
      <c r="M243" s="1393">
        <f>'FORMULAIRE PGA Eaux pluviales'!O415+'FORMULAIRE PGA Eaux pluviales'!O422+'FORMULAIRE PGA Eaux pluviales'!O460+'FORMULAIRE PGA Eaux pluviales'!O467</f>
        <v>0</v>
      </c>
      <c r="N243" s="1392" t="e">
        <f>M243/$L$247</f>
        <v>#DIV/0!</v>
      </c>
    </row>
    <row r="244" spans="4:16" ht="19.5" customHeight="1">
      <c r="E244" s="2515"/>
      <c r="F244" s="2516" t="s">
        <v>78</v>
      </c>
      <c r="M244" s="1391">
        <f>H253+H255+H257+K253+K255+K257</f>
        <v>0</v>
      </c>
      <c r="N244" s="1392" t="e">
        <f>M244/$L$247</f>
        <v>#DIV/0!</v>
      </c>
      <c r="O244" s="1394" t="e">
        <f>SUM(N236:N244)</f>
        <v>#DIV/0!</v>
      </c>
    </row>
    <row r="245" spans="4:16" ht="15" customHeight="1">
      <c r="F245" s="1395"/>
      <c r="G245" s="1396"/>
      <c r="H245" s="1370"/>
    </row>
    <row r="246" spans="4:16" ht="17.25" customHeight="1">
      <c r="G246" s="1396"/>
      <c r="H246" s="1370"/>
      <c r="M246" s="1391"/>
    </row>
    <row r="247" spans="4:16" ht="26.25" customHeight="1">
      <c r="D247" s="1389" t="s">
        <v>33</v>
      </c>
      <c r="F247" s="1395"/>
      <c r="G247" s="1396"/>
      <c r="H247" s="1370"/>
      <c r="L247" s="3559">
        <f>SUM(M236:M244)</f>
        <v>0</v>
      </c>
      <c r="M247" s="3559"/>
      <c r="N247" s="3559"/>
    </row>
    <row r="248" spans="4:16" ht="15" customHeight="1">
      <c r="D248" s="1390">
        <f>H161</f>
        <v>0</v>
      </c>
      <c r="E248" s="1396"/>
      <c r="F248" s="1396"/>
      <c r="G248" s="1396"/>
      <c r="H248" s="1370"/>
    </row>
    <row r="249" spans="4:16" ht="18.75" customHeight="1"/>
    <row r="250" spans="4:16" ht="17.25" customHeight="1">
      <c r="F250" s="1395"/>
      <c r="G250" s="1396"/>
      <c r="H250" s="1370"/>
    </row>
    <row r="251" spans="4:16" ht="28.5" customHeight="1">
      <c r="E251" s="1395"/>
      <c r="F251" s="1397"/>
      <c r="G251" s="1346"/>
      <c r="H251" s="1398" t="s">
        <v>31</v>
      </c>
      <c r="I251" s="1399"/>
      <c r="J251" s="1346"/>
      <c r="K251" s="1398" t="s">
        <v>32</v>
      </c>
      <c r="M251" s="1400" t="s">
        <v>33</v>
      </c>
      <c r="N251" s="2521" t="s">
        <v>470</v>
      </c>
      <c r="O251" s="2522" t="s">
        <v>471</v>
      </c>
      <c r="P251" s="1401"/>
    </row>
    <row r="252" spans="4:16" ht="21" customHeight="1">
      <c r="D252" s="509"/>
      <c r="E252" s="509"/>
      <c r="F252" s="1402" t="s">
        <v>107</v>
      </c>
      <c r="G252" s="1403" t="s">
        <v>108</v>
      </c>
      <c r="H252" s="1972" t="s">
        <v>472</v>
      </c>
      <c r="I252" s="1402" t="s">
        <v>107</v>
      </c>
      <c r="J252" s="1403" t="s">
        <v>108</v>
      </c>
      <c r="K252" s="1972" t="s">
        <v>472</v>
      </c>
      <c r="M252" s="1421"/>
      <c r="N252" s="1346"/>
      <c r="O252" s="1330"/>
    </row>
    <row r="253" spans="4:16" ht="38.25" customHeight="1">
      <c r="D253" s="1404"/>
      <c r="E253" s="1405" t="s">
        <v>72</v>
      </c>
      <c r="F253" s="1406">
        <f>'FORMULAIRE PGA Eaux pluviales'!O416+'FORMULAIRE PGA Eaux pluviales'!O423</f>
        <v>0</v>
      </c>
      <c r="G253" s="1407">
        <f>'FORMULAIRE PGA Eaux pluviales'!O461+'FORMULAIRE PGA Eaux pluviales'!O468</f>
        <v>0</v>
      </c>
      <c r="H253" s="1408">
        <f>F253+G253</f>
        <v>0</v>
      </c>
      <c r="I253" s="1406">
        <f>'FORMULAIRE PGA Eaux pluviales'!O431+'FORMULAIRE PGA Eaux pluviales'!O439+'FORMULAIRE PGA Eaux pluviales'!O445</f>
        <v>0</v>
      </c>
      <c r="J253" s="1407">
        <f>'FORMULAIRE PGA Eaux pluviales'!O476+'FORMULAIRE PGA Eaux pluviales'!O484+'FORMULAIRE PGA Eaux pluviales'!O490</f>
        <v>0</v>
      </c>
      <c r="K253" s="1408">
        <f>I253+J253</f>
        <v>0</v>
      </c>
      <c r="M253" s="1409">
        <f>ROUNDDOWN(F165,0)</f>
        <v>0</v>
      </c>
      <c r="N253" s="2532">
        <f>IF(ISERR(H253),0,H253)</f>
        <v>0</v>
      </c>
      <c r="O253" s="2533">
        <f>IF(ISERR(K253),0,K253)</f>
        <v>0</v>
      </c>
    </row>
    <row r="254" spans="4:16" ht="9" customHeight="1">
      <c r="D254" s="1284"/>
      <c r="E254" s="1411"/>
      <c r="F254" s="1284"/>
      <c r="G254" s="509"/>
      <c r="H254" s="1326"/>
      <c r="I254" s="1284"/>
      <c r="J254" s="509"/>
      <c r="K254" s="1326"/>
      <c r="M254" s="363"/>
      <c r="N254" s="2530"/>
      <c r="O254" s="2531"/>
    </row>
    <row r="255" spans="4:16" ht="38.25" customHeight="1">
      <c r="D255" s="104"/>
      <c r="E255" s="1405" t="s">
        <v>73</v>
      </c>
      <c r="F255" s="1406">
        <f>'FORMULAIRE PGA Eaux pluviales'!O417+'FORMULAIRE PGA Eaux pluviales'!O424</f>
        <v>0</v>
      </c>
      <c r="G255" s="1407">
        <f>'FORMULAIRE PGA Eaux pluviales'!O462+'FORMULAIRE PGA Eaux pluviales'!O469</f>
        <v>0</v>
      </c>
      <c r="H255" s="1408">
        <f>F255+G255</f>
        <v>0</v>
      </c>
      <c r="I255" s="1406">
        <f>'FORMULAIRE PGA Eaux pluviales'!O432+'FORMULAIRE PGA Eaux pluviales'!O440+'FORMULAIRE PGA Eaux pluviales'!O446</f>
        <v>0</v>
      </c>
      <c r="J255" s="1407">
        <f>'FORMULAIRE PGA Eaux pluviales'!O477+'FORMULAIRE PGA Eaux pluviales'!O485+'FORMULAIRE PGA Eaux pluviales'!O491</f>
        <v>0</v>
      </c>
      <c r="K255" s="1408">
        <f>I255+J255</f>
        <v>0</v>
      </c>
      <c r="M255" s="2791">
        <f>ROUNDDOWN(F166,0)</f>
        <v>0</v>
      </c>
      <c r="N255" s="2528">
        <f>IF(ISERR(H255),0,H255)</f>
        <v>0</v>
      </c>
      <c r="O255" s="2520">
        <f>IF(ISERR(K255),0,K255)</f>
        <v>0</v>
      </c>
    </row>
    <row r="256" spans="4:16" ht="9" customHeight="1">
      <c r="D256" s="1284"/>
      <c r="E256" s="1411"/>
      <c r="F256" s="1412"/>
      <c r="G256" s="1413"/>
      <c r="H256" s="1414"/>
      <c r="I256" s="1412"/>
      <c r="J256" s="1413"/>
      <c r="K256" s="1414"/>
      <c r="M256" s="1295"/>
      <c r="N256" s="2530"/>
      <c r="O256" s="2531"/>
    </row>
    <row r="257" spans="2:17" ht="38.25" customHeight="1">
      <c r="D257" s="104"/>
      <c r="E257" s="1405" t="s">
        <v>74</v>
      </c>
      <c r="F257" s="1406">
        <f>'FORMULAIRE PGA Eaux pluviales'!O418+'FORMULAIRE PGA Eaux pluviales'!O425</f>
        <v>0</v>
      </c>
      <c r="G257" s="1407">
        <f>'FORMULAIRE PGA Eaux pluviales'!O463+'FORMULAIRE PGA Eaux pluviales'!O470</f>
        <v>0</v>
      </c>
      <c r="H257" s="1408">
        <f>F257+G257</f>
        <v>0</v>
      </c>
      <c r="I257" s="1406">
        <f>'FORMULAIRE PGA Eaux pluviales'!O433+'FORMULAIRE PGA Eaux pluviales'!O441+'FORMULAIRE PGA Eaux pluviales'!O447</f>
        <v>0</v>
      </c>
      <c r="J257" s="1407">
        <f>'FORMULAIRE PGA Eaux pluviales'!O478+'FORMULAIRE PGA Eaux pluviales'!O486+'FORMULAIRE PGA Eaux pluviales'!O492</f>
        <v>0</v>
      </c>
      <c r="K257" s="1408">
        <f>I257+J257</f>
        <v>0</v>
      </c>
      <c r="M257" s="1409">
        <f>ROUNDDOWN(F167,0)</f>
        <v>0</v>
      </c>
      <c r="N257" s="2528">
        <f>IF(ISERR(H257),0,H257)</f>
        <v>0</v>
      </c>
      <c r="O257" s="2520">
        <f>IF(ISERR(K257),0,K257)</f>
        <v>0</v>
      </c>
    </row>
    <row r="258" spans="2:17" ht="9" customHeight="1">
      <c r="D258" s="1284"/>
      <c r="E258" s="1411"/>
      <c r="F258" s="1415"/>
      <c r="G258" s="1416"/>
      <c r="H258" s="1417"/>
      <c r="I258" s="1412"/>
      <c r="J258" s="1416"/>
      <c r="K258" s="1414"/>
      <c r="M258" s="1295"/>
      <c r="N258" s="509"/>
      <c r="O258" s="1326"/>
    </row>
    <row r="259" spans="2:17" ht="17.25" customHeight="1">
      <c r="F259" s="1396"/>
      <c r="G259" s="1396"/>
      <c r="H259" s="1370"/>
    </row>
    <row r="262" spans="2:17" ht="31.5" customHeight="1">
      <c r="B262" s="1237" t="s">
        <v>5</v>
      </c>
      <c r="C262" s="1237"/>
      <c r="D262" s="1238"/>
      <c r="E262" s="1238"/>
      <c r="F262" s="1238"/>
      <c r="G262" s="1238"/>
      <c r="H262" s="1238"/>
      <c r="I262" s="1238"/>
      <c r="J262" s="1238"/>
      <c r="K262" s="1238"/>
      <c r="L262" s="1238"/>
      <c r="M262" s="1238"/>
      <c r="N262" s="1238"/>
      <c r="O262" s="1238"/>
      <c r="P262" s="1238"/>
      <c r="Q262" s="1238"/>
    </row>
    <row r="264" spans="2:17" ht="22.5" customHeight="1">
      <c r="B264" s="1239" t="s">
        <v>17</v>
      </c>
      <c r="C264" s="1239"/>
      <c r="D264" s="1239"/>
      <c r="E264" s="1239"/>
      <c r="F264" s="1239"/>
      <c r="G264" s="1239"/>
      <c r="H264" s="1239"/>
      <c r="I264" s="1239"/>
      <c r="J264" s="1239"/>
      <c r="K264" s="1239"/>
      <c r="L264" s="1239"/>
      <c r="M264" s="1239"/>
      <c r="N264" s="1239"/>
      <c r="O264" s="1239"/>
      <c r="P264" s="1239"/>
      <c r="Q264" s="1239"/>
    </row>
    <row r="265" spans="2:17" ht="21">
      <c r="B265" s="1344"/>
      <c r="C265" s="1344"/>
    </row>
    <row r="266" spans="2:17" ht="17.25" customHeight="1">
      <c r="D266" s="509"/>
      <c r="E266" s="509"/>
      <c r="F266" s="1333" t="s">
        <v>473</v>
      </c>
    </row>
    <row r="267" spans="2:17">
      <c r="E267" s="1097" t="s">
        <v>107</v>
      </c>
      <c r="F267" s="1097" t="s">
        <v>108</v>
      </c>
    </row>
    <row r="268" spans="2:17">
      <c r="D268" s="1320" t="str">
        <f>'FORMULAIRE PGA Eaux pluviales'!C520</f>
        <v>Coûts prévisionnels totaux (besoins totaux)</v>
      </c>
      <c r="E268" s="1369">
        <f>'FORMULAIRE PGA Eaux pluviales'!O520</f>
        <v>0</v>
      </c>
      <c r="F268" s="1369">
        <f>'FORMULAIRE PGA Eaux pluviales'!O547</f>
        <v>0</v>
      </c>
    </row>
    <row r="269" spans="2:17" ht="15.6">
      <c r="D269" s="1320" t="str">
        <f>'FORMULAIRE PGA Eaux pluviales'!C521</f>
        <v>Revenus du gouvernement provincial</v>
      </c>
      <c r="E269" s="1369">
        <f>'FORMULAIRE PGA Eaux pluviales'!O521</f>
        <v>0</v>
      </c>
      <c r="F269" s="1369">
        <f>'FORMULAIRE PGA Eaux pluviales'!O548</f>
        <v>0</v>
      </c>
      <c r="L269" s="1332" t="s">
        <v>474</v>
      </c>
      <c r="M269" s="509"/>
      <c r="N269" s="509"/>
    </row>
    <row r="270" spans="2:17">
      <c r="D270" s="1320" t="str">
        <f>'FORMULAIRE PGA Eaux pluviales'!C522</f>
        <v>Revenus générés</v>
      </c>
      <c r="E270" s="1369">
        <f>'FORMULAIRE PGA Eaux pluviales'!O522</f>
        <v>0</v>
      </c>
      <c r="F270" s="1369">
        <f>'FORMULAIRE PGA Eaux pluviales'!O549</f>
        <v>0</v>
      </c>
    </row>
    <row r="271" spans="2:17">
      <c r="D271" s="1320" t="str">
        <f>'FORMULAIRE PGA Eaux pluviales'!C523</f>
        <v>Budget total planifié</v>
      </c>
      <c r="E271" s="1369">
        <f>'FORMULAIRE PGA Eaux pluviales'!O523</f>
        <v>0</v>
      </c>
      <c r="F271" s="1369">
        <f>'FORMULAIRE PGA Eaux pluviales'!O550</f>
        <v>0</v>
      </c>
      <c r="L271" s="1098" t="s">
        <v>475</v>
      </c>
      <c r="M271" s="1394" t="e">
        <f>(E271+F271)/(E268+F268)</f>
        <v>#DIV/0!</v>
      </c>
      <c r="N271" s="1418" t="str">
        <f>IF(ISERR(M271)=TRUE,"",M271)</f>
        <v/>
      </c>
    </row>
    <row r="272" spans="2:17">
      <c r="D272" s="1320" t="str">
        <f>'FORMULAIRE PGA Eaux pluviales'!C524</f>
        <v>Déficit de financement</v>
      </c>
      <c r="E272" s="1369">
        <f>'FORMULAIRE PGA Eaux pluviales'!O524</f>
        <v>0</v>
      </c>
      <c r="F272" s="1369">
        <f>'FORMULAIRE PGA Eaux pluviales'!O551</f>
        <v>0</v>
      </c>
      <c r="L272" s="1098" t="s">
        <v>476</v>
      </c>
      <c r="M272" s="1394" t="e">
        <f>(E270+F270)/(E271+F271)</f>
        <v>#DIV/0!</v>
      </c>
      <c r="N272" s="1419" t="str">
        <f>IF(ISERR(M272)=TRUE,"",M272)</f>
        <v/>
      </c>
    </row>
    <row r="274" spans="2:17" ht="20.25" customHeight="1">
      <c r="D274" s="1341" t="s">
        <v>477</v>
      </c>
      <c r="K274" s="1332" t="s">
        <v>33</v>
      </c>
      <c r="L274" s="1332"/>
      <c r="M274" s="1332"/>
      <c r="N274" s="1332"/>
      <c r="O274" s="509"/>
    </row>
    <row r="275" spans="2:17">
      <c r="E275" s="1097"/>
      <c r="F275" s="319" t="s">
        <v>83</v>
      </c>
      <c r="M275" s="1320"/>
      <c r="N275" s="1320" t="s">
        <v>478</v>
      </c>
      <c r="O275" s="1320" t="s">
        <v>94</v>
      </c>
    </row>
    <row r="276" spans="2:17">
      <c r="B276" s="1098" t="s">
        <v>107</v>
      </c>
      <c r="C276" s="1098"/>
      <c r="D276" s="1098" t="s">
        <v>479</v>
      </c>
      <c r="E276" s="1420">
        <f>E271</f>
        <v>0</v>
      </c>
      <c r="F276" s="1420">
        <f>E272</f>
        <v>0</v>
      </c>
      <c r="K276" s="1320" t="str">
        <f>'FORMULAIRE PGA Eaux pluviales'!C634</f>
        <v>Financement estimé pour le fonctionnement</v>
      </c>
      <c r="L276" s="1320" t="s">
        <v>107</v>
      </c>
      <c r="M276" s="319">
        <f>'FORMULAIRE PGA Eaux pluviales'!G634</f>
        <v>0</v>
      </c>
      <c r="N276" s="1421">
        <f>IF(OR($I$41=1,$K$36=1),M276,IF($I$33=1,M277,ROUNDDOWN(AVERAGE(M276:M277),0)))</f>
        <v>0</v>
      </c>
      <c r="O276" s="1422">
        <f>IF(OR($I$41=1,$K$36=1),ROUNDDOWN(AVERAGE(M276,M278),0),IF($I$33=1,ROUNDDOWN(AVERAGE(M277,M279),0),ROUNDDOWN(AVERAGE(M276:M279),0)))</f>
        <v>0</v>
      </c>
    </row>
    <row r="277" spans="2:17">
      <c r="B277" s="1098"/>
      <c r="C277" s="1098"/>
      <c r="D277" s="1098" t="s">
        <v>441</v>
      </c>
      <c r="E277" s="1420">
        <f>E268</f>
        <v>0</v>
      </c>
      <c r="F277" s="319">
        <v>0</v>
      </c>
      <c r="L277" s="1320" t="s">
        <v>108</v>
      </c>
      <c r="M277" s="28">
        <f>'FORMULAIRE PGA Eaux pluviales'!L634</f>
        <v>0</v>
      </c>
      <c r="N277" s="1423"/>
    </row>
    <row r="278" spans="2:17">
      <c r="B278" s="1098" t="s">
        <v>108</v>
      </c>
      <c r="C278" s="1098"/>
      <c r="D278" s="1098" t="s">
        <v>441</v>
      </c>
      <c r="E278" s="1420">
        <f>F268</f>
        <v>0</v>
      </c>
      <c r="F278" s="319">
        <v>0</v>
      </c>
      <c r="J278" s="1320"/>
      <c r="K278" s="1320" t="str">
        <f>'FORMULAIRE PGA Eaux pluviales'!C631</f>
        <v>Coûts prévus pour l'exploitation et pour l'entretien</v>
      </c>
      <c r="L278" s="1320" t="s">
        <v>107</v>
      </c>
      <c r="M278" s="319">
        <f>'FORMULAIRE PGA Eaux pluviales'!G631</f>
        <v>0</v>
      </c>
      <c r="N278" s="1423"/>
    </row>
    <row r="279" spans="2:17">
      <c r="B279" s="1098"/>
      <c r="C279" s="1098"/>
      <c r="D279" s="1098" t="s">
        <v>479</v>
      </c>
      <c r="E279" s="1420">
        <f>F271</f>
        <v>0</v>
      </c>
      <c r="F279" s="1420">
        <f>F272</f>
        <v>0</v>
      </c>
      <c r="L279" s="1320" t="s">
        <v>108</v>
      </c>
      <c r="M279" s="28">
        <f>'FORMULAIRE PGA Eaux pluviales'!L631</f>
        <v>0</v>
      </c>
    </row>
    <row r="280" spans="2:17">
      <c r="B280" s="1098"/>
      <c r="C280" s="1098"/>
      <c r="D280" s="1098"/>
      <c r="E280" s="1420"/>
      <c r="F280" s="1420"/>
    </row>
    <row r="282" spans="2:17" ht="22.5" customHeight="1">
      <c r="B282" s="1239" t="s">
        <v>18</v>
      </c>
      <c r="C282" s="1239"/>
      <c r="D282" s="1239"/>
      <c r="E282" s="1239"/>
      <c r="F282" s="1239"/>
      <c r="G282" s="1239"/>
      <c r="H282" s="1239"/>
      <c r="I282" s="1239"/>
      <c r="J282" s="1239"/>
      <c r="K282" s="1239"/>
      <c r="L282" s="1239"/>
      <c r="M282" s="1239"/>
      <c r="N282" s="1239"/>
      <c r="O282" s="1239"/>
      <c r="P282" s="1239"/>
      <c r="Q282" s="1239"/>
    </row>
    <row r="284" spans="2:17" ht="17.25" customHeight="1">
      <c r="D284" s="509"/>
      <c r="E284" s="509"/>
      <c r="F284" s="1333" t="s">
        <v>473</v>
      </c>
    </row>
    <row r="285" spans="2:17">
      <c r="E285" s="1097" t="s">
        <v>107</v>
      </c>
      <c r="F285" s="1097" t="s">
        <v>108</v>
      </c>
    </row>
    <row r="286" spans="2:17">
      <c r="D286" s="1320" t="str">
        <f>'FORMULAIRE PGA Eaux pluviales'!C527</f>
        <v>Coûts prévisionnels totaux (besoins totaux)</v>
      </c>
      <c r="E286" s="1369">
        <f>'FORMULAIRE PGA Eaux pluviales'!O527</f>
        <v>0</v>
      </c>
      <c r="F286" s="1369">
        <f>'FORMULAIRE PGA Eaux pluviales'!O554</f>
        <v>0</v>
      </c>
    </row>
    <row r="287" spans="2:17">
      <c r="D287" s="1320" t="str">
        <f>'FORMULAIRE PGA Eaux pluviales'!C528</f>
        <v>Excédent de fonctionnement</v>
      </c>
      <c r="E287" s="1369">
        <f>'FORMULAIRE PGA Eaux pluviales'!O528</f>
        <v>0</v>
      </c>
      <c r="F287" s="1369">
        <f>'FORMULAIRE PGA Eaux pluviales'!O555</f>
        <v>0</v>
      </c>
    </row>
    <row r="288" spans="2:17" ht="15.6">
      <c r="D288" s="1320" t="str">
        <f>'FORMULAIRE PGA Eaux pluviales'!C529</f>
        <v>Financement du gouvernement provincial</v>
      </c>
      <c r="E288" s="1369">
        <f>'FORMULAIRE PGA Eaux pluviales'!O529</f>
        <v>0</v>
      </c>
      <c r="F288" s="1369">
        <f>'FORMULAIRE PGA Eaux pluviales'!O556</f>
        <v>0</v>
      </c>
      <c r="L288" s="1332" t="s">
        <v>474</v>
      </c>
      <c r="M288" s="509"/>
      <c r="N288" s="509"/>
    </row>
    <row r="289" spans="2:17">
      <c r="D289" s="1320" t="str">
        <f>'FORMULAIRE PGA Eaux pluviales'!C530</f>
        <v>Autres types de financement</v>
      </c>
      <c r="E289" s="1369">
        <f>'FORMULAIRE PGA Eaux pluviales'!O530</f>
        <v>0</v>
      </c>
      <c r="F289" s="1369">
        <f>'FORMULAIRE PGA Eaux pluviales'!O557</f>
        <v>0</v>
      </c>
    </row>
    <row r="290" spans="2:17">
      <c r="D290" s="1320" t="str">
        <f>'FORMULAIRE PGA Eaux pluviales'!C531</f>
        <v>Budget total planifié</v>
      </c>
      <c r="E290" s="1369">
        <f>'FORMULAIRE PGA Eaux pluviales'!O531</f>
        <v>0</v>
      </c>
      <c r="F290" s="1369">
        <f>'FORMULAIRE PGA Eaux pluviales'!O558</f>
        <v>0</v>
      </c>
      <c r="L290" s="1098" t="s">
        <v>480</v>
      </c>
      <c r="M290" s="1394" t="e">
        <f>(E290+F290)/(E286+F286)</f>
        <v>#DIV/0!</v>
      </c>
      <c r="N290" s="1418" t="str">
        <f>IF(ISERR(M290)=TRUE,"",M290)</f>
        <v/>
      </c>
    </row>
    <row r="291" spans="2:17">
      <c r="D291" s="1320" t="str">
        <f>'FORMULAIRE PGA Eaux pluviales'!C532</f>
        <v>Déficit de financement</v>
      </c>
      <c r="E291" s="1369">
        <f>'FORMULAIRE PGA Eaux pluviales'!O532</f>
        <v>0</v>
      </c>
      <c r="F291" s="1369">
        <f>'FORMULAIRE PGA Eaux pluviales'!O559</f>
        <v>0</v>
      </c>
      <c r="L291" s="1098" t="s">
        <v>481</v>
      </c>
      <c r="M291" s="1394" t="e">
        <f>(E289+F289)/(E290+F290)</f>
        <v>#DIV/0!</v>
      </c>
      <c r="N291" s="1419" t="str">
        <f>IF(ISERR(M291)=TRUE,"",M291)</f>
        <v/>
      </c>
    </row>
    <row r="292" spans="2:17">
      <c r="D292" s="1320"/>
      <c r="E292" s="1369"/>
      <c r="F292" s="1369"/>
    </row>
    <row r="293" spans="2:17" ht="21" customHeight="1">
      <c r="D293" s="1341" t="s">
        <v>482</v>
      </c>
      <c r="K293" s="1332" t="s">
        <v>33</v>
      </c>
      <c r="L293" s="1332"/>
      <c r="M293" s="1332"/>
      <c r="N293" s="1332"/>
      <c r="O293" s="1332"/>
    </row>
    <row r="294" spans="2:17">
      <c r="E294" s="1097"/>
      <c r="F294" s="28" t="s">
        <v>83</v>
      </c>
      <c r="L294" s="1320"/>
      <c r="N294" s="1320" t="s">
        <v>478</v>
      </c>
      <c r="O294" s="1320" t="s">
        <v>94</v>
      </c>
    </row>
    <row r="295" spans="2:17">
      <c r="B295" s="1098" t="s">
        <v>107</v>
      </c>
      <c r="C295" s="1098"/>
      <c r="D295" s="1098" t="s">
        <v>479</v>
      </c>
      <c r="E295" s="1420">
        <f>E290</f>
        <v>0</v>
      </c>
      <c r="F295" s="1420">
        <f>E291</f>
        <v>0</v>
      </c>
      <c r="K295" s="1320" t="str">
        <f>'FORMULAIRE PGA Eaux pluviales'!C635</f>
        <v>Financement estimé pour le renouvellement</v>
      </c>
      <c r="L295" s="1320" t="s">
        <v>107</v>
      </c>
      <c r="M295" s="319">
        <f>'FORMULAIRE PGA Eaux pluviales'!G635</f>
        <v>0</v>
      </c>
      <c r="N295" s="1421">
        <f>IF(OR($I$41=1,$K$36=1),M295,IF($I$33=1,M296,ROUNDDOWN(AVERAGE(M295:M296),0)))</f>
        <v>0</v>
      </c>
      <c r="O295" s="1422">
        <f>IF(OR($I$41=1,$K$36=1),ROUNDDOWN(AVERAGE(M295,M297),0),IF($I$33=1,ROUNDDOWN(AVERAGE(M296,M298),0),ROUNDDOWN(AVERAGE(M295:M298),0)))</f>
        <v>0</v>
      </c>
    </row>
    <row r="296" spans="2:17">
      <c r="B296" s="1098"/>
      <c r="C296" s="1098"/>
      <c r="D296" s="1098" t="s">
        <v>441</v>
      </c>
      <c r="E296" s="1420">
        <f>E286</f>
        <v>0</v>
      </c>
      <c r="F296" s="319">
        <v>0</v>
      </c>
      <c r="L296" s="1320" t="s">
        <v>108</v>
      </c>
      <c r="M296" s="28">
        <f>'FORMULAIRE PGA Eaux pluviales'!L635</f>
        <v>0</v>
      </c>
      <c r="N296" s="1423"/>
    </row>
    <row r="297" spans="2:17">
      <c r="B297" s="1098" t="s">
        <v>108</v>
      </c>
      <c r="C297" s="1098"/>
      <c r="D297" s="1098" t="s">
        <v>441</v>
      </c>
      <c r="E297" s="1420">
        <f>F286</f>
        <v>0</v>
      </c>
      <c r="F297" s="319">
        <v>0</v>
      </c>
      <c r="K297" s="1320" t="str">
        <f>'FORMULAIRE PGA Eaux pluviales'!C626</f>
        <v>Coûts prévus pour le renouvellement</v>
      </c>
      <c r="L297" s="1320" t="s">
        <v>107</v>
      </c>
      <c r="M297" s="319">
        <f>'FORMULAIRE PGA Eaux pluviales'!G626</f>
        <v>0</v>
      </c>
    </row>
    <row r="298" spans="2:17">
      <c r="B298" s="1098"/>
      <c r="C298" s="1098"/>
      <c r="D298" s="1098" t="s">
        <v>479</v>
      </c>
      <c r="E298" s="1420">
        <f>F290</f>
        <v>0</v>
      </c>
      <c r="F298" s="1420">
        <f>F291</f>
        <v>0</v>
      </c>
      <c r="L298" s="1320" t="s">
        <v>108</v>
      </c>
      <c r="M298" s="28">
        <f>'FORMULAIRE PGA Eaux pluviales'!L626</f>
        <v>0</v>
      </c>
    </row>
    <row r="299" spans="2:17">
      <c r="B299" s="1098"/>
      <c r="C299" s="1098"/>
      <c r="D299" s="1098"/>
      <c r="E299" s="1420"/>
      <c r="F299" s="1420"/>
    </row>
    <row r="300" spans="2:17">
      <c r="P300" s="1029"/>
    </row>
    <row r="302" spans="2:17" ht="22.5" customHeight="1">
      <c r="B302" s="1239" t="s">
        <v>19</v>
      </c>
      <c r="C302" s="1239"/>
      <c r="D302" s="1239"/>
      <c r="E302" s="1239"/>
      <c r="F302" s="1239"/>
      <c r="G302" s="1239"/>
      <c r="H302" s="1239"/>
      <c r="I302" s="1239"/>
      <c r="J302" s="1239"/>
      <c r="K302" s="1239"/>
      <c r="L302" s="1239"/>
      <c r="M302" s="1239"/>
      <c r="N302" s="1239"/>
      <c r="O302" s="1239"/>
      <c r="P302" s="1239"/>
      <c r="Q302" s="1239"/>
    </row>
    <row r="303" spans="2:17" ht="21">
      <c r="B303" s="1344"/>
      <c r="C303" s="1344"/>
    </row>
    <row r="304" spans="2:17" ht="17.25" customHeight="1">
      <c r="D304" s="509"/>
      <c r="E304" s="509"/>
      <c r="F304" s="1333" t="s">
        <v>473</v>
      </c>
    </row>
    <row r="305" spans="2:17">
      <c r="E305" s="1097" t="s">
        <v>107</v>
      </c>
      <c r="F305" s="1097" t="s">
        <v>108</v>
      </c>
    </row>
    <row r="306" spans="2:17">
      <c r="D306" s="1320" t="str">
        <f>'FORMULAIRE PGA Eaux pluviales'!C535</f>
        <v>Coûts prévisionnels totaux (besoins totaux)</v>
      </c>
      <c r="E306" s="1369">
        <f>'FORMULAIRE PGA Eaux pluviales'!O535</f>
        <v>0</v>
      </c>
      <c r="F306" s="1369">
        <f>'FORMULAIRE PGA Eaux pluviales'!O562</f>
        <v>0</v>
      </c>
    </row>
    <row r="307" spans="2:17" ht="15.6">
      <c r="D307" s="1320" t="str">
        <f>'FORMULAIRE PGA Eaux pluviales'!C536</f>
        <v>Financement du gouvernement provincial</v>
      </c>
      <c r="E307" s="1369">
        <f>'FORMULAIRE PGA Eaux pluviales'!O536</f>
        <v>0</v>
      </c>
      <c r="F307" s="1369">
        <f>'FORMULAIRE PGA Eaux pluviales'!O563</f>
        <v>0</v>
      </c>
      <c r="L307" s="1332" t="s">
        <v>474</v>
      </c>
      <c r="M307" s="509"/>
      <c r="N307" s="509"/>
    </row>
    <row r="308" spans="2:17">
      <c r="D308" s="1320" t="str">
        <f>'FORMULAIRE PGA Eaux pluviales'!C537</f>
        <v>Autres types de financement</v>
      </c>
      <c r="E308" s="1369">
        <f>'FORMULAIRE PGA Eaux pluviales'!O537</f>
        <v>0</v>
      </c>
      <c r="F308" s="1369">
        <f>'FORMULAIRE PGA Eaux pluviales'!O564</f>
        <v>0</v>
      </c>
    </row>
    <row r="309" spans="2:17">
      <c r="D309" s="1320" t="str">
        <f>'FORMULAIRE PGA Eaux pluviales'!C538</f>
        <v>Budget total planifié</v>
      </c>
      <c r="E309" s="1369">
        <f>'FORMULAIRE PGA Eaux pluviales'!O538</f>
        <v>0</v>
      </c>
      <c r="F309" s="1369">
        <f>'FORMULAIRE PGA Eaux pluviales'!O565</f>
        <v>0</v>
      </c>
      <c r="L309" s="1098" t="s">
        <v>483</v>
      </c>
      <c r="M309" s="1394" t="e">
        <f>(E309+F309)/(E306+F306)</f>
        <v>#DIV/0!</v>
      </c>
      <c r="N309" s="1418" t="str">
        <f>IF(ISERR(M309)=TRUE,"",M309)</f>
        <v/>
      </c>
    </row>
    <row r="310" spans="2:17">
      <c r="D310" s="1320" t="str">
        <f>'FORMULAIRE PGA Eaux pluviales'!C539</f>
        <v>Déficit de financement</v>
      </c>
      <c r="E310" s="1369">
        <f>'FORMULAIRE PGA Eaux pluviales'!O539</f>
        <v>0</v>
      </c>
      <c r="F310" s="1369">
        <f>'FORMULAIRE PGA Eaux pluviales'!O566</f>
        <v>0</v>
      </c>
      <c r="L310" s="1098" t="s">
        <v>484</v>
      </c>
      <c r="M310" s="1394" t="e">
        <f>(E308+F308)/(E309+F309)</f>
        <v>#DIV/0!</v>
      </c>
      <c r="N310" s="1419" t="str">
        <f>IF(ISERR(M310)=TRUE,"",M310)</f>
        <v/>
      </c>
    </row>
    <row r="312" spans="2:17" ht="20.25" customHeight="1">
      <c r="D312" s="1341" t="s">
        <v>485</v>
      </c>
      <c r="K312" s="1332" t="s">
        <v>33</v>
      </c>
      <c r="L312" s="1332"/>
      <c r="M312" s="1332"/>
      <c r="N312" s="1332"/>
      <c r="O312" s="1332"/>
    </row>
    <row r="313" spans="2:17">
      <c r="E313" s="1097"/>
      <c r="F313" s="903" t="s">
        <v>83</v>
      </c>
      <c r="L313" s="1320"/>
      <c r="N313" s="1320" t="s">
        <v>478</v>
      </c>
      <c r="O313" s="1320" t="s">
        <v>94</v>
      </c>
    </row>
    <row r="314" spans="2:17">
      <c r="B314" s="1098" t="s">
        <v>107</v>
      </c>
      <c r="C314" s="1098"/>
      <c r="D314" s="1098" t="s">
        <v>479</v>
      </c>
      <c r="E314" s="1420">
        <f>E309</f>
        <v>0</v>
      </c>
      <c r="F314" s="1420">
        <f>E310</f>
        <v>0</v>
      </c>
      <c r="K314" s="1320" t="str">
        <f>'FORMULAIRE PGA Eaux pluviales'!C636</f>
        <v>Financement estimé pour les acquisitions/dispositions</v>
      </c>
      <c r="L314" s="1320" t="s">
        <v>107</v>
      </c>
      <c r="M314" s="319">
        <f>'FORMULAIRE PGA Eaux pluviales'!G636</f>
        <v>0</v>
      </c>
      <c r="N314" s="1421">
        <f>IF(OR($I$41=1,$K$36=1),M314,IF($I$33=1,M315,ROUNDDOWN(AVERAGE(M314:M315),0)))</f>
        <v>0</v>
      </c>
      <c r="O314" s="1422">
        <f>IF(OR($I$41=1,$K$36=1),ROUNDDOWN(AVERAGE(M314,M316),0),IF($I$33=1,ROUNDDOWN(AVERAGE(M315,M317),0),ROUNDDOWN(AVERAGE(M314:M317),0)))</f>
        <v>0</v>
      </c>
    </row>
    <row r="315" spans="2:17">
      <c r="B315" s="1098"/>
      <c r="C315" s="1098"/>
      <c r="D315" s="1098" t="s">
        <v>441</v>
      </c>
      <c r="E315" s="1420">
        <f>E306</f>
        <v>0</v>
      </c>
      <c r="F315" s="319">
        <v>0</v>
      </c>
      <c r="L315" s="1320" t="s">
        <v>108</v>
      </c>
      <c r="M315" s="28">
        <f>'FORMULAIRE PGA Eaux pluviales'!L636</f>
        <v>0</v>
      </c>
      <c r="N315" s="1423"/>
      <c r="O315" s="1423"/>
    </row>
    <row r="316" spans="2:17">
      <c r="B316" s="1098" t="s">
        <v>108</v>
      </c>
      <c r="C316" s="1098"/>
      <c r="D316" s="1098" t="s">
        <v>441</v>
      </c>
      <c r="E316" s="1420">
        <f>F306</f>
        <v>0</v>
      </c>
      <c r="F316" s="319">
        <v>0</v>
      </c>
      <c r="K316" s="1320" t="str">
        <f>'FORMULAIRE PGA Eaux pluviales'!C627</f>
        <v>Coûts prévus pour l'acquisition et la disposition</v>
      </c>
      <c r="L316" s="1320" t="s">
        <v>107</v>
      </c>
      <c r="M316" s="319">
        <f>'FORMULAIRE PGA Eaux pluviales'!G627</f>
        <v>0</v>
      </c>
    </row>
    <row r="317" spans="2:17">
      <c r="B317" s="1098"/>
      <c r="C317" s="1098"/>
      <c r="D317" s="1098" t="s">
        <v>479</v>
      </c>
      <c r="E317" s="1420">
        <f>F309</f>
        <v>0</v>
      </c>
      <c r="F317" s="1420">
        <f>F310</f>
        <v>0</v>
      </c>
      <c r="L317" s="1320" t="s">
        <v>108</v>
      </c>
      <c r="M317" s="28">
        <f>'FORMULAIRE PGA Eaux pluviales'!L627</f>
        <v>0</v>
      </c>
    </row>
    <row r="318" spans="2:17">
      <c r="B318" s="1098"/>
      <c r="C318" s="1098"/>
      <c r="D318" s="1098"/>
      <c r="E318" s="1420"/>
      <c r="F318" s="1420"/>
    </row>
    <row r="319" spans="2:17">
      <c r="P319" s="1029"/>
    </row>
    <row r="320" spans="2:17" ht="31.5" customHeight="1">
      <c r="B320" s="1237" t="s">
        <v>6</v>
      </c>
      <c r="C320" s="1237"/>
      <c r="D320" s="1238"/>
      <c r="E320" s="1238"/>
      <c r="F320" s="1238"/>
      <c r="G320" s="1238"/>
      <c r="H320" s="1238"/>
      <c r="I320" s="1238"/>
      <c r="J320" s="1238"/>
      <c r="K320" s="1238"/>
      <c r="L320" s="1238"/>
      <c r="M320" s="1238"/>
      <c r="N320" s="1238"/>
      <c r="O320" s="1238"/>
      <c r="P320" s="1238"/>
      <c r="Q320" s="1238"/>
    </row>
    <row r="322" spans="2:17" ht="18">
      <c r="B322" s="1239" t="s">
        <v>20</v>
      </c>
      <c r="C322" s="1239"/>
      <c r="D322" s="1239"/>
      <c r="E322" s="1239"/>
      <c r="F322" s="1239"/>
      <c r="G322" s="1239"/>
      <c r="H322" s="1239"/>
      <c r="I322" s="1239"/>
      <c r="J322" s="1239"/>
      <c r="K322" s="1239"/>
      <c r="L322" s="1239"/>
      <c r="M322" s="1239"/>
      <c r="N322" s="1239"/>
      <c r="O322" s="1239"/>
      <c r="P322" s="1239"/>
      <c r="Q322" s="1239"/>
    </row>
    <row r="323" spans="2:17" ht="18">
      <c r="B323" s="1248"/>
      <c r="C323" s="1248"/>
      <c r="D323" s="1424"/>
      <c r="E323" s="1424"/>
      <c r="F323" s="1424"/>
      <c r="G323" s="1424"/>
      <c r="H323" s="1424"/>
      <c r="I323" s="1424"/>
      <c r="J323" s="1424"/>
      <c r="K323" s="1425"/>
      <c r="L323" s="1425"/>
      <c r="M323" s="1425"/>
      <c r="N323" s="1425"/>
      <c r="O323" s="1425"/>
      <c r="P323" s="1425"/>
      <c r="Q323" s="1425"/>
    </row>
    <row r="324" spans="2:17" ht="28.5" customHeight="1">
      <c r="B324" s="1248"/>
      <c r="C324" s="1248"/>
      <c r="D324" s="1426" t="s">
        <v>486</v>
      </c>
      <c r="E324" s="1427"/>
      <c r="F324" s="1427"/>
      <c r="G324" s="1427"/>
      <c r="H324" s="1427"/>
      <c r="I324" s="1427"/>
      <c r="J324" s="1427"/>
      <c r="K324" s="1427"/>
      <c r="L324" s="1427"/>
      <c r="M324" s="1425"/>
      <c r="N324" s="1425"/>
      <c r="O324" s="1425"/>
      <c r="P324" s="1425"/>
      <c r="Q324" s="1425"/>
    </row>
    <row r="325" spans="2:17" ht="18">
      <c r="B325" s="1428"/>
      <c r="C325" s="1248"/>
      <c r="D325" s="1425"/>
      <c r="E325" s="1168" t="s">
        <v>87</v>
      </c>
      <c r="F325" s="1168" t="s">
        <v>88</v>
      </c>
      <c r="G325" s="1168" t="s">
        <v>89</v>
      </c>
      <c r="H325" s="1168" t="s">
        <v>90</v>
      </c>
      <c r="I325" s="1168" t="s">
        <v>91</v>
      </c>
      <c r="J325" s="1168" t="s">
        <v>92</v>
      </c>
      <c r="K325" s="1168" t="s">
        <v>93</v>
      </c>
      <c r="L325" s="1168" t="s">
        <v>94</v>
      </c>
    </row>
    <row r="326" spans="2:17" ht="18">
      <c r="B326" s="1429" t="s">
        <v>836</v>
      </c>
      <c r="C326" s="1248"/>
      <c r="D326" s="1430" t="s">
        <v>56</v>
      </c>
      <c r="E326" s="1168">
        <f>COUNTIFS(('FORMULAIRE PGA Eaux pluviales'!H671:H672),'MENU DÉROULANT'!$C$114)</f>
        <v>0</v>
      </c>
      <c r="F326" s="1168">
        <f>COUNTIFS(('FORMULAIRE PGA Eaux pluviales'!H675:H676),'MENU DÉROULANT'!$C$114)</f>
        <v>0</v>
      </c>
      <c r="G326" s="1168">
        <f>COUNTIFS(('FORMULAIRE PGA Eaux pluviales'!H679),'MENU DÉROULANT'!$C$114)</f>
        <v>0</v>
      </c>
      <c r="H326" s="1168">
        <f>COUNTIFS(('FORMULAIRE PGA Eaux pluviales'!H682),'MENU DÉROULANT'!$C$114)</f>
        <v>0</v>
      </c>
      <c r="I326" s="1168">
        <f>COUNTIFS(('FORMULAIRE PGA Eaux pluviales'!H685:H686),'MENU DÉROULANT'!$C$114)</f>
        <v>0</v>
      </c>
      <c r="J326" s="1168">
        <f>COUNTIFS(('FORMULAIRE PGA Eaux pluviales'!H689:H690),'MENU DÉROULANT'!$C$114)</f>
        <v>0</v>
      </c>
      <c r="K326" s="1168">
        <f>COUNTIFS(('FORMULAIRE PGA Eaux pluviales'!H693:H695),'MENU DÉROULANT'!$C$114)</f>
        <v>0</v>
      </c>
      <c r="L326" s="1168" t="s">
        <v>488</v>
      </c>
      <c r="O326" s="1368" t="s">
        <v>463</v>
      </c>
      <c r="P326" s="1357" t="s">
        <v>487</v>
      </c>
    </row>
    <row r="327" spans="2:17" ht="18">
      <c r="B327" s="1428"/>
      <c r="C327" s="1248"/>
      <c r="D327" s="1430" t="s">
        <v>57</v>
      </c>
      <c r="E327" s="1168">
        <f>'FORMULAIRE PGA Eaux pluviales'!H670</f>
        <v>0</v>
      </c>
      <c r="F327" s="1168">
        <f>'FORMULAIRE PGA Eaux pluviales'!H674</f>
        <v>0</v>
      </c>
      <c r="G327" s="1168">
        <f>'FORMULAIRE PGA Eaux pluviales'!H678</f>
        <v>0</v>
      </c>
      <c r="H327" s="1168">
        <f>'FORMULAIRE PGA Eaux pluviales'!H681</f>
        <v>0</v>
      </c>
      <c r="I327" s="1168">
        <f>'FORMULAIRE PGA Eaux pluviales'!H684</f>
        <v>0</v>
      </c>
      <c r="J327" s="1168">
        <f>'FORMULAIRE PGA Eaux pluviales'!H688</f>
        <v>0</v>
      </c>
      <c r="K327" s="1168">
        <f>'FORMULAIRE PGA Eaux pluviales'!H692</f>
        <v>0</v>
      </c>
      <c r="L327" s="1168">
        <f>'FORMULAIRE PGA Eaux pluviales'!H700</f>
        <v>0</v>
      </c>
    </row>
    <row r="328" spans="2:17" ht="18">
      <c r="B328" s="1429" t="s">
        <v>838</v>
      </c>
      <c r="C328" s="1248"/>
      <c r="D328" s="1430" t="s">
        <v>56</v>
      </c>
      <c r="E328" s="1168">
        <f>COUNTIFS(('FORMULAIRE PGA Eaux pluviales'!M671:M672),'MENU DÉROULANT'!$C$114)</f>
        <v>0</v>
      </c>
      <c r="F328" s="1168">
        <f>COUNTIFS(('FORMULAIRE PGA Eaux pluviales'!M675:M676),'MENU DÉROULANT'!$C$114)</f>
        <v>0</v>
      </c>
      <c r="G328" s="1168">
        <f>COUNTIFS(('FORMULAIRE PGA Eaux pluviales'!M679),'MENU DÉROULANT'!$C$114)</f>
        <v>0</v>
      </c>
      <c r="H328" s="1168">
        <f>COUNTIFS(('FORMULAIRE PGA Eaux pluviales'!M682),'MENU DÉROULANT'!$C$114)</f>
        <v>0</v>
      </c>
      <c r="I328" s="1168">
        <f>COUNTIFS(('FORMULAIRE PGA Eaux pluviales'!M685:M686),'MENU DÉROULANT'!$C$114)</f>
        <v>0</v>
      </c>
      <c r="J328" s="1168">
        <f>COUNTIFS(('FORMULAIRE PGA Eaux pluviales'!M689:M690),'MENU DÉROULANT'!$C$114)</f>
        <v>0</v>
      </c>
      <c r="K328" s="1168">
        <f>COUNTIFS(('FORMULAIRE PGA Eaux pluviales'!M693:M695),'MENU DÉROULANT'!$C$114)</f>
        <v>0</v>
      </c>
      <c r="L328" s="1168" t="s">
        <v>488</v>
      </c>
    </row>
    <row r="329" spans="2:17" ht="18">
      <c r="B329" s="1428"/>
      <c r="C329" s="1248"/>
      <c r="D329" s="1430" t="s">
        <v>57</v>
      </c>
      <c r="E329" s="1168">
        <f>'FORMULAIRE PGA Eaux pluviales'!M670</f>
        <v>0</v>
      </c>
      <c r="F329" s="1168">
        <f>'FORMULAIRE PGA Eaux pluviales'!M674</f>
        <v>0</v>
      </c>
      <c r="G329" s="1168">
        <f>'FORMULAIRE PGA Eaux pluviales'!M678</f>
        <v>0</v>
      </c>
      <c r="H329" s="1168">
        <f>'FORMULAIRE PGA Eaux pluviales'!M681</f>
        <v>0</v>
      </c>
      <c r="I329" s="1168">
        <f>'FORMULAIRE PGA Eaux pluviales'!M684</f>
        <v>0</v>
      </c>
      <c r="J329" s="1168">
        <f>'FORMULAIRE PGA Eaux pluviales'!M688</f>
        <v>0</v>
      </c>
      <c r="K329" s="1168">
        <f>'FORMULAIRE PGA Eaux pluviales'!M692</f>
        <v>0</v>
      </c>
      <c r="L329" s="1168">
        <f>'FORMULAIRE PGA Eaux pluviales'!M700</f>
        <v>0</v>
      </c>
    </row>
    <row r="330" spans="2:17" ht="18">
      <c r="B330" s="1428"/>
      <c r="C330" s="1248"/>
      <c r="D330" s="1425"/>
      <c r="E330" s="1425"/>
      <c r="F330" s="1425"/>
      <c r="G330" s="1425"/>
      <c r="H330" s="1425"/>
      <c r="I330" s="1425"/>
      <c r="J330" s="1425"/>
      <c r="K330" s="1425"/>
      <c r="L330" s="1425"/>
      <c r="M330" s="2291"/>
      <c r="N330" s="2292" t="s">
        <v>489</v>
      </c>
      <c r="O330" s="2291"/>
      <c r="P330" s="1425"/>
      <c r="Q330" s="1425"/>
    </row>
    <row r="331" spans="2:17" ht="18">
      <c r="B331" s="1428"/>
      <c r="C331" s="1248"/>
      <c r="D331" s="1431" t="s">
        <v>840</v>
      </c>
      <c r="E331" s="1432" t="str">
        <f>'FORMULAIRE PGA Eaux pluviales'!G700</f>
        <v/>
      </c>
      <c r="F331" s="1425" t="s">
        <v>491</v>
      </c>
      <c r="G331" s="1425"/>
      <c r="H331" s="1425"/>
      <c r="I331" s="1425"/>
      <c r="J331" s="1425"/>
      <c r="K331" s="1425"/>
      <c r="L331" s="1425"/>
      <c r="M331" s="2054" t="s">
        <v>444</v>
      </c>
      <c r="N331" s="2290">
        <f>IF(OR($I$41=1,$K$36=1),L327,IF($I$33=1,L329,ROUNDDOWN(AVERAGE(L327,L329),0)))</f>
        <v>0</v>
      </c>
      <c r="O331" s="1425"/>
      <c r="P331" s="1425"/>
      <c r="Q331" s="1425"/>
    </row>
    <row r="332" spans="2:17" ht="18">
      <c r="B332" s="1248"/>
      <c r="C332" s="1248"/>
      <c r="D332" s="1433" t="s">
        <v>841</v>
      </c>
      <c r="E332" s="1434" t="str">
        <f>'FORMULAIRE PGA Eaux pluviales'!L700</f>
        <v/>
      </c>
      <c r="F332" s="1425" t="s">
        <v>491</v>
      </c>
      <c r="G332" s="1248"/>
      <c r="H332" s="1248"/>
      <c r="I332" s="1248"/>
      <c r="J332" s="1248"/>
      <c r="K332" s="1248"/>
      <c r="L332" s="1248"/>
      <c r="M332" s="2054" t="s">
        <v>95</v>
      </c>
      <c r="N332" s="904" t="e">
        <f>IF(OR($I$41=1,$K$36=1),E331,IF($I$33=1,E332,ROUNDDOWN(AVERAGE(E331,E332),0)))</f>
        <v>#DIV/0!</v>
      </c>
      <c r="O332" s="1248"/>
      <c r="P332" s="1248"/>
      <c r="Q332" s="1248"/>
    </row>
    <row r="333" spans="2:17" ht="18">
      <c r="B333" s="1248"/>
      <c r="C333" s="1248"/>
      <c r="D333" s="1248"/>
      <c r="E333" s="1435"/>
      <c r="F333" s="1248"/>
      <c r="G333" s="1248"/>
      <c r="H333" s="1248"/>
      <c r="I333" s="1248"/>
      <c r="J333" s="1248"/>
      <c r="K333" s="1248"/>
      <c r="L333" s="1248"/>
      <c r="O333" s="1248"/>
      <c r="P333" s="1248"/>
      <c r="Q333" s="1248"/>
    </row>
    <row r="334" spans="2:17" ht="18">
      <c r="B334" s="1239" t="s">
        <v>21</v>
      </c>
      <c r="C334" s="1239"/>
      <c r="D334" s="1239"/>
      <c r="E334" s="1239"/>
      <c r="F334" s="1239"/>
      <c r="G334" s="1239"/>
      <c r="H334" s="1239"/>
      <c r="I334" s="1239"/>
      <c r="J334" s="1239"/>
      <c r="K334" s="1239"/>
      <c r="L334" s="1239"/>
      <c r="M334" s="1239"/>
      <c r="N334" s="1239"/>
      <c r="O334" s="1239"/>
      <c r="P334" s="1239"/>
      <c r="Q334" s="1239"/>
    </row>
    <row r="335" spans="2:17" ht="18">
      <c r="B335" s="1248"/>
      <c r="C335" s="1248"/>
      <c r="D335" s="1248"/>
      <c r="E335" s="1248"/>
      <c r="F335" s="1248"/>
      <c r="G335" s="1248"/>
      <c r="H335" s="1248"/>
      <c r="I335" s="1248"/>
      <c r="J335" s="1248"/>
      <c r="K335" s="1248"/>
      <c r="L335" s="1248"/>
      <c r="M335" s="1248"/>
      <c r="N335" s="1248"/>
      <c r="O335" s="1248"/>
      <c r="P335" s="1248"/>
      <c r="Q335" s="1248"/>
    </row>
    <row r="336" spans="2:17" ht="28.5" customHeight="1">
      <c r="B336" s="1248"/>
      <c r="C336" s="1248"/>
      <c r="D336" s="1426" t="s">
        <v>486</v>
      </c>
      <c r="E336" s="1427"/>
      <c r="F336" s="1427"/>
      <c r="G336" s="1427"/>
      <c r="H336" s="1427"/>
      <c r="I336" s="1427"/>
      <c r="J336" s="1427"/>
      <c r="K336" s="1427"/>
      <c r="L336" s="1427"/>
      <c r="M336" s="1425"/>
      <c r="N336" s="1425"/>
      <c r="O336" s="1425"/>
      <c r="P336" s="1425"/>
      <c r="Q336" s="1425"/>
    </row>
    <row r="337" spans="2:17" ht="18">
      <c r="B337" s="1428"/>
      <c r="C337" s="1248"/>
      <c r="D337" s="1425"/>
      <c r="E337" s="1168" t="s">
        <v>87</v>
      </c>
      <c r="F337" s="1168" t="s">
        <v>88</v>
      </c>
      <c r="G337" s="1168" t="s">
        <v>89</v>
      </c>
      <c r="H337" s="1168" t="s">
        <v>90</v>
      </c>
      <c r="I337" s="1168" t="s">
        <v>91</v>
      </c>
      <c r="J337" s="1168" t="s">
        <v>92</v>
      </c>
      <c r="K337" s="1168" t="s">
        <v>93</v>
      </c>
      <c r="L337" s="1168" t="s">
        <v>94</v>
      </c>
    </row>
    <row r="338" spans="2:17" ht="18">
      <c r="B338" s="1429" t="s">
        <v>836</v>
      </c>
      <c r="C338" s="1248"/>
      <c r="D338" s="1430" t="s">
        <v>56</v>
      </c>
      <c r="E338" s="1168">
        <f>COUNTIFS(('FORMULAIRE PGA Eaux pluviales'!H605:H610),'MENU DÉROULANT'!$C$114)</f>
        <v>0</v>
      </c>
      <c r="F338" s="1168">
        <f>COUNTIFS(('FORMULAIRE PGA Eaux pluviales'!H613:H614),'MENU DÉROULANT'!$C$114)</f>
        <v>0</v>
      </c>
      <c r="G338" s="1168">
        <f>COUNTIFS(('FORMULAIRE PGA Eaux pluviales'!H617:H618),'MENU DÉROULANT'!$C$114)</f>
        <v>0</v>
      </c>
      <c r="H338" s="1168">
        <f>COUNTIFS(('FORMULAIRE PGA Eaux pluviales'!H621:H622),'MENU DÉROULANT'!$C$114)</f>
        <v>0</v>
      </c>
      <c r="I338" s="1168">
        <f>COUNTIFS(('FORMULAIRE PGA Eaux pluviales'!H625:H627),'MENU DÉROULANT'!$C$114)</f>
        <v>0</v>
      </c>
      <c r="J338" s="1168">
        <f>COUNTIFS(('FORMULAIRE PGA Eaux pluviales'!H630:H631),'MENU DÉROULANT'!$C$114)</f>
        <v>0</v>
      </c>
      <c r="K338" s="1168">
        <f>COUNTIFS(('FORMULAIRE PGA Eaux pluviales'!H634:H636),'MENU DÉROULANT'!$C$114)</f>
        <v>0</v>
      </c>
      <c r="L338" s="1168" t="s">
        <v>488</v>
      </c>
    </row>
    <row r="339" spans="2:17" ht="18">
      <c r="B339" s="1428"/>
      <c r="C339" s="1248"/>
      <c r="D339" s="1430" t="s">
        <v>57</v>
      </c>
      <c r="E339" s="1168">
        <f>'FORMULAIRE PGA Eaux pluviales'!H604</f>
        <v>0</v>
      </c>
      <c r="F339" s="1168">
        <f>'FORMULAIRE PGA Eaux pluviales'!H612</f>
        <v>0</v>
      </c>
      <c r="G339" s="1168">
        <f>'FORMULAIRE PGA Eaux pluviales'!H616</f>
        <v>0</v>
      </c>
      <c r="H339" s="1168">
        <f>'FORMULAIRE PGA Eaux pluviales'!H620</f>
        <v>0</v>
      </c>
      <c r="I339" s="1168">
        <f>'FORMULAIRE PGA Eaux pluviales'!H624</f>
        <v>0</v>
      </c>
      <c r="J339" s="1168">
        <f>'FORMULAIRE PGA Eaux pluviales'!H629</f>
        <v>0</v>
      </c>
      <c r="K339" s="1168">
        <f>'FORMULAIRE PGA Eaux pluviales'!H633</f>
        <v>0</v>
      </c>
      <c r="L339" s="1168">
        <f>'FORMULAIRE PGA Eaux pluviales'!H638</f>
        <v>0</v>
      </c>
    </row>
    <row r="340" spans="2:17" ht="18">
      <c r="B340" s="1429" t="s">
        <v>838</v>
      </c>
      <c r="C340" s="1248"/>
      <c r="D340" s="1430" t="s">
        <v>56</v>
      </c>
      <c r="E340" s="1168">
        <f>COUNTIFS(('FORMULAIRE PGA Eaux pluviales'!M605:M610),'MENU DÉROULANT'!$C$114)</f>
        <v>0</v>
      </c>
      <c r="F340" s="1168">
        <f>COUNTIFS(('FORMULAIRE PGA Eaux pluviales'!M613:M614),'MENU DÉROULANT'!$C$114)</f>
        <v>0</v>
      </c>
      <c r="G340" s="1168">
        <f>COUNTIFS(('FORMULAIRE PGA Eaux pluviales'!M617:M618),'MENU DÉROULANT'!$C$114)</f>
        <v>0</v>
      </c>
      <c r="H340" s="1168">
        <f>COUNTIFS(('FORMULAIRE PGA Eaux pluviales'!M621:M622),'MENU DÉROULANT'!$C$114)</f>
        <v>0</v>
      </c>
      <c r="I340" s="1168">
        <f>COUNTIFS(('FORMULAIRE PGA Eaux pluviales'!M625:M627),'MENU DÉROULANT'!$C$114)</f>
        <v>0</v>
      </c>
      <c r="J340" s="1168">
        <f>COUNTIFS(('FORMULAIRE PGA Eaux pluviales'!M630:M631),'MENU DÉROULANT'!$C$114)</f>
        <v>0</v>
      </c>
      <c r="K340" s="1168">
        <f>COUNTIFS(('FORMULAIRE PGA Eaux pluviales'!M634:M636),'MENU DÉROULANT'!$C$114)</f>
        <v>0</v>
      </c>
      <c r="L340" s="1168" t="s">
        <v>488</v>
      </c>
    </row>
    <row r="341" spans="2:17" ht="18">
      <c r="B341" s="1428"/>
      <c r="C341" s="1248"/>
      <c r="D341" s="1430" t="s">
        <v>57</v>
      </c>
      <c r="E341" s="1168">
        <f>'FORMULAIRE PGA Eaux pluviales'!M604</f>
        <v>0</v>
      </c>
      <c r="F341" s="1168">
        <f>'FORMULAIRE PGA Eaux pluviales'!M612</f>
        <v>0</v>
      </c>
      <c r="G341" s="1168">
        <f>'FORMULAIRE PGA Eaux pluviales'!M616</f>
        <v>0</v>
      </c>
      <c r="H341" s="1168">
        <f>'FORMULAIRE PGA Eaux pluviales'!M620</f>
        <v>0</v>
      </c>
      <c r="I341" s="1168">
        <f>'FORMULAIRE PGA Eaux pluviales'!M624</f>
        <v>0</v>
      </c>
      <c r="J341" s="1168">
        <f>'FORMULAIRE PGA Eaux pluviales'!M629</f>
        <v>0</v>
      </c>
      <c r="K341" s="1168">
        <f>'FORMULAIRE PGA Eaux pluviales'!M633</f>
        <v>0</v>
      </c>
      <c r="L341" s="1168">
        <f>'FORMULAIRE PGA Eaux pluviales'!M638</f>
        <v>0</v>
      </c>
    </row>
    <row r="342" spans="2:17" ht="18">
      <c r="B342" s="1428"/>
      <c r="C342" s="1248"/>
      <c r="D342" s="1425"/>
      <c r="E342" s="1425"/>
      <c r="F342" s="1425"/>
      <c r="G342" s="1425"/>
      <c r="H342" s="1425"/>
      <c r="I342" s="1425"/>
      <c r="J342" s="1425"/>
      <c r="K342" s="1425"/>
      <c r="L342" s="1425"/>
      <c r="M342" s="2291"/>
      <c r="N342" s="2292" t="s">
        <v>489</v>
      </c>
      <c r="O342" s="2291"/>
      <c r="P342" s="1425"/>
      <c r="Q342" s="1425"/>
    </row>
    <row r="343" spans="2:17" ht="18">
      <c r="B343" s="1428"/>
      <c r="C343" s="1248"/>
      <c r="D343" s="1431" t="s">
        <v>840</v>
      </c>
      <c r="E343" s="1432" t="str">
        <f>'FORMULAIRE PGA Eaux pluviales'!G638</f>
        <v/>
      </c>
      <c r="F343" s="1425" t="s">
        <v>491</v>
      </c>
      <c r="G343" s="1425"/>
      <c r="H343" s="1425"/>
      <c r="I343" s="1425"/>
      <c r="J343" s="1425"/>
      <c r="K343" s="1425"/>
      <c r="L343" s="1425"/>
      <c r="M343" s="2054" t="s">
        <v>444</v>
      </c>
      <c r="N343" s="2290">
        <f>IF(OR($I$41=1,$K$36=1),L339,IF($I$33=1,L341,ROUNDDOWN(AVERAGE(L339,L341),0)))</f>
        <v>0</v>
      </c>
      <c r="O343" s="1425"/>
      <c r="P343" s="1425"/>
      <c r="Q343" s="1425"/>
    </row>
    <row r="344" spans="2:17" ht="18">
      <c r="B344" s="1248"/>
      <c r="C344" s="1248"/>
      <c r="D344" s="1433" t="s">
        <v>841</v>
      </c>
      <c r="E344" s="1434" t="str">
        <f>'FORMULAIRE PGA Eaux pluviales'!L638</f>
        <v/>
      </c>
      <c r="F344" s="1425" t="s">
        <v>491</v>
      </c>
      <c r="G344" s="1248"/>
      <c r="H344" s="1248"/>
      <c r="I344" s="1248"/>
      <c r="J344" s="1248"/>
      <c r="K344" s="1248"/>
      <c r="L344" s="1248"/>
      <c r="M344" s="2054" t="s">
        <v>95</v>
      </c>
      <c r="N344" s="904" t="e">
        <f>IF(OR($I$41=1,$K$36=1),E343,IF($I$33=1,E344,ROUNDDOWN(AVERAGE(E343,E344),0)))</f>
        <v>#DIV/0!</v>
      </c>
      <c r="O344" s="1248"/>
      <c r="P344" s="1248"/>
      <c r="Q344" s="1248"/>
    </row>
    <row r="348" spans="2:17" ht="31.5" customHeight="1">
      <c r="B348" s="1237" t="s">
        <v>2273</v>
      </c>
      <c r="C348" s="1237"/>
      <c r="D348" s="1238"/>
      <c r="E348" s="1238"/>
      <c r="F348" s="1238"/>
      <c r="G348" s="1238"/>
      <c r="H348" s="1238"/>
      <c r="I348" s="1238"/>
      <c r="J348" s="1238"/>
      <c r="K348" s="1238"/>
      <c r="L348" s="1238"/>
      <c r="M348" s="1238"/>
      <c r="N348" s="1238"/>
      <c r="O348" s="1238"/>
      <c r="P348" s="1238"/>
      <c r="Q348" s="1238"/>
    </row>
    <row r="350" spans="2:17" ht="33.75" customHeight="1">
      <c r="B350" s="2884" t="s">
        <v>317</v>
      </c>
      <c r="C350" s="308"/>
      <c r="D350" s="308" t="s">
        <v>2276</v>
      </c>
      <c r="E350" s="308"/>
      <c r="F350" s="3546">
        <f>'FORMULAIRE PGA Eaux pluviales'!C716</f>
        <v>0</v>
      </c>
      <c r="G350" s="3546"/>
      <c r="H350" s="3546"/>
      <c r="I350" s="3546"/>
      <c r="J350" s="3546"/>
      <c r="K350" s="3546"/>
      <c r="L350" s="3546"/>
      <c r="M350" s="3546"/>
      <c r="N350" s="3546"/>
      <c r="O350" s="3546"/>
      <c r="P350" s="3546"/>
    </row>
    <row r="351" spans="2:17" ht="33.75" customHeight="1">
      <c r="B351" s="308"/>
      <c r="C351" s="308"/>
      <c r="D351" s="308" t="s">
        <v>2277</v>
      </c>
      <c r="E351" s="308"/>
      <c r="F351" s="3546">
        <f>'FORMULAIRE PGA Eaux pluviales'!C728</f>
        <v>0</v>
      </c>
      <c r="G351" s="3546"/>
      <c r="H351" s="3546"/>
      <c r="I351" s="3546"/>
      <c r="J351" s="3546"/>
      <c r="K351" s="3546"/>
      <c r="L351" s="3546"/>
      <c r="M351" s="3546"/>
      <c r="N351" s="3546"/>
      <c r="O351" s="3546"/>
      <c r="P351" s="3546"/>
    </row>
  </sheetData>
  <sheetProtection password="C518" sheet="1" objects="1" scenarios="1"/>
  <mergeCells count="29">
    <mergeCell ref="H150:H156"/>
    <mergeCell ref="O150:O156"/>
    <mergeCell ref="L247:N247"/>
    <mergeCell ref="H161:H167"/>
    <mergeCell ref="D158:E158"/>
    <mergeCell ref="D175:E175"/>
    <mergeCell ref="H159:H160"/>
    <mergeCell ref="K159:K167"/>
    <mergeCell ref="M55:M56"/>
    <mergeCell ref="L123:N123"/>
    <mergeCell ref="K147:L147"/>
    <mergeCell ref="H148:H149"/>
    <mergeCell ref="O148:O149"/>
    <mergeCell ref="F350:P350"/>
    <mergeCell ref="F351:P351"/>
    <mergeCell ref="M11:O12"/>
    <mergeCell ref="P11:P12"/>
    <mergeCell ref="E44:H45"/>
    <mergeCell ref="E28:F29"/>
    <mergeCell ref="E34:H35"/>
    <mergeCell ref="E36:H37"/>
    <mergeCell ref="E38:H39"/>
    <mergeCell ref="E42:H43"/>
    <mergeCell ref="E46:H47"/>
    <mergeCell ref="I86:J86"/>
    <mergeCell ref="K86:L86"/>
    <mergeCell ref="L110:N110"/>
    <mergeCell ref="M53:M54"/>
    <mergeCell ref="N53:N56"/>
  </mergeCells>
  <pageMargins left="0.57999999999999996" right="0.43" top="0.54" bottom="0.62" header="0.3" footer="0.3"/>
  <pageSetup scale="44" fitToHeight="0" orientation="landscape" r:id="rId1"/>
  <headerFooter>
    <oddFooter xml:space="preserve">&amp;L&amp;10Version 1.0    © CERIU, 2023&amp;R&amp;10Onglet CALCULS eaux pluviales
Page &amp;P de &amp;N </oddFooter>
  </headerFooter>
  <rowBreaks count="7" manualBreakCount="7">
    <brk id="49" max="16383" man="1"/>
    <brk id="99" max="16383" man="1"/>
    <brk id="128" max="16383" man="1"/>
    <brk id="184" max="16383" man="1"/>
    <brk id="228" max="16383" man="1"/>
    <brk id="261" max="16383" man="1"/>
    <brk id="301" max="16383" man="1"/>
  </rowBreak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24988A"/>
    <pageSetUpPr fitToPage="1"/>
  </sheetPr>
  <dimension ref="B1:CO173"/>
  <sheetViews>
    <sheetView showGridLines="0" topLeftCell="A46" zoomScaleNormal="100" workbookViewId="0">
      <selection activeCell="B135" sqref="B135"/>
    </sheetView>
  </sheetViews>
  <sheetFormatPr baseColWidth="10" defaultColWidth="11.44140625" defaultRowHeight="14.4"/>
  <cols>
    <col min="1" max="1" width="4.5546875" style="28" customWidth="1"/>
    <col min="2" max="2" width="2.6640625" style="28" customWidth="1"/>
    <col min="3" max="3" width="2" style="28" customWidth="1"/>
    <col min="4" max="4" width="3.6640625" style="28" customWidth="1"/>
    <col min="5" max="5" width="6.33203125" style="28" customWidth="1"/>
    <col min="6" max="6" width="2.6640625" style="28" customWidth="1"/>
    <col min="7" max="7" width="5.6640625" style="28" customWidth="1"/>
    <col min="8" max="8" width="2.6640625" style="28" customWidth="1"/>
    <col min="9" max="9" width="4.6640625" style="28" customWidth="1"/>
    <col min="10" max="10" width="3" style="28" customWidth="1"/>
    <col min="11" max="11" width="0.6640625" style="28" customWidth="1"/>
    <col min="12" max="12" width="3" style="28" customWidth="1"/>
    <col min="13" max="13" width="0.6640625" style="28" customWidth="1"/>
    <col min="14" max="14" width="3" style="28" customWidth="1"/>
    <col min="15" max="15" width="0.6640625" style="28" customWidth="1"/>
    <col min="16" max="16" width="3" style="28" customWidth="1"/>
    <col min="17" max="17" width="0.6640625" style="28" customWidth="1"/>
    <col min="18" max="18" width="3" style="28" customWidth="1"/>
    <col min="19" max="19" width="0.6640625" style="28" customWidth="1"/>
    <col min="20" max="20" width="3" style="28" customWidth="1"/>
    <col min="21" max="21" width="0.6640625" style="28" customWidth="1"/>
    <col min="22" max="22" width="3" style="28" customWidth="1"/>
    <col min="23" max="23" width="2.33203125" style="28" customWidth="1"/>
    <col min="24" max="24" width="3" style="28" customWidth="1"/>
    <col min="25" max="25" width="6.44140625" style="28" customWidth="1"/>
    <col min="26" max="26" width="3" style="28" customWidth="1"/>
    <col min="27" max="27" width="0.6640625" style="28" customWidth="1"/>
    <col min="28" max="28" width="3" style="28" customWidth="1"/>
    <col min="29" max="29" width="0.6640625" style="28" customWidth="1"/>
    <col min="30" max="30" width="3" style="28" customWidth="1"/>
    <col min="31" max="31" width="0.6640625" style="28" customWidth="1"/>
    <col min="32" max="32" width="3" style="28" customWidth="1"/>
    <col min="33" max="33" width="0.6640625" style="28" customWidth="1"/>
    <col min="34" max="34" width="3" style="28" customWidth="1"/>
    <col min="35" max="35" width="0.88671875" style="28" customWidth="1"/>
    <col min="36" max="36" width="3" style="28" customWidth="1"/>
    <col min="37" max="37" width="0.6640625" style="28" customWidth="1"/>
    <col min="38" max="38" width="3" style="28" customWidth="1"/>
    <col min="39" max="39" width="2.33203125" style="28" customWidth="1"/>
    <col min="40" max="40" width="3" style="28" customWidth="1"/>
    <col min="41" max="41" width="1.33203125" style="28" customWidth="1"/>
    <col min="42" max="42" width="2.6640625" style="28" customWidth="1"/>
    <col min="43" max="43" width="1.88671875" style="28" customWidth="1"/>
    <col min="44" max="44" width="2.109375" style="28" customWidth="1"/>
    <col min="45" max="45" width="1.6640625" style="28" customWidth="1"/>
    <col min="46" max="46" width="2" style="28" customWidth="1"/>
    <col min="47" max="47" width="2.6640625" style="28" customWidth="1"/>
    <col min="48" max="48" width="2.5546875" style="28" customWidth="1"/>
    <col min="49" max="49" width="3.109375" style="28" customWidth="1"/>
    <col min="50" max="50" width="7" style="28" customWidth="1"/>
    <col min="51" max="51" width="4.5546875" style="28" customWidth="1"/>
    <col min="52" max="52" width="2.6640625" style="28" customWidth="1"/>
    <col min="53" max="53" width="2.109375" style="28" customWidth="1"/>
    <col min="54" max="54" width="3.33203125" style="28" customWidth="1"/>
    <col min="55" max="55" width="3" style="28" customWidth="1"/>
    <col min="56" max="56" width="0.6640625" style="28" customWidth="1"/>
    <col min="57" max="57" width="3" style="28" customWidth="1"/>
    <col min="58" max="58" width="0.6640625" style="28" customWidth="1"/>
    <col min="59" max="59" width="3" style="28" customWidth="1"/>
    <col min="60" max="60" width="0.6640625" style="28" customWidth="1"/>
    <col min="61" max="61" width="3" style="28" customWidth="1"/>
    <col min="62" max="62" width="0.6640625" style="28" customWidth="1"/>
    <col min="63" max="63" width="3" style="28" customWidth="1"/>
    <col min="64" max="64" width="0.6640625" style="28" customWidth="1"/>
    <col min="65" max="65" width="3" style="28" customWidth="1"/>
    <col min="66" max="66" width="0.6640625" style="28" customWidth="1"/>
    <col min="67" max="67" width="3" style="28" customWidth="1"/>
    <col min="68" max="68" width="2.33203125" style="28" customWidth="1"/>
    <col min="69" max="69" width="3" style="28" customWidth="1"/>
    <col min="70" max="70" width="0.6640625" style="28" customWidth="1"/>
    <col min="71" max="71" width="5" style="28" customWidth="1"/>
    <col min="72" max="72" width="3" style="28" customWidth="1"/>
    <col min="73" max="73" width="0.6640625" style="28" customWidth="1"/>
    <col min="74" max="74" width="3" style="28" customWidth="1"/>
    <col min="75" max="75" width="0.6640625" style="28" customWidth="1"/>
    <col min="76" max="76" width="3" style="28" customWidth="1"/>
    <col min="77" max="77" width="0.6640625" style="28" customWidth="1"/>
    <col min="78" max="78" width="3" style="28" customWidth="1"/>
    <col min="79" max="79" width="0.6640625" style="28" customWidth="1"/>
    <col min="80" max="80" width="3" style="28" customWidth="1"/>
    <col min="81" max="81" width="0.88671875" style="28" customWidth="1"/>
    <col min="82" max="82" width="3" style="28" customWidth="1"/>
    <col min="83" max="83" width="0.6640625" style="28" customWidth="1"/>
    <col min="84" max="84" width="3" style="28" customWidth="1"/>
    <col min="85" max="85" width="2.33203125" style="28" customWidth="1"/>
    <col min="86" max="86" width="3" style="28" customWidth="1"/>
    <col min="87" max="87" width="1.33203125" style="28" customWidth="1"/>
    <col min="88" max="88" width="3.33203125" style="28" customWidth="1"/>
    <col min="89" max="89" width="2.88671875" style="28" customWidth="1"/>
    <col min="90" max="90" width="2.5546875" style="28" customWidth="1"/>
    <col min="91" max="91" width="1.6640625" style="28" customWidth="1"/>
    <col min="92" max="92" width="9.5546875" style="28" customWidth="1"/>
    <col min="93" max="16384" width="11.44140625" style="28"/>
  </cols>
  <sheetData>
    <row r="1" spans="2:93" ht="7.5" customHeight="1"/>
    <row r="2" spans="2:93" ht="26.25" customHeight="1">
      <c r="B2" s="1895"/>
      <c r="C2" s="2987" t="str">
        <f>CONCATENATE('CALCULS Eaux pluviales'!D8,'CALCULS Eaux pluviales'!G8)</f>
        <v>ORGANISATION :  ##</v>
      </c>
      <c r="D2" s="1896"/>
      <c r="E2" s="1896"/>
      <c r="F2" s="1896"/>
      <c r="G2" s="1896"/>
      <c r="H2" s="1896"/>
      <c r="I2" s="1897"/>
      <c r="J2" s="1897"/>
      <c r="K2" s="1897"/>
      <c r="L2" s="1897"/>
      <c r="M2" s="1897"/>
      <c r="N2" s="1897"/>
      <c r="O2" s="1897"/>
      <c r="P2" s="1897"/>
      <c r="Q2" s="1897"/>
      <c r="R2" s="1897"/>
      <c r="S2" s="1897"/>
      <c r="T2" s="1897"/>
      <c r="U2" s="1897"/>
      <c r="V2" s="1897"/>
      <c r="W2" s="1897"/>
      <c r="X2" s="1897"/>
      <c r="Y2" s="1897"/>
      <c r="Z2" s="1898"/>
      <c r="AA2" s="1898"/>
      <c r="AB2" s="1898"/>
      <c r="AC2" s="1898"/>
      <c r="AD2" s="1898"/>
      <c r="AE2" s="2096"/>
      <c r="AF2" s="2096"/>
      <c r="AG2" s="2096"/>
      <c r="AH2" s="3761" t="s">
        <v>744</v>
      </c>
      <c r="AI2" s="3761"/>
      <c r="AJ2" s="3761"/>
      <c r="AK2" s="3761"/>
      <c r="AL2" s="3761"/>
      <c r="AM2" s="3761"/>
      <c r="AN2" s="3761"/>
      <c r="AO2" s="3761"/>
      <c r="AP2" s="3761"/>
      <c r="AQ2" s="3761"/>
      <c r="AR2" s="3761"/>
      <c r="AS2" s="3761"/>
      <c r="AT2" s="3761"/>
      <c r="AU2" s="3761"/>
      <c r="AV2" s="3761"/>
      <c r="AW2" s="3761"/>
      <c r="AX2" s="3761"/>
      <c r="AY2" s="3761"/>
      <c r="AZ2" s="3761"/>
      <c r="BA2" s="3761"/>
      <c r="BB2" s="3761"/>
      <c r="BC2" s="2096"/>
      <c r="BD2" s="2096"/>
      <c r="BE2" s="2096"/>
      <c r="BF2" s="1898"/>
      <c r="BG2" s="1898"/>
      <c r="BH2" s="1898"/>
      <c r="BI2" s="1898"/>
      <c r="BJ2" s="1898"/>
      <c r="BK2" s="1898"/>
      <c r="BL2" s="1898"/>
      <c r="BM2" s="1898"/>
      <c r="BN2" s="1898"/>
      <c r="BO2" s="1898"/>
      <c r="BP2" s="1898"/>
      <c r="BQ2" s="1898"/>
      <c r="BR2" s="1898"/>
      <c r="BS2" s="1898"/>
      <c r="BT2" s="1898"/>
      <c r="BU2" s="1898"/>
      <c r="BV2" s="1898"/>
      <c r="BW2" s="1898"/>
      <c r="BX2" s="1898"/>
      <c r="BY2" s="1898"/>
      <c r="BZ2" s="1898"/>
      <c r="CA2" s="1898"/>
      <c r="CB2" s="1898"/>
      <c r="CC2" s="1898"/>
      <c r="CD2" s="1898"/>
      <c r="CE2" s="1898"/>
      <c r="CF2" s="1898"/>
      <c r="CG2" s="1897"/>
      <c r="CH2" s="1897"/>
      <c r="CI2" s="1898"/>
      <c r="CJ2" s="1898"/>
      <c r="CK2" s="1899" t="str">
        <f>CONCATENATE('CALCULS Eaux pluviales'!D11,'CALCULS Eaux pluviales'!G11)</f>
        <v>ANNÉE DU PGA :  ##</v>
      </c>
      <c r="CL2" s="1898"/>
      <c r="CM2" s="33"/>
    </row>
    <row r="3" spans="2:93" ht="15.75" customHeight="1">
      <c r="B3" s="1895"/>
      <c r="C3" s="1900" t="str">
        <f>CONCATENATE('CALCULS Eaux pluviales'!D10,'CALCULS Eaux pluviales'!G10)</f>
        <v>RÉGION ADMINISTRATIVE :  ##</v>
      </c>
      <c r="D3" s="1896"/>
      <c r="E3" s="1896"/>
      <c r="F3" s="1896"/>
      <c r="G3" s="1896"/>
      <c r="H3" s="1896"/>
      <c r="I3" s="1897"/>
      <c r="J3" s="1897"/>
      <c r="K3" s="1897"/>
      <c r="L3" s="1897"/>
      <c r="M3" s="1897"/>
      <c r="N3" s="1897"/>
      <c r="O3" s="1897"/>
      <c r="P3" s="1897"/>
      <c r="Q3" s="1897"/>
      <c r="R3" s="1897"/>
      <c r="S3" s="1897"/>
      <c r="T3" s="1897"/>
      <c r="U3" s="1897"/>
      <c r="V3" s="1897"/>
      <c r="W3" s="1897"/>
      <c r="X3" s="1897"/>
      <c r="Y3" s="1897"/>
      <c r="Z3" s="1898"/>
      <c r="AA3" s="1898"/>
      <c r="AB3" s="1898"/>
      <c r="AC3" s="1898"/>
      <c r="AD3" s="3751" t="s">
        <v>859</v>
      </c>
      <c r="AE3" s="3751"/>
      <c r="AF3" s="3751"/>
      <c r="AG3" s="3751"/>
      <c r="AH3" s="3751"/>
      <c r="AI3" s="3751"/>
      <c r="AJ3" s="3751"/>
      <c r="AK3" s="3751"/>
      <c r="AL3" s="3751"/>
      <c r="AM3" s="3751"/>
      <c r="AN3" s="3751"/>
      <c r="AO3" s="3751"/>
      <c r="AP3" s="3751"/>
      <c r="AQ3" s="3751"/>
      <c r="AR3" s="3751"/>
      <c r="AS3" s="3751"/>
      <c r="AT3" s="3751"/>
      <c r="AU3" s="3751"/>
      <c r="AV3" s="3751"/>
      <c r="AW3" s="3751"/>
      <c r="AX3" s="3751"/>
      <c r="AY3" s="3751"/>
      <c r="AZ3" s="3751"/>
      <c r="BA3" s="3751"/>
      <c r="BB3" s="3751"/>
      <c r="BC3" s="3751"/>
      <c r="BD3" s="3751"/>
      <c r="BE3" s="3751"/>
      <c r="BF3" s="1898"/>
      <c r="BG3" s="1898"/>
      <c r="BH3" s="1898"/>
      <c r="BI3" s="1898"/>
      <c r="BJ3" s="1898"/>
      <c r="BK3" s="1898"/>
      <c r="BL3" s="1898"/>
      <c r="BM3" s="1898"/>
      <c r="BN3" s="1898"/>
      <c r="BO3" s="1898"/>
      <c r="BP3" s="1898"/>
      <c r="BQ3" s="1898"/>
      <c r="BR3" s="1898"/>
      <c r="BS3" s="1898"/>
      <c r="BT3" s="1898"/>
      <c r="BU3" s="1898"/>
      <c r="BV3" s="1898"/>
      <c r="BW3" s="1898"/>
      <c r="BX3" s="1898"/>
      <c r="BY3" s="1898"/>
      <c r="BZ3" s="1898"/>
      <c r="CA3" s="1898"/>
      <c r="CB3" s="1898"/>
      <c r="CC3" s="1898"/>
      <c r="CD3" s="1898"/>
      <c r="CE3" s="1898"/>
      <c r="CF3" s="1898"/>
      <c r="CG3" s="1897"/>
      <c r="CH3" s="1897"/>
      <c r="CI3" s="1898"/>
      <c r="CJ3" s="1898"/>
      <c r="CK3" s="1901" t="str">
        <f>CONCATENATE('CALCULS Eaux pluviales'!G12,'CALCULS Eaux pluviales'!H12,'CALCULS Eaux pluviales'!I12)</f>
        <v/>
      </c>
      <c r="CL3" s="1898"/>
      <c r="CM3" s="33"/>
    </row>
    <row r="4" spans="2:93" ht="22.5" customHeight="1">
      <c r="B4" s="1895"/>
      <c r="C4" s="1900" t="str">
        <f>CONCATENATE('CALCULS Eaux pluviales'!D9,'CALCULS Eaux pluviales'!G9)</f>
        <v>CODE DE L'ORGANISATION :  ##</v>
      </c>
      <c r="D4" s="1896"/>
      <c r="E4" s="1896"/>
      <c r="F4" s="1896"/>
      <c r="G4" s="1896"/>
      <c r="H4" s="1896"/>
      <c r="I4" s="1897"/>
      <c r="J4" s="1897"/>
      <c r="K4" s="1897"/>
      <c r="L4" s="1897"/>
      <c r="M4" s="1897"/>
      <c r="N4" s="1897"/>
      <c r="O4" s="1897"/>
      <c r="P4" s="1897"/>
      <c r="Q4" s="1897"/>
      <c r="R4" s="1897"/>
      <c r="S4" s="1897"/>
      <c r="T4" s="1897"/>
      <c r="U4" s="1897"/>
      <c r="V4" s="1897"/>
      <c r="W4" s="1897"/>
      <c r="X4" s="1897"/>
      <c r="Y4" s="1897"/>
      <c r="Z4" s="1902"/>
      <c r="AA4" s="1902"/>
      <c r="AB4" s="1902"/>
      <c r="AC4" s="1902"/>
      <c r="AD4" s="3751"/>
      <c r="AE4" s="3751"/>
      <c r="AF4" s="3751"/>
      <c r="AG4" s="3751"/>
      <c r="AH4" s="3751"/>
      <c r="AI4" s="3751"/>
      <c r="AJ4" s="3751"/>
      <c r="AK4" s="3751"/>
      <c r="AL4" s="3751"/>
      <c r="AM4" s="3751"/>
      <c r="AN4" s="3751"/>
      <c r="AO4" s="3751"/>
      <c r="AP4" s="3751"/>
      <c r="AQ4" s="3751"/>
      <c r="AR4" s="3751"/>
      <c r="AS4" s="3751"/>
      <c r="AT4" s="3751"/>
      <c r="AU4" s="3751"/>
      <c r="AV4" s="3751"/>
      <c r="AW4" s="3751"/>
      <c r="AX4" s="3751"/>
      <c r="AY4" s="3751"/>
      <c r="AZ4" s="3751"/>
      <c r="BA4" s="3751"/>
      <c r="BB4" s="3751"/>
      <c r="BC4" s="3751"/>
      <c r="BD4" s="3751"/>
      <c r="BE4" s="3751"/>
      <c r="BF4" s="1902"/>
      <c r="BG4" s="1902"/>
      <c r="BH4" s="1902"/>
      <c r="BI4" s="1902"/>
      <c r="BJ4" s="1902"/>
      <c r="BK4" s="1902"/>
      <c r="BL4" s="1902"/>
      <c r="BM4" s="1902"/>
      <c r="BN4" s="1902"/>
      <c r="BO4" s="1902"/>
      <c r="BP4" s="1902"/>
      <c r="BQ4" s="1902"/>
      <c r="BR4" s="1902"/>
      <c r="BS4" s="1902"/>
      <c r="BT4" s="1902"/>
      <c r="BU4" s="1902"/>
      <c r="BV4" s="1902"/>
      <c r="BW4" s="1902"/>
      <c r="BX4" s="1902"/>
      <c r="BY4" s="1902"/>
      <c r="BZ4" s="1902"/>
      <c r="CA4" s="1902"/>
      <c r="CB4" s="1902"/>
      <c r="CC4" s="1902"/>
      <c r="CD4" s="1902"/>
      <c r="CE4" s="1902"/>
      <c r="CF4" s="1903" t="str">
        <f>'CALCULS Eaux pluviales'!D13</f>
        <v>DATE DE COMPLÉTION DU FORMULAIRE :</v>
      </c>
      <c r="CG4" s="3752" t="str">
        <f>'CALCULS Eaux pluviales'!G13</f>
        <v>##</v>
      </c>
      <c r="CH4" s="3752"/>
      <c r="CI4" s="3752"/>
      <c r="CJ4" s="3752"/>
      <c r="CK4" s="3752"/>
      <c r="CL4" s="1902"/>
      <c r="CM4" s="35"/>
    </row>
    <row r="5" spans="2:93" ht="6.75" customHeight="1">
      <c r="B5" s="1895"/>
      <c r="C5" s="1900"/>
      <c r="D5" s="1896"/>
      <c r="E5" s="1896"/>
      <c r="F5" s="1896"/>
      <c r="G5" s="1896"/>
      <c r="H5" s="1896"/>
      <c r="I5" s="1897"/>
      <c r="J5" s="1897"/>
      <c r="K5" s="1897"/>
      <c r="L5" s="1897"/>
      <c r="M5" s="1897"/>
      <c r="N5" s="1897"/>
      <c r="O5" s="1897"/>
      <c r="P5" s="1897"/>
      <c r="Q5" s="1897"/>
      <c r="R5" s="1897"/>
      <c r="S5" s="1897"/>
      <c r="T5" s="1897"/>
      <c r="U5" s="1897"/>
      <c r="V5" s="1897"/>
      <c r="W5" s="1897"/>
      <c r="X5" s="1897"/>
      <c r="Y5" s="1897"/>
      <c r="Z5" s="1902"/>
      <c r="AA5" s="1902"/>
      <c r="AB5" s="1902"/>
      <c r="AC5" s="1902"/>
      <c r="AD5" s="2852"/>
      <c r="AE5" s="2852"/>
      <c r="AF5" s="2852"/>
      <c r="AG5" s="2852"/>
      <c r="AH5" s="2852"/>
      <c r="AI5" s="2852"/>
      <c r="AJ5" s="2852"/>
      <c r="AK5" s="2852"/>
      <c r="AL5" s="2852"/>
      <c r="AM5" s="2852"/>
      <c r="AN5" s="2852"/>
      <c r="AO5" s="2852"/>
      <c r="AP5" s="2852"/>
      <c r="AQ5" s="2852"/>
      <c r="AR5" s="2852"/>
      <c r="AS5" s="2852"/>
      <c r="AT5" s="2852"/>
      <c r="AU5" s="2852"/>
      <c r="AV5" s="2852"/>
      <c r="AW5" s="2852"/>
      <c r="AX5" s="2852"/>
      <c r="AY5" s="2852"/>
      <c r="AZ5" s="2852"/>
      <c r="BA5" s="2852"/>
      <c r="BB5" s="2852"/>
      <c r="BC5" s="2852"/>
      <c r="BD5" s="2852"/>
      <c r="BE5" s="2852"/>
      <c r="BF5" s="1902"/>
      <c r="BG5" s="1902"/>
      <c r="BH5" s="1902"/>
      <c r="BI5" s="1902"/>
      <c r="BJ5" s="1902"/>
      <c r="BK5" s="1902"/>
      <c r="BL5" s="1902"/>
      <c r="BM5" s="1902"/>
      <c r="BN5" s="1902"/>
      <c r="BO5" s="1902"/>
      <c r="BP5" s="1902"/>
      <c r="BQ5" s="1902"/>
      <c r="BR5" s="1902"/>
      <c r="BS5" s="1902"/>
      <c r="BT5" s="1902"/>
      <c r="BU5" s="1902"/>
      <c r="BV5" s="1902"/>
      <c r="BW5" s="1902"/>
      <c r="BX5" s="1902"/>
      <c r="BY5" s="1902"/>
      <c r="BZ5" s="1902"/>
      <c r="CA5" s="1902"/>
      <c r="CB5" s="1902"/>
      <c r="CC5" s="1902"/>
      <c r="CD5" s="1902"/>
      <c r="CE5" s="1902"/>
      <c r="CF5" s="1902"/>
      <c r="CG5" s="1897"/>
      <c r="CH5" s="1897"/>
      <c r="CI5" s="1902"/>
      <c r="CJ5" s="1902"/>
      <c r="CK5" s="1903"/>
      <c r="CL5" s="1902"/>
      <c r="CM5" s="35"/>
    </row>
    <row r="6" spans="2:93" ht="21.75" customHeight="1">
      <c r="B6" s="2223" t="str">
        <f>IF((IDENTIFICATION!G142='MENU DÉROULANT'!C10),"Note: La municipalité a fait le choix d'intégrer sa gestion des infrastructures d'eaux pluviales avec celles des eaux usées. Le présent sommaire ne contient donc pas de résultats.","")</f>
        <v/>
      </c>
      <c r="C6" s="587"/>
      <c r="BZ6" s="3615" t="s">
        <v>4041</v>
      </c>
      <c r="CA6" s="3615"/>
      <c r="CB6" s="3615"/>
      <c r="CC6" s="3615"/>
      <c r="CD6" s="3615"/>
      <c r="CE6" s="3615"/>
      <c r="CF6" s="3615"/>
      <c r="CG6" s="3615"/>
      <c r="CH6" s="3615"/>
      <c r="CI6" s="3615"/>
      <c r="CJ6" s="3615"/>
      <c r="CK6" s="3615"/>
      <c r="CL6" s="3615"/>
    </row>
    <row r="7" spans="2:93" ht="20.25" customHeight="1">
      <c r="B7" s="2225" t="str">
        <f>IF(('FORMULAIRE PGA Eaux pluviales'!M73='MENU DÉROULANT'!C66),"Note: L'organisation traite l'ensemble de ses actifs en eaux pluviales dans le sous-service Collecte. Les graphiques liés au sous-service Traitement ne contiennent donc pas de résultats.","")</f>
        <v/>
      </c>
    </row>
    <row r="8" spans="2:93" ht="22.5" customHeight="1">
      <c r="B8" s="1904"/>
      <c r="C8" s="1905" t="s">
        <v>502</v>
      </c>
      <c r="D8" s="1906"/>
      <c r="E8" s="1906"/>
      <c r="F8" s="1906"/>
      <c r="G8" s="1906"/>
      <c r="H8" s="1906"/>
      <c r="I8" s="1906"/>
      <c r="J8" s="1906"/>
      <c r="K8" s="1906"/>
      <c r="L8" s="1906"/>
      <c r="M8" s="1906"/>
      <c r="N8" s="1906"/>
      <c r="O8" s="1906"/>
      <c r="P8" s="1906"/>
      <c r="Q8" s="1906"/>
      <c r="R8" s="1906"/>
      <c r="S8" s="1906"/>
      <c r="T8" s="1906"/>
      <c r="U8" s="1906"/>
      <c r="V8" s="1906"/>
      <c r="W8" s="1906"/>
      <c r="X8" s="1906"/>
      <c r="Y8" s="1906"/>
      <c r="Z8" s="1906"/>
      <c r="AA8" s="1906"/>
      <c r="AB8" s="1906"/>
      <c r="AC8" s="1906"/>
      <c r="AD8" s="1906"/>
      <c r="AE8" s="1906"/>
      <c r="AF8" s="1906"/>
      <c r="AG8" s="1906"/>
      <c r="AH8" s="1906"/>
      <c r="AI8" s="1906"/>
      <c r="AJ8" s="1906"/>
      <c r="AK8" s="1906"/>
      <c r="AL8" s="1906"/>
      <c r="AM8" s="1906"/>
      <c r="AN8" s="1906"/>
      <c r="AO8" s="1906"/>
      <c r="AP8" s="1906"/>
      <c r="AQ8" s="1906"/>
      <c r="AR8" s="1906"/>
      <c r="AS8" s="1906"/>
      <c r="AT8" s="1906"/>
      <c r="AU8" s="1907"/>
      <c r="AV8" s="1907"/>
      <c r="AW8" s="1907"/>
      <c r="AX8" s="1906"/>
      <c r="AY8" s="1906"/>
      <c r="AZ8" s="1906"/>
      <c r="BA8" s="1906"/>
      <c r="BB8" s="1906"/>
      <c r="BC8" s="1906"/>
      <c r="BD8" s="1906"/>
      <c r="BE8" s="1906"/>
      <c r="BF8" s="1906"/>
      <c r="BG8" s="1906"/>
      <c r="BH8" s="1906"/>
      <c r="BI8" s="1906"/>
      <c r="BJ8" s="1906"/>
      <c r="BK8" s="1906"/>
      <c r="BL8" s="1906"/>
      <c r="BM8" s="1906"/>
      <c r="BN8" s="1906"/>
      <c r="BO8" s="1906"/>
      <c r="BP8" s="1906"/>
      <c r="BQ8" s="1906"/>
      <c r="BR8" s="1906"/>
      <c r="BS8" s="1906"/>
      <c r="BT8" s="1906"/>
      <c r="BU8" s="1906"/>
      <c r="BV8" s="1906"/>
      <c r="BW8" s="1906"/>
      <c r="BX8" s="1906"/>
      <c r="BY8" s="1906"/>
      <c r="BZ8" s="1906"/>
      <c r="CA8" s="1906"/>
      <c r="CB8" s="1906"/>
      <c r="CC8" s="1906"/>
      <c r="CD8" s="1906"/>
      <c r="CE8" s="1906"/>
      <c r="CF8" s="1906"/>
      <c r="CG8" s="1904"/>
      <c r="CH8" s="1908"/>
      <c r="CI8" s="1904"/>
      <c r="CJ8" s="3753"/>
      <c r="CK8" s="3753"/>
      <c r="CL8" s="1906"/>
    </row>
    <row r="9" spans="2:93" ht="6.75" customHeight="1"/>
    <row r="10" spans="2:93" ht="12" customHeight="1">
      <c r="B10" s="1909"/>
      <c r="C10" s="1913"/>
      <c r="D10" s="1913"/>
      <c r="E10" s="1913"/>
      <c r="F10" s="1913"/>
      <c r="G10" s="1913"/>
      <c r="H10" s="1913"/>
      <c r="I10" s="1913"/>
      <c r="J10" s="1913"/>
      <c r="K10" s="1913"/>
      <c r="L10" s="1913"/>
      <c r="M10" s="1913"/>
      <c r="N10" s="1913"/>
      <c r="O10" s="1913"/>
      <c r="P10" s="1913"/>
      <c r="Q10" s="1913"/>
      <c r="R10" s="1913"/>
      <c r="S10" s="1913"/>
      <c r="T10" s="1913"/>
      <c r="U10" s="1913"/>
      <c r="V10" s="1913"/>
      <c r="W10" s="1913"/>
      <c r="X10" s="1913"/>
      <c r="Y10" s="1913"/>
      <c r="Z10" s="1913"/>
      <c r="AA10" s="1913"/>
      <c r="AB10" s="1913"/>
      <c r="AC10" s="1913"/>
      <c r="AD10" s="1913"/>
      <c r="AE10" s="1913"/>
      <c r="AF10" s="1913"/>
      <c r="AG10" s="1913"/>
      <c r="AH10" s="1913"/>
      <c r="AI10" s="1913"/>
      <c r="AJ10" s="1913"/>
      <c r="AK10" s="1913"/>
      <c r="AL10" s="1913"/>
      <c r="AM10" s="1913"/>
      <c r="AN10" s="1913"/>
      <c r="AO10" s="1913"/>
      <c r="AP10" s="1913"/>
      <c r="AQ10" s="1913"/>
      <c r="AR10" s="1913"/>
      <c r="AS10" s="1913"/>
      <c r="AT10" s="1913"/>
      <c r="AU10" s="1913"/>
      <c r="AV10" s="1913"/>
      <c r="AW10" s="1913"/>
      <c r="AX10" s="1913"/>
      <c r="AY10" s="1913"/>
      <c r="AZ10" s="1913"/>
      <c r="BA10" s="1913"/>
      <c r="BB10" s="1913"/>
      <c r="BC10" s="1913"/>
      <c r="BD10" s="1913"/>
      <c r="BE10" s="1913"/>
      <c r="BF10" s="1913"/>
      <c r="BG10" s="1913"/>
      <c r="BH10" s="1913"/>
      <c r="BI10" s="1913"/>
      <c r="BJ10" s="1913"/>
      <c r="BK10" s="1913"/>
      <c r="BL10" s="1913"/>
      <c r="BM10" s="1913"/>
      <c r="BN10" s="1913"/>
      <c r="BO10" s="1913"/>
      <c r="BP10" s="1913"/>
      <c r="BQ10" s="1913"/>
      <c r="BR10" s="1913"/>
      <c r="BS10" s="1913"/>
      <c r="BT10" s="1913"/>
      <c r="BU10" s="1913"/>
      <c r="BV10" s="1913"/>
      <c r="BW10" s="1913"/>
      <c r="BX10" s="1913"/>
      <c r="BY10" s="1913"/>
      <c r="BZ10" s="1913"/>
      <c r="CA10" s="1913"/>
      <c r="CB10" s="1913"/>
      <c r="CC10" s="1913"/>
      <c r="CD10" s="1913"/>
      <c r="CE10" s="1913"/>
      <c r="CF10" s="1913"/>
      <c r="CG10" s="1913"/>
      <c r="CH10" s="1913"/>
      <c r="CI10" s="1913"/>
      <c r="CJ10" s="1913"/>
      <c r="CK10" s="1913"/>
      <c r="CL10" s="1920"/>
      <c r="CM10" s="43"/>
    </row>
    <row r="11" spans="2:93" ht="9" customHeight="1">
      <c r="B11" s="1910"/>
      <c r="C11" s="45"/>
      <c r="D11" s="46"/>
      <c r="E11" s="46"/>
      <c r="F11" s="46"/>
      <c r="G11" s="46"/>
      <c r="H11" s="46"/>
      <c r="I11" s="46"/>
      <c r="J11" s="46"/>
      <c r="K11" s="46"/>
      <c r="L11" s="46"/>
      <c r="M11" s="46"/>
      <c r="N11" s="46"/>
      <c r="O11" s="46"/>
      <c r="P11" s="46"/>
      <c r="Q11" s="46"/>
      <c r="R11" s="46"/>
      <c r="S11" s="46"/>
      <c r="T11" s="46"/>
      <c r="U11" s="46"/>
      <c r="V11" s="46"/>
      <c r="W11" s="46"/>
      <c r="X11" s="46"/>
      <c r="Y11" s="46"/>
      <c r="Z11" s="46"/>
      <c r="AA11" s="111"/>
      <c r="AB11" s="111"/>
      <c r="AC11" s="111"/>
      <c r="AD11" s="111"/>
      <c r="AE11" s="112"/>
      <c r="AF11" s="1914"/>
      <c r="AG11" s="45"/>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6"/>
      <c r="CD11" s="46"/>
      <c r="CE11" s="46"/>
      <c r="CF11" s="46"/>
      <c r="CG11" s="46"/>
      <c r="CH11" s="46"/>
      <c r="CI11" s="46"/>
      <c r="CJ11" s="46"/>
      <c r="CK11" s="47"/>
      <c r="CL11" s="1921"/>
      <c r="CM11" s="43"/>
    </row>
    <row r="12" spans="2:93" ht="21.75" customHeight="1">
      <c r="B12" s="1910"/>
      <c r="C12" s="50"/>
      <c r="D12" s="51" t="s">
        <v>746</v>
      </c>
      <c r="E12" s="51"/>
      <c r="F12" s="51"/>
      <c r="G12" s="51"/>
      <c r="H12" s="51"/>
      <c r="I12" s="52"/>
      <c r="J12" s="52"/>
      <c r="K12" s="53"/>
      <c r="L12" s="54"/>
      <c r="M12" s="53"/>
      <c r="N12" s="24"/>
      <c r="O12" s="53"/>
      <c r="P12" s="25"/>
      <c r="Q12" s="53"/>
      <c r="R12" s="25"/>
      <c r="S12" s="53"/>
      <c r="T12" s="25"/>
      <c r="U12" s="53"/>
      <c r="V12" s="25"/>
      <c r="W12" s="25"/>
      <c r="X12" s="55"/>
      <c r="Z12" s="52"/>
      <c r="AA12" s="53"/>
      <c r="AB12" s="3575">
        <f>'CALCULS Eaux pluviales'!J30</f>
        <v>0</v>
      </c>
      <c r="AC12" s="3575"/>
      <c r="AD12" s="3575"/>
      <c r="AE12" s="979"/>
      <c r="AF12" s="1915"/>
      <c r="AG12" s="56"/>
      <c r="AH12" s="57" t="s">
        <v>747</v>
      </c>
      <c r="AI12" s="53"/>
      <c r="AJ12" s="52"/>
      <c r="AK12" s="52"/>
      <c r="AL12" s="52"/>
      <c r="AM12" s="25"/>
      <c r="AN12" s="58"/>
      <c r="AO12" s="52"/>
      <c r="AP12" s="52"/>
      <c r="AQ12" s="52"/>
      <c r="AR12" s="59"/>
      <c r="AS12" s="59"/>
      <c r="AT12" s="59"/>
      <c r="AU12" s="2875"/>
      <c r="AV12" s="2875"/>
      <c r="AW12" s="2875"/>
      <c r="AX12" s="52"/>
      <c r="AY12" s="52"/>
      <c r="AZ12" s="52"/>
      <c r="BA12" s="52"/>
      <c r="BB12" s="52"/>
      <c r="BC12" s="53"/>
      <c r="BD12" s="54"/>
      <c r="BE12" s="53"/>
      <c r="BF12" s="24"/>
      <c r="BG12" s="53"/>
      <c r="BH12" s="25"/>
      <c r="BI12" s="53"/>
      <c r="BJ12" s="25"/>
      <c r="BK12" s="53"/>
      <c r="BL12" s="25"/>
      <c r="BM12" s="53"/>
      <c r="BN12" s="25"/>
      <c r="BO12" s="25"/>
      <c r="BP12" s="58"/>
      <c r="BQ12" s="60"/>
      <c r="BR12" s="60"/>
      <c r="BS12" s="52"/>
      <c r="BT12" s="53"/>
      <c r="BU12" s="54"/>
      <c r="BV12" s="53"/>
      <c r="BW12" s="24"/>
      <c r="BX12" s="53"/>
      <c r="BY12" s="25"/>
      <c r="BZ12" s="53"/>
      <c r="CA12" s="25"/>
      <c r="CB12" s="53"/>
      <c r="CC12" s="52"/>
      <c r="CD12" s="52"/>
      <c r="CE12" s="52"/>
      <c r="CF12" s="25"/>
      <c r="CG12" s="58"/>
      <c r="CH12" s="52"/>
      <c r="CI12" s="52"/>
      <c r="CJ12" s="52"/>
      <c r="CK12" s="61"/>
      <c r="CL12" s="1921"/>
      <c r="CM12" s="43"/>
      <c r="CO12" s="1098"/>
    </row>
    <row r="13" spans="2:93" ht="18" customHeight="1">
      <c r="B13" s="1910"/>
      <c r="C13" s="50"/>
      <c r="D13" s="3748" t="s">
        <v>748</v>
      </c>
      <c r="E13" s="2445" t="str">
        <f>'CALCULS Eaux pluviales'!D21</f>
        <v>Collecte / Linéaire</v>
      </c>
      <c r="F13" s="2442"/>
      <c r="G13" s="2443"/>
      <c r="H13" s="2442"/>
      <c r="I13" s="2443"/>
      <c r="J13" s="52"/>
      <c r="K13" s="53"/>
      <c r="L13" s="54"/>
      <c r="M13" s="53"/>
      <c r="N13" s="24"/>
      <c r="O13" s="53"/>
      <c r="P13" s="25"/>
      <c r="Q13" s="53"/>
      <c r="R13" s="25"/>
      <c r="S13" s="53"/>
      <c r="T13" s="25"/>
      <c r="U13" s="53"/>
      <c r="V13" s="25"/>
      <c r="W13" s="25"/>
      <c r="X13" s="58"/>
      <c r="Y13" s="60"/>
      <c r="Z13" s="52"/>
      <c r="AA13" s="53"/>
      <c r="AB13" s="54"/>
      <c r="AC13" s="53"/>
      <c r="AD13" s="24"/>
      <c r="AE13" s="980"/>
      <c r="AF13" s="1915"/>
      <c r="AG13" s="56"/>
      <c r="AH13" s="978"/>
      <c r="AI13" s="1949" t="s">
        <v>842</v>
      </c>
      <c r="AJ13" s="1950"/>
      <c r="AK13" s="1950"/>
      <c r="AL13" s="1950"/>
      <c r="AM13" s="1951"/>
      <c r="AN13" s="1952"/>
      <c r="AO13" s="1950"/>
      <c r="AP13" s="1950"/>
      <c r="AQ13" s="1950"/>
      <c r="AR13" s="1953"/>
      <c r="AS13" s="1953"/>
      <c r="AT13" s="1953"/>
      <c r="AU13" s="1954"/>
      <c r="AV13" s="1954"/>
      <c r="AW13" s="1954"/>
      <c r="AX13" s="1950"/>
      <c r="AY13" s="1950"/>
      <c r="AZ13" s="1950"/>
      <c r="BA13" s="1950"/>
      <c r="BB13" s="1950"/>
      <c r="BC13" s="1955"/>
      <c r="BD13" s="1956"/>
      <c r="BE13" s="2243" t="str">
        <f>IF(('FORMULAIRE PGA Eaux pluviales'!$H$120='MENU DÉROULANT'!$C$57),"(Aucun actif)","")</f>
        <v/>
      </c>
      <c r="BF13" s="1957"/>
      <c r="BG13" s="53"/>
      <c r="BH13" s="1949" t="s">
        <v>843</v>
      </c>
      <c r="BI13" s="1955"/>
      <c r="BJ13" s="1951"/>
      <c r="BK13" s="1955"/>
      <c r="BL13" s="1951"/>
      <c r="BM13" s="1955"/>
      <c r="BN13" s="1951"/>
      <c r="BO13" s="1951"/>
      <c r="BP13" s="1952"/>
      <c r="BQ13" s="1958"/>
      <c r="BR13" s="1958"/>
      <c r="BS13" s="1950"/>
      <c r="BT13" s="2241" t="str">
        <f>IF(('FORMULAIRE PGA Eaux pluviales'!M73='MENU DÉROULANT'!C66),"(Non applicable)","")</f>
        <v/>
      </c>
      <c r="BU13" s="1956"/>
      <c r="BV13" s="1955"/>
      <c r="BW13" s="1959"/>
      <c r="BX13" s="1955"/>
      <c r="BY13" s="1951"/>
      <c r="BZ13" s="1955"/>
      <c r="CA13" s="1951"/>
      <c r="CB13" s="1955"/>
      <c r="CC13" s="1950"/>
      <c r="CD13" s="1950"/>
      <c r="CE13" s="1950"/>
      <c r="CF13" s="1951"/>
      <c r="CG13" s="1952"/>
      <c r="CH13" s="1950"/>
      <c r="CI13" s="2243" t="str">
        <f>IF(('CALCULS Eau potable'!D41='MENU DÉROULANT'!$F$31),"(Aucun actif)","")</f>
        <v/>
      </c>
      <c r="CJ13" s="2771" t="str">
        <f>IF(('FORMULAIRE PGA Eaux pluviales'!$H$81='MENU DÉROULANT'!$F$57),"(Aucun actif)","")</f>
        <v/>
      </c>
      <c r="CK13" s="61"/>
      <c r="CL13" s="1921"/>
      <c r="CM13" s="43"/>
    </row>
    <row r="14" spans="2:93" ht="11.25" customHeight="1">
      <c r="B14" s="1910"/>
      <c r="C14" s="50"/>
      <c r="D14" s="3748"/>
      <c r="E14" s="3725" t="str">
        <f>'CALCULS Eaux pluviales'!F21</f>
        <v>Aucun</v>
      </c>
      <c r="F14" s="3725"/>
      <c r="G14" s="3725"/>
      <c r="H14" s="3725"/>
      <c r="I14" s="3725"/>
      <c r="J14" s="52"/>
      <c r="K14" s="53"/>
      <c r="L14" s="54"/>
      <c r="M14" s="53"/>
      <c r="N14" s="24"/>
      <c r="O14" s="53"/>
      <c r="P14" s="25"/>
      <c r="Q14" s="53"/>
      <c r="R14" s="25"/>
      <c r="S14" s="53"/>
      <c r="T14" s="25"/>
      <c r="U14" s="53"/>
      <c r="V14" s="25"/>
      <c r="W14" s="25"/>
      <c r="X14" s="58"/>
      <c r="Y14" s="60"/>
      <c r="Z14" s="52"/>
      <c r="AA14" s="53"/>
      <c r="AB14" s="54"/>
      <c r="AC14" s="53"/>
      <c r="AD14" s="24"/>
      <c r="AE14" s="979"/>
      <c r="AF14" s="1915"/>
      <c r="AG14" s="56"/>
      <c r="AH14" s="25"/>
      <c r="AI14" s="988"/>
      <c r="AJ14" s="989"/>
      <c r="AK14" s="989"/>
      <c r="AL14" s="989"/>
      <c r="AM14" s="990"/>
      <c r="AN14" s="991"/>
      <c r="AO14" s="989"/>
      <c r="AP14" s="989"/>
      <c r="AQ14" s="989"/>
      <c r="AR14" s="46"/>
      <c r="AS14" s="46"/>
      <c r="AT14" s="46"/>
      <c r="AU14" s="992"/>
      <c r="AV14" s="992"/>
      <c r="AW14" s="992"/>
      <c r="AX14" s="989"/>
      <c r="AY14" s="989"/>
      <c r="AZ14" s="989"/>
      <c r="BA14" s="989"/>
      <c r="BB14" s="989"/>
      <c r="BC14" s="993"/>
      <c r="BD14" s="994"/>
      <c r="BE14" s="993"/>
      <c r="BF14" s="995"/>
      <c r="BG14" s="53"/>
      <c r="BH14" s="591"/>
      <c r="BI14" s="53"/>
      <c r="BJ14" s="25"/>
      <c r="BK14" s="53"/>
      <c r="BL14" s="25"/>
      <c r="BM14" s="53"/>
      <c r="BN14" s="25"/>
      <c r="BO14" s="25"/>
      <c r="BP14" s="58"/>
      <c r="BQ14" s="60"/>
      <c r="BR14" s="60"/>
      <c r="BS14" s="52"/>
      <c r="BT14" s="53"/>
      <c r="BU14" s="54"/>
      <c r="BV14" s="53"/>
      <c r="BW14" s="24"/>
      <c r="BX14" s="53"/>
      <c r="BY14" s="25"/>
      <c r="BZ14" s="53"/>
      <c r="CA14" s="25"/>
      <c r="CB14" s="53"/>
      <c r="CC14" s="52"/>
      <c r="CD14" s="52"/>
      <c r="CE14" s="52"/>
      <c r="CF14" s="25"/>
      <c r="CG14" s="58"/>
      <c r="CH14" s="52"/>
      <c r="CI14" s="52"/>
      <c r="CJ14" s="442"/>
      <c r="CK14" s="61"/>
      <c r="CL14" s="1921"/>
      <c r="CM14" s="43"/>
    </row>
    <row r="15" spans="2:93" s="72" customFormat="1" ht="15" customHeight="1">
      <c r="B15" s="1911"/>
      <c r="C15" s="64"/>
      <c r="D15" s="3749" t="s">
        <v>748</v>
      </c>
      <c r="E15" s="2445" t="str">
        <f>'CALCULS Eaux pluviales'!D22</f>
        <v>Collecte / Ponctuel</v>
      </c>
      <c r="F15" s="2442"/>
      <c r="G15" s="2444"/>
      <c r="H15" s="2442"/>
      <c r="I15" s="2444"/>
      <c r="J15" s="215"/>
      <c r="K15" s="215"/>
      <c r="L15" s="215"/>
      <c r="M15" s="215"/>
      <c r="N15" s="215"/>
      <c r="O15" s="215"/>
      <c r="P15" s="215"/>
      <c r="Q15" s="215"/>
      <c r="R15" s="215"/>
      <c r="S15" s="215"/>
      <c r="T15" s="215"/>
      <c r="U15" s="215"/>
      <c r="V15" s="215"/>
      <c r="W15" s="215"/>
      <c r="X15" s="215"/>
      <c r="Y15" s="215"/>
      <c r="Z15" s="66"/>
      <c r="AA15" s="66"/>
      <c r="AB15" s="66"/>
      <c r="AC15" s="66"/>
      <c r="AD15" s="2875"/>
      <c r="AE15" s="981"/>
      <c r="AF15" s="1916"/>
      <c r="AG15" s="68"/>
      <c r="AH15" s="66"/>
      <c r="AI15" s="1031" t="s">
        <v>34</v>
      </c>
      <c r="AJ15" s="1030"/>
      <c r="AK15" s="66"/>
      <c r="AL15" s="66"/>
      <c r="AM15" s="66"/>
      <c r="AN15" s="2274" t="str">
        <f>'CALCULS Eaux pluviales'!E38</f>
        <v/>
      </c>
      <c r="AO15" s="66"/>
      <c r="AP15" s="66"/>
      <c r="AQ15" s="66"/>
      <c r="AR15" s="59"/>
      <c r="AS15" s="59"/>
      <c r="AT15" s="59"/>
      <c r="AU15" s="215"/>
      <c r="AV15" s="215"/>
      <c r="AW15" s="215"/>
      <c r="AX15" s="215"/>
      <c r="AY15" s="215"/>
      <c r="AZ15" s="215"/>
      <c r="BA15" s="215"/>
      <c r="BB15" s="215"/>
      <c r="BC15" s="215"/>
      <c r="BD15" s="215"/>
      <c r="BE15" s="215"/>
      <c r="BF15" s="996"/>
      <c r="BH15" s="1031" t="s">
        <v>34</v>
      </c>
      <c r="BI15" s="215"/>
      <c r="BJ15" s="215"/>
      <c r="BK15" s="215"/>
      <c r="BL15" s="215"/>
      <c r="BM15" s="2274"/>
      <c r="BN15" s="2274" t="str">
        <f>'CALCULS Eaux pluviales'!E46</f>
        <v/>
      </c>
      <c r="BO15" s="2274"/>
      <c r="BP15" s="65"/>
      <c r="BQ15" s="66"/>
      <c r="BR15" s="66"/>
      <c r="BS15" s="66"/>
      <c r="BT15" s="66"/>
      <c r="BU15" s="66"/>
      <c r="BV15" s="66"/>
      <c r="BW15" s="66"/>
      <c r="BX15" s="66"/>
      <c r="BY15" s="66"/>
      <c r="BZ15" s="66"/>
      <c r="CA15" s="66"/>
      <c r="CB15" s="66"/>
      <c r="CC15" s="66"/>
      <c r="CD15" s="66"/>
      <c r="CE15" s="66"/>
      <c r="CF15" s="66"/>
      <c r="CG15" s="66"/>
      <c r="CH15" s="66"/>
      <c r="CI15" s="66"/>
      <c r="CJ15" s="67"/>
      <c r="CK15" s="69"/>
      <c r="CL15" s="1922"/>
      <c r="CM15" s="71"/>
    </row>
    <row r="16" spans="2:93" s="72" customFormat="1" ht="11.25" customHeight="1">
      <c r="B16" s="1911"/>
      <c r="C16" s="64"/>
      <c r="D16" s="3749"/>
      <c r="E16" s="3718" t="str">
        <f>'CALCULS Eaux pluviales'!F22</f>
        <v>Aucun</v>
      </c>
      <c r="F16" s="3718"/>
      <c r="G16" s="3718"/>
      <c r="H16" s="3718"/>
      <c r="I16" s="3718"/>
      <c r="J16" s="215"/>
      <c r="K16" s="215"/>
      <c r="L16" s="215"/>
      <c r="M16" s="215"/>
      <c r="N16" s="215"/>
      <c r="O16" s="215"/>
      <c r="P16" s="215"/>
      <c r="Q16" s="215"/>
      <c r="R16" s="215"/>
      <c r="S16" s="215"/>
      <c r="T16" s="215"/>
      <c r="U16" s="215"/>
      <c r="V16" s="215"/>
      <c r="W16" s="215"/>
      <c r="X16" s="215"/>
      <c r="Y16" s="215"/>
      <c r="Z16" s="66"/>
      <c r="AA16" s="66"/>
      <c r="AB16" s="66"/>
      <c r="AC16" s="66"/>
      <c r="AD16" s="66"/>
      <c r="AE16" s="981"/>
      <c r="AF16" s="1916"/>
      <c r="AG16" s="68"/>
      <c r="AH16" s="66"/>
      <c r="AI16" s="68"/>
      <c r="AJ16" s="3674">
        <f>'CALCULS Eaux pluviales'!L53</f>
        <v>0</v>
      </c>
      <c r="AK16" s="3674"/>
      <c r="AL16" s="3674"/>
      <c r="AM16" s="66"/>
      <c r="AN16" s="66"/>
      <c r="AO16" s="66"/>
      <c r="AP16" s="66"/>
      <c r="AQ16" s="66"/>
      <c r="AR16" s="59"/>
      <c r="AS16" s="59"/>
      <c r="AT16" s="59"/>
      <c r="AU16" s="65"/>
      <c r="AV16" s="65"/>
      <c r="AW16" s="65"/>
      <c r="AX16" s="65"/>
      <c r="AY16" s="65"/>
      <c r="AZ16" s="65"/>
      <c r="BA16" s="65"/>
      <c r="BB16" s="65"/>
      <c r="BC16" s="65"/>
      <c r="BD16" s="65"/>
      <c r="BE16" s="65"/>
      <c r="BF16" s="997"/>
      <c r="BH16" s="1000"/>
      <c r="BI16" s="3674">
        <f>'CALCULS Eaux pluviales'!L55</f>
        <v>0</v>
      </c>
      <c r="BJ16" s="3674"/>
      <c r="BK16" s="3674"/>
      <c r="BL16" s="65"/>
      <c r="BM16" s="65"/>
      <c r="BN16" s="65"/>
      <c r="BO16" s="59"/>
      <c r="BP16" s="65"/>
      <c r="BQ16" s="66"/>
      <c r="BR16" s="66"/>
      <c r="BS16" s="66"/>
      <c r="BT16" s="66"/>
      <c r="BU16" s="66"/>
      <c r="BV16" s="66"/>
      <c r="BW16" s="66"/>
      <c r="BX16" s="66"/>
      <c r="BY16" s="66"/>
      <c r="BZ16" s="66"/>
      <c r="CA16" s="66"/>
      <c r="CB16" s="66"/>
      <c r="CC16" s="66"/>
      <c r="CD16" s="66"/>
      <c r="CE16" s="66"/>
      <c r="CF16" s="66"/>
      <c r="CG16" s="66"/>
      <c r="CH16" s="66"/>
      <c r="CI16" s="66"/>
      <c r="CJ16" s="67"/>
      <c r="CK16" s="69"/>
      <c r="CL16" s="1922"/>
      <c r="CM16" s="71"/>
    </row>
    <row r="17" spans="2:91" s="72" customFormat="1" ht="17.25" customHeight="1">
      <c r="B17" s="1911"/>
      <c r="C17" s="64"/>
      <c r="D17" s="3750" t="s">
        <v>748</v>
      </c>
      <c r="E17" s="2445" t="str">
        <f>'CALCULS Eaux pluviales'!D24</f>
        <v>Traitement / Linéaire</v>
      </c>
      <c r="F17" s="2442"/>
      <c r="G17" s="2444"/>
      <c r="H17" s="2442"/>
      <c r="I17" s="2444"/>
      <c r="J17" s="215"/>
      <c r="K17" s="215"/>
      <c r="L17" s="215"/>
      <c r="M17" s="215"/>
      <c r="N17" s="215"/>
      <c r="O17" s="215"/>
      <c r="P17" s="215"/>
      <c r="Q17" s="215"/>
      <c r="R17" s="215"/>
      <c r="S17" s="215"/>
      <c r="T17" s="215"/>
      <c r="U17" s="215"/>
      <c r="V17" s="215"/>
      <c r="W17" s="215"/>
      <c r="X17" s="215"/>
      <c r="Y17" s="215"/>
      <c r="Z17" s="78"/>
      <c r="AA17" s="76"/>
      <c r="AB17" s="73"/>
      <c r="AC17" s="76"/>
      <c r="AD17" s="81"/>
      <c r="AE17" s="982"/>
      <c r="AF17" s="1917"/>
      <c r="AG17" s="80"/>
      <c r="AH17" s="76"/>
      <c r="AI17" s="80"/>
      <c r="AJ17" s="3674"/>
      <c r="AK17" s="3674"/>
      <c r="AL17" s="3674"/>
      <c r="AM17" s="1495"/>
      <c r="AN17" s="1495"/>
      <c r="AO17" s="1495"/>
      <c r="AP17" s="1495"/>
      <c r="AQ17" s="77"/>
      <c r="AR17" s="82"/>
      <c r="AS17" s="75"/>
      <c r="AT17" s="75"/>
      <c r="AU17" s="82"/>
      <c r="AV17" s="82"/>
      <c r="AW17" s="82"/>
      <c r="AX17" s="73"/>
      <c r="AY17" s="73"/>
      <c r="AZ17" s="73"/>
      <c r="BA17" s="74"/>
      <c r="BB17" s="74"/>
      <c r="BC17" s="75"/>
      <c r="BD17" s="82"/>
      <c r="BE17" s="73"/>
      <c r="BF17" s="79"/>
      <c r="BG17" s="999"/>
      <c r="BH17" s="1001"/>
      <c r="BI17" s="3674"/>
      <c r="BJ17" s="3674"/>
      <c r="BK17" s="3674"/>
      <c r="BL17" s="999"/>
      <c r="BM17" s="83"/>
      <c r="BN17" s="82"/>
      <c r="BO17" s="75"/>
      <c r="BP17" s="77"/>
      <c r="BQ17" s="78"/>
      <c r="BR17" s="78"/>
      <c r="BS17" s="78"/>
      <c r="BT17" s="82"/>
      <c r="BU17" s="82"/>
      <c r="BV17" s="73"/>
      <c r="BW17" s="81"/>
      <c r="BX17" s="76"/>
      <c r="BY17" s="78"/>
      <c r="BZ17" s="82"/>
      <c r="CA17" s="76"/>
      <c r="CB17" s="77"/>
      <c r="CC17" s="76"/>
      <c r="CD17" s="73"/>
      <c r="CE17" s="3612"/>
      <c r="CF17" s="3612"/>
      <c r="CG17" s="3612"/>
      <c r="CH17" s="3612"/>
      <c r="CI17" s="3612"/>
      <c r="CJ17" s="1002"/>
      <c r="CK17" s="84"/>
      <c r="CL17" s="1922"/>
      <c r="CM17" s="71"/>
    </row>
    <row r="18" spans="2:91" s="72" customFormat="1" ht="11.25" customHeight="1">
      <c r="B18" s="1911"/>
      <c r="C18" s="64"/>
      <c r="D18" s="3750"/>
      <c r="E18" s="3725" t="str">
        <f>'CALCULS Eaux pluviales'!F24</f>
        <v>Aucun</v>
      </c>
      <c r="F18" s="3725"/>
      <c r="G18" s="3725"/>
      <c r="H18" s="3725"/>
      <c r="I18" s="3725"/>
      <c r="J18" s="215"/>
      <c r="K18" s="215"/>
      <c r="L18" s="215"/>
      <c r="M18" s="215"/>
      <c r="N18" s="215"/>
      <c r="O18" s="215"/>
      <c r="P18" s="215"/>
      <c r="Q18" s="215"/>
      <c r="R18" s="215"/>
      <c r="S18" s="215"/>
      <c r="T18" s="215"/>
      <c r="U18" s="215"/>
      <c r="V18" s="215"/>
      <c r="W18" s="215"/>
      <c r="X18" s="215"/>
      <c r="Y18" s="215"/>
      <c r="Z18" s="75"/>
      <c r="AA18" s="75"/>
      <c r="AB18" s="75"/>
      <c r="AC18" s="75"/>
      <c r="AD18" s="75"/>
      <c r="AE18" s="169"/>
      <c r="AF18" s="1918"/>
      <c r="AG18" s="64"/>
      <c r="AH18" s="75"/>
      <c r="AI18" s="64"/>
      <c r="AJ18" s="75"/>
      <c r="AK18" s="75"/>
      <c r="AL18" s="75"/>
      <c r="AM18" s="75"/>
      <c r="AN18" s="75"/>
      <c r="AO18" s="75"/>
      <c r="AP18" s="75"/>
      <c r="AQ18" s="75"/>
      <c r="AR18" s="75"/>
      <c r="AS18" s="75"/>
      <c r="AT18" s="75"/>
      <c r="AU18" s="86"/>
      <c r="AV18" s="86"/>
      <c r="AW18" s="86"/>
      <c r="AX18" s="75"/>
      <c r="AY18" s="75"/>
      <c r="AZ18" s="75"/>
      <c r="BA18" s="75"/>
      <c r="BB18" s="75"/>
      <c r="BC18" s="75"/>
      <c r="BD18" s="75"/>
      <c r="BE18" s="75"/>
      <c r="BF18" s="69"/>
      <c r="BG18" s="75"/>
      <c r="BH18" s="64"/>
      <c r="BI18" s="75"/>
      <c r="BJ18" s="75"/>
      <c r="BK18" s="75"/>
      <c r="BL18" s="75"/>
      <c r="BM18" s="75"/>
      <c r="BN18" s="75"/>
      <c r="BO18" s="75"/>
      <c r="BP18" s="75"/>
      <c r="BQ18" s="75"/>
      <c r="BR18" s="75"/>
      <c r="BS18" s="75"/>
      <c r="BT18" s="75"/>
      <c r="BU18" s="75"/>
      <c r="BV18" s="75"/>
      <c r="BW18" s="75"/>
      <c r="BX18" s="75"/>
      <c r="BY18" s="75"/>
      <c r="BZ18" s="75"/>
      <c r="CA18" s="75"/>
      <c r="CB18" s="75"/>
      <c r="CC18" s="75"/>
      <c r="CD18" s="75"/>
      <c r="CE18" s="75"/>
      <c r="CF18" s="75"/>
      <c r="CG18" s="75"/>
      <c r="CH18" s="75"/>
      <c r="CI18" s="75"/>
      <c r="CJ18" s="69"/>
      <c r="CK18" s="69"/>
      <c r="CL18" s="1922"/>
      <c r="CM18" s="71"/>
    </row>
    <row r="19" spans="2:91" s="72" customFormat="1" ht="15" customHeight="1">
      <c r="B19" s="1911"/>
      <c r="C19" s="64"/>
      <c r="D19" s="3756" t="s">
        <v>748</v>
      </c>
      <c r="E19" s="2445" t="str">
        <f>'CALCULS Eaux pluviales'!D25</f>
        <v>Traitement / Ponctuel</v>
      </c>
      <c r="F19" s="2444"/>
      <c r="G19" s="2444"/>
      <c r="H19" s="2444"/>
      <c r="I19" s="2444"/>
      <c r="J19" s="215"/>
      <c r="K19" s="215"/>
      <c r="L19" s="215"/>
      <c r="M19" s="215"/>
      <c r="N19" s="215"/>
      <c r="O19" s="215"/>
      <c r="P19" s="215"/>
      <c r="Q19" s="215"/>
      <c r="R19" s="215"/>
      <c r="S19" s="215"/>
      <c r="T19" s="215"/>
      <c r="U19" s="215"/>
      <c r="V19" s="215"/>
      <c r="W19" s="215"/>
      <c r="X19" s="215"/>
      <c r="Y19" s="215"/>
      <c r="Z19" s="75"/>
      <c r="AA19" s="75"/>
      <c r="AB19" s="75"/>
      <c r="AC19" s="75"/>
      <c r="AD19" s="75"/>
      <c r="AE19" s="981"/>
      <c r="AF19" s="1916"/>
      <c r="AH19" s="75"/>
      <c r="AI19" s="64"/>
      <c r="BF19" s="69"/>
      <c r="BG19" s="75"/>
      <c r="BH19" s="64"/>
      <c r="CJ19" s="69"/>
      <c r="CK19" s="69"/>
      <c r="CL19" s="1922"/>
      <c r="CM19" s="71"/>
    </row>
    <row r="20" spans="2:91" s="72" customFormat="1" ht="11.25" customHeight="1">
      <c r="B20" s="1911"/>
      <c r="C20" s="64"/>
      <c r="D20" s="3756"/>
      <c r="E20" s="3718" t="str">
        <f>'CALCULS Eaux pluviales'!F25</f>
        <v>Aucun</v>
      </c>
      <c r="F20" s="3718"/>
      <c r="G20" s="3718"/>
      <c r="H20" s="3718"/>
      <c r="I20" s="3718"/>
      <c r="J20" s="215"/>
      <c r="K20" s="215"/>
      <c r="L20" s="215"/>
      <c r="M20" s="215"/>
      <c r="N20" s="215"/>
      <c r="O20" s="215"/>
      <c r="P20" s="215"/>
      <c r="Q20" s="215"/>
      <c r="R20" s="215"/>
      <c r="S20" s="215"/>
      <c r="T20" s="215"/>
      <c r="U20" s="215"/>
      <c r="V20" s="215"/>
      <c r="W20" s="215"/>
      <c r="X20" s="215"/>
      <c r="Y20" s="215"/>
      <c r="Z20" s="75"/>
      <c r="AA20" s="75"/>
      <c r="AB20" s="75"/>
      <c r="AC20" s="75"/>
      <c r="AD20" s="75"/>
      <c r="AE20" s="981"/>
      <c r="AF20" s="1916"/>
      <c r="AG20" s="64"/>
      <c r="AH20" s="75"/>
      <c r="AI20" s="64"/>
      <c r="AJ20" s="75"/>
      <c r="AK20" s="75"/>
      <c r="AL20" s="75"/>
      <c r="AM20" s="75"/>
      <c r="AO20" s="2274"/>
      <c r="AP20" s="2275"/>
      <c r="AQ20" s="2275"/>
      <c r="AR20" s="2275"/>
      <c r="AS20" s="2275"/>
      <c r="AT20" s="2275"/>
      <c r="AU20" s="2275"/>
      <c r="AV20" s="2275"/>
      <c r="AW20" s="2275"/>
      <c r="AX20" s="2275"/>
      <c r="AY20" s="2275"/>
      <c r="AZ20" s="2275"/>
      <c r="BA20" s="2275"/>
      <c r="BB20" s="2275"/>
      <c r="BC20" s="2275"/>
      <c r="BD20" s="2275"/>
      <c r="BE20" s="2275"/>
      <c r="BF20" s="69"/>
      <c r="BG20" s="75"/>
      <c r="BH20" s="64"/>
      <c r="BI20" s="75"/>
      <c r="BJ20" s="75"/>
      <c r="BK20" s="75"/>
      <c r="BL20" s="75"/>
      <c r="BM20" s="75"/>
      <c r="BN20" s="75"/>
      <c r="BO20" s="2274"/>
      <c r="BP20" s="75"/>
      <c r="BQ20" s="75"/>
      <c r="BR20" s="75"/>
      <c r="BS20" s="75"/>
      <c r="BT20" s="75"/>
      <c r="BU20" s="75"/>
      <c r="BV20" s="75"/>
      <c r="BW20" s="75"/>
      <c r="BX20" s="75"/>
      <c r="BY20" s="75"/>
      <c r="BZ20" s="75"/>
      <c r="CA20" s="75"/>
      <c r="CB20" s="75"/>
      <c r="CC20" s="75"/>
      <c r="CD20" s="75"/>
      <c r="CE20" s="75"/>
      <c r="CF20" s="75"/>
      <c r="CG20" s="75"/>
      <c r="CH20" s="75"/>
      <c r="CI20" s="75"/>
      <c r="CJ20" s="69"/>
      <c r="CK20" s="69"/>
      <c r="CL20" s="1922"/>
      <c r="CM20" s="71"/>
    </row>
    <row r="21" spans="2:91" s="72" customFormat="1" ht="15" customHeight="1">
      <c r="B21" s="1911"/>
      <c r="C21" s="64"/>
      <c r="D21" s="3757" t="s">
        <v>748</v>
      </c>
      <c r="E21" s="2445" t="str">
        <f>'CALCULS Eaux pluviales'!D26</f>
        <v>Traitement / Autres actifs</v>
      </c>
      <c r="F21" s="2444"/>
      <c r="G21" s="2444"/>
      <c r="H21" s="2444"/>
      <c r="I21" s="2444"/>
      <c r="J21" s="215"/>
      <c r="K21" s="215"/>
      <c r="L21" s="215"/>
      <c r="M21" s="215"/>
      <c r="N21" s="215"/>
      <c r="O21" s="215"/>
      <c r="P21" s="215"/>
      <c r="Q21" s="215"/>
      <c r="R21" s="215"/>
      <c r="S21" s="215"/>
      <c r="T21" s="215"/>
      <c r="U21" s="215"/>
      <c r="V21" s="215"/>
      <c r="W21" s="215"/>
      <c r="X21" s="215"/>
      <c r="Y21" s="215"/>
      <c r="Z21" s="75"/>
      <c r="AA21" s="75"/>
      <c r="AB21" s="75"/>
      <c r="AC21" s="75"/>
      <c r="AD21" s="75"/>
      <c r="AE21" s="981"/>
      <c r="AF21" s="1916"/>
      <c r="AG21" s="64"/>
      <c r="AH21" s="75"/>
      <c r="AI21" s="1031"/>
      <c r="AJ21" s="75"/>
      <c r="AK21" s="75"/>
      <c r="AL21" s="75"/>
      <c r="AM21" s="75"/>
      <c r="AO21" s="2274"/>
      <c r="AP21" s="2275"/>
      <c r="AQ21" s="2275"/>
      <c r="AR21" s="2275"/>
      <c r="AS21" s="2275"/>
      <c r="AT21" s="2275"/>
      <c r="AU21" s="2275"/>
      <c r="AV21" s="2275"/>
      <c r="AW21" s="2275"/>
      <c r="AX21" s="2275"/>
      <c r="AY21" s="2275"/>
      <c r="AZ21" s="2275"/>
      <c r="BA21" s="2275"/>
      <c r="BB21" s="2275"/>
      <c r="BC21" s="2275"/>
      <c r="BD21" s="2275"/>
      <c r="BE21" s="2275"/>
      <c r="BF21" s="996"/>
      <c r="BH21" s="1031"/>
      <c r="BI21" s="75"/>
      <c r="BJ21" s="75"/>
      <c r="BK21" s="75"/>
      <c r="BL21" s="75"/>
      <c r="BM21" s="75"/>
      <c r="BN21" s="75"/>
      <c r="BO21" s="2274"/>
      <c r="BP21" s="75"/>
      <c r="BQ21" s="75"/>
      <c r="BR21" s="75"/>
      <c r="BS21" s="75"/>
      <c r="BT21" s="75"/>
      <c r="BU21" s="75"/>
      <c r="BV21" s="75"/>
      <c r="BW21" s="75"/>
      <c r="BX21" s="75"/>
      <c r="BY21" s="75"/>
      <c r="BZ21" s="75"/>
      <c r="CA21" s="75"/>
      <c r="CB21" s="75"/>
      <c r="CC21" s="75"/>
      <c r="CD21" s="75"/>
      <c r="CE21" s="75"/>
      <c r="CF21" s="75"/>
      <c r="CG21" s="75"/>
      <c r="CH21" s="75"/>
      <c r="CI21" s="75"/>
      <c r="CJ21" s="69"/>
      <c r="CK21" s="69"/>
      <c r="CL21" s="1922"/>
      <c r="CM21" s="71"/>
    </row>
    <row r="22" spans="2:91" s="72" customFormat="1" ht="11.25" customHeight="1">
      <c r="B22" s="1911"/>
      <c r="C22" s="64"/>
      <c r="D22" s="3757"/>
      <c r="E22" s="3718" t="str">
        <f>'CALCULS Eaux pluviales'!F26</f>
        <v>Aucun</v>
      </c>
      <c r="F22" s="3718"/>
      <c r="G22" s="3718"/>
      <c r="H22" s="3718"/>
      <c r="I22" s="3718"/>
      <c r="J22" s="215"/>
      <c r="K22" s="215"/>
      <c r="L22" s="215"/>
      <c r="M22" s="215"/>
      <c r="N22" s="215"/>
      <c r="O22" s="215"/>
      <c r="P22" s="215"/>
      <c r="Q22" s="215"/>
      <c r="R22" s="215"/>
      <c r="S22" s="215"/>
      <c r="T22" s="215"/>
      <c r="U22" s="215"/>
      <c r="V22" s="215"/>
      <c r="W22" s="215"/>
      <c r="X22" s="215"/>
      <c r="Y22" s="215"/>
      <c r="Z22" s="75"/>
      <c r="AA22" s="75"/>
      <c r="AB22" s="75"/>
      <c r="AC22" s="75"/>
      <c r="AD22" s="75"/>
      <c r="AE22" s="981"/>
      <c r="AF22" s="1916"/>
      <c r="AG22" s="64"/>
      <c r="AH22" s="75"/>
      <c r="AI22" s="1031"/>
      <c r="AJ22" s="75"/>
      <c r="AK22" s="75"/>
      <c r="AL22" s="75"/>
      <c r="AM22" s="75"/>
      <c r="AO22" s="2274"/>
      <c r="AP22" s="2275"/>
      <c r="AQ22" s="2275"/>
      <c r="AR22" s="2275"/>
      <c r="AS22" s="2275"/>
      <c r="AT22" s="2275"/>
      <c r="AU22" s="2275"/>
      <c r="AV22" s="2275"/>
      <c r="AW22" s="2275"/>
      <c r="AX22" s="2275"/>
      <c r="AY22" s="2275"/>
      <c r="AZ22" s="2275"/>
      <c r="BA22" s="2275"/>
      <c r="BB22" s="2275"/>
      <c r="BC22" s="2275"/>
      <c r="BD22" s="2275"/>
      <c r="BE22" s="2275"/>
      <c r="BF22" s="996"/>
      <c r="BH22" s="1031"/>
      <c r="BI22" s="75"/>
      <c r="BJ22" s="75"/>
      <c r="BK22" s="75"/>
      <c r="BL22" s="75"/>
      <c r="BM22" s="75"/>
      <c r="BN22" s="75"/>
      <c r="BO22" s="2274"/>
      <c r="BP22" s="75"/>
      <c r="BQ22" s="75"/>
      <c r="BR22" s="75"/>
      <c r="BS22" s="75"/>
      <c r="BT22" s="75"/>
      <c r="BU22" s="75"/>
      <c r="BV22" s="75"/>
      <c r="BW22" s="75"/>
      <c r="BX22" s="75"/>
      <c r="BY22" s="75"/>
      <c r="BZ22" s="75"/>
      <c r="CA22" s="75"/>
      <c r="CB22" s="75"/>
      <c r="CC22" s="75"/>
      <c r="CD22" s="75"/>
      <c r="CE22" s="75"/>
      <c r="CF22" s="75"/>
      <c r="CG22" s="75"/>
      <c r="CH22" s="75"/>
      <c r="CI22" s="75"/>
      <c r="CJ22" s="69"/>
      <c r="CK22" s="69"/>
      <c r="CL22" s="1922"/>
      <c r="CM22" s="71"/>
    </row>
    <row r="23" spans="2:91" s="72" customFormat="1" ht="15" customHeight="1">
      <c r="B23" s="1911"/>
      <c r="C23" s="64"/>
      <c r="D23" s="3754" t="s">
        <v>748</v>
      </c>
      <c r="E23" s="2445" t="str">
        <f>'CALCULS Eaux pluviales'!D23</f>
        <v>Collecte / Autres actifs</v>
      </c>
      <c r="F23" s="2444"/>
      <c r="G23" s="2444"/>
      <c r="H23" s="215"/>
      <c r="I23" s="215"/>
      <c r="J23" s="215"/>
      <c r="K23" s="215"/>
      <c r="L23" s="215"/>
      <c r="M23" s="215"/>
      <c r="N23" s="215"/>
      <c r="O23" s="215"/>
      <c r="P23" s="215"/>
      <c r="Q23" s="215"/>
      <c r="R23" s="215"/>
      <c r="S23" s="215"/>
      <c r="T23" s="215"/>
      <c r="U23" s="215"/>
      <c r="V23" s="215"/>
      <c r="W23" s="215"/>
      <c r="X23" s="215"/>
      <c r="Y23" s="215"/>
      <c r="Z23" s="75"/>
      <c r="AA23" s="75"/>
      <c r="AB23" s="75"/>
      <c r="AC23" s="75"/>
      <c r="AD23" s="75"/>
      <c r="AE23" s="981"/>
      <c r="AF23" s="1916"/>
      <c r="AG23" s="64"/>
      <c r="AH23" s="75"/>
      <c r="AI23" s="1031"/>
      <c r="AJ23" s="75"/>
      <c r="AK23" s="75"/>
      <c r="AL23" s="75"/>
      <c r="AM23" s="75"/>
      <c r="AO23" s="2274"/>
      <c r="AP23" s="2275"/>
      <c r="AQ23" s="2275"/>
      <c r="AR23" s="2275"/>
      <c r="AS23" s="2275"/>
      <c r="AT23" s="2275"/>
      <c r="AU23" s="2275"/>
      <c r="AV23" s="2275"/>
      <c r="AW23" s="2275"/>
      <c r="AX23" s="2275"/>
      <c r="AY23" s="2275"/>
      <c r="AZ23" s="2275"/>
      <c r="BA23" s="2275"/>
      <c r="BB23" s="2275"/>
      <c r="BC23" s="2275"/>
      <c r="BD23" s="2275"/>
      <c r="BE23" s="2275"/>
      <c r="BF23" s="996"/>
      <c r="BH23" s="1031"/>
      <c r="BI23" s="75"/>
      <c r="BJ23" s="75"/>
      <c r="BK23" s="75"/>
      <c r="BL23" s="75"/>
      <c r="BM23" s="75"/>
      <c r="BN23" s="75"/>
      <c r="BO23" s="2274"/>
      <c r="BP23" s="75"/>
      <c r="BQ23" s="75"/>
      <c r="BR23" s="75"/>
      <c r="BS23" s="75"/>
      <c r="BT23" s="75"/>
      <c r="BU23" s="75"/>
      <c r="BV23" s="75"/>
      <c r="BW23" s="75"/>
      <c r="BX23" s="75"/>
      <c r="BY23" s="75"/>
      <c r="BZ23" s="75"/>
      <c r="CA23" s="75"/>
      <c r="CB23" s="75"/>
      <c r="CC23" s="75"/>
      <c r="CD23" s="75"/>
      <c r="CE23" s="75"/>
      <c r="CF23" s="75"/>
      <c r="CG23" s="75"/>
      <c r="CH23" s="75"/>
      <c r="CI23" s="75"/>
      <c r="CJ23" s="69"/>
      <c r="CK23" s="69"/>
      <c r="CL23" s="1922"/>
      <c r="CM23" s="71"/>
    </row>
    <row r="24" spans="2:91" s="72" customFormat="1" ht="11.25" customHeight="1">
      <c r="B24" s="1911"/>
      <c r="C24" s="64"/>
      <c r="D24" s="3754"/>
      <c r="E24" s="3718" t="str">
        <f>'CALCULS Eaux pluviales'!F23</f>
        <v>Aucun</v>
      </c>
      <c r="F24" s="3718"/>
      <c r="G24" s="3718"/>
      <c r="H24" s="3718"/>
      <c r="I24" s="3718"/>
      <c r="J24" s="215"/>
      <c r="K24" s="215"/>
      <c r="L24" s="215"/>
      <c r="M24" s="215"/>
      <c r="N24" s="215"/>
      <c r="O24" s="215"/>
      <c r="P24" s="215"/>
      <c r="Q24" s="215"/>
      <c r="R24" s="215"/>
      <c r="S24" s="215"/>
      <c r="T24" s="215"/>
      <c r="U24" s="215"/>
      <c r="V24" s="215"/>
      <c r="W24" s="215"/>
      <c r="X24" s="215"/>
      <c r="Y24" s="215"/>
      <c r="Z24" s="75"/>
      <c r="AA24" s="75"/>
      <c r="AB24" s="75"/>
      <c r="AC24" s="75"/>
      <c r="AD24" s="75"/>
      <c r="AE24" s="981"/>
      <c r="AF24" s="1916"/>
      <c r="AG24" s="64"/>
      <c r="AH24" s="75"/>
      <c r="AI24" s="1031" t="s">
        <v>35</v>
      </c>
      <c r="AJ24" s="75"/>
      <c r="AK24" s="75"/>
      <c r="AL24" s="75"/>
      <c r="AM24" s="75"/>
      <c r="AO24" s="2274" t="str">
        <f>'CALCULS Eaux pluviales'!E36</f>
        <v/>
      </c>
      <c r="AP24" s="2275"/>
      <c r="AQ24" s="2275"/>
      <c r="AR24" s="2275"/>
      <c r="AS24" s="2275"/>
      <c r="AT24" s="2275"/>
      <c r="AU24" s="2275"/>
      <c r="AV24" s="2275"/>
      <c r="AW24" s="2275"/>
      <c r="AX24" s="2275"/>
      <c r="AY24" s="2275"/>
      <c r="AZ24" s="2275"/>
      <c r="BA24" s="2275"/>
      <c r="BB24" s="2275"/>
      <c r="BC24" s="2275"/>
      <c r="BD24" s="2275"/>
      <c r="BE24" s="2275"/>
      <c r="BF24" s="996"/>
      <c r="BH24" s="1031" t="s">
        <v>35</v>
      </c>
      <c r="BI24" s="75"/>
      <c r="BJ24" s="75"/>
      <c r="BK24" s="75"/>
      <c r="BL24" s="75"/>
      <c r="BM24" s="75"/>
      <c r="BN24" s="75"/>
      <c r="BO24" s="2274" t="str">
        <f>'CALCULS Eaux pluviales'!E44</f>
        <v/>
      </c>
      <c r="BP24" s="75"/>
      <c r="BQ24" s="75"/>
      <c r="BR24" s="75"/>
      <c r="BS24" s="75"/>
      <c r="BT24" s="75"/>
      <c r="BU24" s="75"/>
      <c r="BV24" s="75"/>
      <c r="BW24" s="75"/>
      <c r="BX24" s="75"/>
      <c r="BY24" s="75"/>
      <c r="BZ24" s="75"/>
      <c r="CA24" s="75"/>
      <c r="CB24" s="75"/>
      <c r="CC24" s="75"/>
      <c r="CD24" s="75"/>
      <c r="CE24" s="75"/>
      <c r="CF24" s="75"/>
      <c r="CG24" s="75"/>
      <c r="CH24" s="75"/>
      <c r="CI24" s="75"/>
      <c r="CJ24" s="69"/>
      <c r="CK24" s="69"/>
      <c r="CL24" s="1922"/>
      <c r="CM24" s="71"/>
    </row>
    <row r="25" spans="2:91" s="72" customFormat="1" ht="11.25" customHeight="1">
      <c r="B25" s="1911"/>
      <c r="C25" s="64"/>
      <c r="D25" s="215"/>
      <c r="E25" s="215"/>
      <c r="F25" s="215"/>
      <c r="G25" s="215"/>
      <c r="H25" s="215"/>
      <c r="I25" s="215"/>
      <c r="J25" s="215"/>
      <c r="K25" s="215"/>
      <c r="L25" s="215"/>
      <c r="M25" s="215"/>
      <c r="N25" s="215"/>
      <c r="O25" s="215"/>
      <c r="P25" s="215"/>
      <c r="Q25" s="215"/>
      <c r="R25" s="215"/>
      <c r="S25" s="215"/>
      <c r="T25" s="215"/>
      <c r="U25" s="215"/>
      <c r="V25" s="215"/>
      <c r="W25" s="215"/>
      <c r="X25" s="215"/>
      <c r="Y25" s="215"/>
      <c r="Z25" s="75"/>
      <c r="AA25" s="75"/>
      <c r="AB25" s="75"/>
      <c r="AC25" s="75"/>
      <c r="AD25" s="75"/>
      <c r="AE25" s="981"/>
      <c r="AF25" s="1916"/>
      <c r="AG25" s="64"/>
      <c r="AH25" s="75"/>
      <c r="AI25" s="998"/>
      <c r="AJ25" s="3673">
        <f>'CALCULS Eaux pluviales'!L54</f>
        <v>0</v>
      </c>
      <c r="AK25" s="3673"/>
      <c r="AL25" s="3673"/>
      <c r="AM25" s="75"/>
      <c r="AN25" s="75"/>
      <c r="AO25" s="75"/>
      <c r="AP25" s="75"/>
      <c r="AQ25" s="75"/>
      <c r="AR25" s="75"/>
      <c r="AS25" s="75"/>
      <c r="AT25" s="75"/>
      <c r="AU25" s="86"/>
      <c r="AV25" s="86"/>
      <c r="AW25" s="86"/>
      <c r="AX25" s="75"/>
      <c r="AY25" s="75"/>
      <c r="AZ25" s="75"/>
      <c r="BA25" s="75"/>
      <c r="BB25" s="75"/>
      <c r="BC25" s="75"/>
      <c r="BD25" s="75"/>
      <c r="BE25" s="75"/>
      <c r="BF25" s="996"/>
      <c r="BH25" s="998"/>
      <c r="BI25" s="3673">
        <f>'CALCULS Eaux pluviales'!L56</f>
        <v>0</v>
      </c>
      <c r="BJ25" s="3673"/>
      <c r="BK25" s="3673"/>
      <c r="BL25" s="75"/>
      <c r="BM25" s="75"/>
      <c r="BN25" s="75"/>
      <c r="BO25" s="75"/>
      <c r="BP25" s="75"/>
      <c r="BQ25" s="75"/>
      <c r="BR25" s="75"/>
      <c r="BS25" s="75"/>
      <c r="BT25" s="75"/>
      <c r="BU25" s="75"/>
      <c r="BV25" s="75"/>
      <c r="BW25" s="75"/>
      <c r="BX25" s="75"/>
      <c r="BY25" s="75"/>
      <c r="BZ25" s="75"/>
      <c r="CA25" s="75"/>
      <c r="CB25" s="75"/>
      <c r="CC25" s="75"/>
      <c r="CD25" s="75"/>
      <c r="CE25" s="75"/>
      <c r="CF25" s="75"/>
      <c r="CG25" s="75"/>
      <c r="CH25" s="75"/>
      <c r="CI25" s="75"/>
      <c r="CJ25" s="69"/>
      <c r="CK25" s="69"/>
      <c r="CL25" s="1922"/>
      <c r="CM25" s="71"/>
    </row>
    <row r="26" spans="2:91" ht="18" customHeight="1">
      <c r="B26" s="1910"/>
      <c r="C26" s="50"/>
      <c r="D26" s="2760" t="s">
        <v>751</v>
      </c>
      <c r="E26" s="2761"/>
      <c r="F26" s="2761"/>
      <c r="G26" s="2761"/>
      <c r="H26" s="2761"/>
      <c r="I26" s="2762"/>
      <c r="J26" s="215"/>
      <c r="K26" s="215"/>
      <c r="L26" s="215"/>
      <c r="M26" s="215"/>
      <c r="N26" s="215"/>
      <c r="O26" s="215"/>
      <c r="P26" s="215"/>
      <c r="Q26" s="215"/>
      <c r="R26" s="215"/>
      <c r="S26" s="215"/>
      <c r="T26" s="215"/>
      <c r="U26" s="215"/>
      <c r="V26" s="215"/>
      <c r="W26" s="215"/>
      <c r="X26" s="215"/>
      <c r="Y26" s="215"/>
      <c r="Z26" s="215"/>
      <c r="AA26" s="215"/>
      <c r="AB26" s="215"/>
      <c r="AC26" s="215"/>
      <c r="AD26" s="215"/>
      <c r="AE26" s="114"/>
      <c r="AF26" s="1914"/>
      <c r="AG26" s="50"/>
      <c r="AH26" s="59"/>
      <c r="AI26" s="50"/>
      <c r="AJ26" s="3673"/>
      <c r="AK26" s="3673"/>
      <c r="AL26" s="3673"/>
      <c r="AM26" s="59"/>
      <c r="AN26" s="59"/>
      <c r="AO26" s="59"/>
      <c r="AP26" s="59"/>
      <c r="AQ26" s="59"/>
      <c r="AR26" s="59"/>
      <c r="AS26" s="59"/>
      <c r="AT26" s="59"/>
      <c r="AU26" s="59"/>
      <c r="AV26" s="59"/>
      <c r="AW26" s="59"/>
      <c r="AX26" s="59"/>
      <c r="AY26" s="59"/>
      <c r="AZ26" s="59"/>
      <c r="BA26" s="59"/>
      <c r="BB26" s="59"/>
      <c r="BC26" s="59"/>
      <c r="BD26" s="59"/>
      <c r="BE26" s="59"/>
      <c r="BF26" s="61"/>
      <c r="BG26" s="59"/>
      <c r="BH26" s="50"/>
      <c r="BI26" s="3673"/>
      <c r="BJ26" s="3673"/>
      <c r="BK26" s="3673"/>
      <c r="BL26" s="59"/>
      <c r="BM26" s="59"/>
      <c r="BN26" s="59"/>
      <c r="BO26" s="59"/>
      <c r="BP26" s="59"/>
      <c r="BQ26" s="59"/>
      <c r="BR26" s="59"/>
      <c r="BS26" s="59"/>
      <c r="BT26" s="59"/>
      <c r="BU26" s="59"/>
      <c r="BV26" s="59"/>
      <c r="BW26" s="59"/>
      <c r="BX26" s="59"/>
      <c r="BY26" s="59"/>
      <c r="BZ26" s="59"/>
      <c r="CA26" s="59"/>
      <c r="CB26" s="59"/>
      <c r="CC26" s="59"/>
      <c r="CD26" s="59"/>
      <c r="CE26" s="59"/>
      <c r="CF26" s="59"/>
      <c r="CG26" s="59"/>
      <c r="CH26" s="59"/>
      <c r="CI26" s="59"/>
      <c r="CJ26" s="61"/>
      <c r="CK26" s="61"/>
      <c r="CL26" s="1921"/>
      <c r="CM26" s="43"/>
    </row>
    <row r="27" spans="2:91" ht="15.75" customHeight="1">
      <c r="B27" s="1910"/>
      <c r="C27" s="50"/>
      <c r="D27" s="2763" t="str">
        <f>IF('FORMULAIRE PGA Eaux pluviales'!G157="oui","Certains actifs de la municipalité inclus ci-dessus, sont en mode partagé, soit:","Aucun des actifs inclus ci-dessus n'est en mode partagé")</f>
        <v>Aucun des actifs inclus ci-dessus n'est en mode partagé</v>
      </c>
      <c r="E27" s="2763"/>
      <c r="F27" s="2764"/>
      <c r="G27" s="2764"/>
      <c r="H27" s="2764"/>
      <c r="I27" s="2765"/>
      <c r="J27" s="2765"/>
      <c r="K27" s="2765"/>
      <c r="L27" s="2765"/>
      <c r="M27" s="2765"/>
      <c r="N27" s="2765"/>
      <c r="O27" s="2765"/>
      <c r="P27" s="2765"/>
      <c r="Q27" s="2765"/>
      <c r="R27" s="2765"/>
      <c r="S27" s="2765"/>
      <c r="T27" s="2765"/>
      <c r="U27" s="2765"/>
      <c r="V27" s="2765"/>
      <c r="W27" s="2765"/>
      <c r="X27" s="2765"/>
      <c r="Y27" s="2765"/>
      <c r="Z27" s="2765"/>
      <c r="AA27" s="2765"/>
      <c r="AB27" s="2765"/>
      <c r="AC27" s="2765"/>
      <c r="AD27" s="2768"/>
      <c r="AE27" s="114"/>
      <c r="AF27" s="1914"/>
      <c r="AG27" s="50"/>
      <c r="AH27" s="59"/>
      <c r="AI27" s="50"/>
      <c r="AJ27" s="59"/>
      <c r="AK27" s="59"/>
      <c r="AL27" s="59"/>
      <c r="AM27" s="59"/>
      <c r="AN27" s="59"/>
      <c r="AO27" s="59"/>
      <c r="AP27" s="59"/>
      <c r="AQ27" s="59"/>
      <c r="AR27" s="59"/>
      <c r="AS27" s="59"/>
      <c r="AT27" s="59"/>
      <c r="AU27" s="59"/>
      <c r="AV27" s="59"/>
      <c r="AW27" s="59"/>
      <c r="AX27" s="59"/>
      <c r="AY27" s="59"/>
      <c r="AZ27" s="59"/>
      <c r="BA27" s="59"/>
      <c r="BB27" s="59"/>
      <c r="BC27" s="59"/>
      <c r="BD27" s="59"/>
      <c r="BE27" s="59"/>
      <c r="BF27" s="61"/>
      <c r="BG27" s="59"/>
      <c r="BH27" s="50"/>
      <c r="BI27" s="59"/>
      <c r="BJ27" s="59"/>
      <c r="BK27" s="59"/>
      <c r="BL27" s="59"/>
      <c r="BM27" s="59"/>
      <c r="BN27" s="59"/>
      <c r="BO27" s="59"/>
      <c r="BP27" s="59"/>
      <c r="BQ27" s="59"/>
      <c r="BR27" s="59"/>
      <c r="BS27" s="59"/>
      <c r="BT27" s="59"/>
      <c r="BU27" s="59"/>
      <c r="BV27" s="59"/>
      <c r="BW27" s="59"/>
      <c r="BX27" s="59"/>
      <c r="BY27" s="59"/>
      <c r="BZ27" s="59"/>
      <c r="CA27" s="59"/>
      <c r="CB27" s="59"/>
      <c r="CC27" s="59"/>
      <c r="CD27" s="59"/>
      <c r="CE27" s="59"/>
      <c r="CF27" s="59"/>
      <c r="CG27" s="59"/>
      <c r="CH27" s="59"/>
      <c r="CI27" s="59"/>
      <c r="CJ27" s="61"/>
      <c r="CK27" s="61"/>
      <c r="CL27" s="1921"/>
      <c r="CM27" s="43"/>
    </row>
    <row r="28" spans="2:91" ht="15.75" customHeight="1">
      <c r="B28" s="1910"/>
      <c r="C28" s="50"/>
      <c r="D28" s="2766"/>
      <c r="E28" s="2766"/>
      <c r="F28" s="2767" t="s">
        <v>107</v>
      </c>
      <c r="G28" s="2767"/>
      <c r="H28" s="2767"/>
      <c r="I28" s="2765"/>
      <c r="J28" s="2765"/>
      <c r="K28" s="2765"/>
      <c r="L28" s="2767" t="str">
        <f>IF(('FORMULAIRE PGA Eaux pluviales'!$H$120='MENU DÉROULANT'!$C$57),"(Aucun actif)","")</f>
        <v/>
      </c>
      <c r="M28" s="2765"/>
      <c r="N28" s="2765"/>
      <c r="O28" s="2765"/>
      <c r="P28" s="2765"/>
      <c r="Q28" s="2765"/>
      <c r="R28" s="2767" t="s">
        <v>108</v>
      </c>
      <c r="S28" s="2765"/>
      <c r="T28" s="2765"/>
      <c r="U28" s="2765"/>
      <c r="V28" s="2772" t="str">
        <f>IF('FORMULAIRE PGA Eaux pluviales'!M73='MENU DÉROULANT'!C66," (Non applicable)","")</f>
        <v/>
      </c>
      <c r="W28" s="2767"/>
      <c r="X28" s="2765"/>
      <c r="Y28" s="2765"/>
      <c r="Z28" s="2765"/>
      <c r="AA28" s="2765"/>
      <c r="AB28" s="2774"/>
      <c r="AC28" s="2773" t="str">
        <f>IF(('FORMULAIRE PGA Eaux pluviales'!$H$81='MENU DÉROULANT'!$F$57),"(Aucun actif)","")</f>
        <v/>
      </c>
      <c r="AD28" s="2768"/>
      <c r="AE28" s="114"/>
      <c r="AF28" s="1914"/>
      <c r="AG28" s="50"/>
      <c r="AH28" s="59"/>
      <c r="AI28" s="50"/>
      <c r="AJ28" s="59"/>
      <c r="AK28" s="59"/>
      <c r="AL28" s="59"/>
      <c r="AM28" s="59"/>
      <c r="AN28" s="59"/>
      <c r="AO28" s="59"/>
      <c r="AP28" s="59"/>
      <c r="AQ28" s="59"/>
      <c r="AR28" s="59"/>
      <c r="AS28" s="59"/>
      <c r="AT28" s="59"/>
      <c r="AU28" s="59"/>
      <c r="AV28" s="59"/>
      <c r="AW28" s="59"/>
      <c r="AX28" s="59"/>
      <c r="AY28" s="59"/>
      <c r="AZ28" s="59"/>
      <c r="BA28" s="59"/>
      <c r="BB28" s="59"/>
      <c r="BC28" s="59"/>
      <c r="BD28" s="59"/>
      <c r="BE28" s="59"/>
      <c r="BF28" s="61"/>
      <c r="BG28" s="59"/>
      <c r="BH28" s="50"/>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59"/>
      <c r="CI28" s="59"/>
      <c r="CJ28" s="61"/>
      <c r="CK28" s="61"/>
      <c r="CL28" s="1921"/>
      <c r="CM28" s="43"/>
    </row>
    <row r="29" spans="2:91" ht="13.5" customHeight="1">
      <c r="B29" s="1910"/>
      <c r="C29" s="50"/>
      <c r="D29" s="2766"/>
      <c r="E29" s="2769" t="s">
        <v>58</v>
      </c>
      <c r="F29" s="3691" t="str">
        <f>IF(ISBLANK('FORMULAIRE PGA Eaux pluviales'!G160)=TRUE,"",CONCATENATE('FORMULAIRE PGA Eaux pluviales'!G160,"; ",'FORMULAIRE PGA Eaux pluviales'!K160))</f>
        <v/>
      </c>
      <c r="G29" s="3692"/>
      <c r="H29" s="3692"/>
      <c r="I29" s="3692"/>
      <c r="J29" s="3692"/>
      <c r="K29" s="3692"/>
      <c r="L29" s="3692"/>
      <c r="M29" s="3692"/>
      <c r="N29" s="3692"/>
      <c r="O29" s="3692"/>
      <c r="P29" s="3692"/>
      <c r="Q29" s="3693"/>
      <c r="R29" s="3691" t="str">
        <f>IF(ISBLANK('FORMULAIRE PGA Eaux pluviales'!G163)=TRUE,"",CONCATENATE('FORMULAIRE PGA Eaux pluviales'!G163,"; ",'FORMULAIRE PGA Eaux pluviales'!K163))</f>
        <v/>
      </c>
      <c r="S29" s="3692"/>
      <c r="T29" s="3692"/>
      <c r="U29" s="3692"/>
      <c r="V29" s="3692"/>
      <c r="W29" s="3692"/>
      <c r="X29" s="3692"/>
      <c r="Y29" s="3692"/>
      <c r="Z29" s="3692"/>
      <c r="AA29" s="3692"/>
      <c r="AB29" s="3692"/>
      <c r="AC29" s="3693"/>
      <c r="AD29" s="2768"/>
      <c r="AE29" s="114"/>
      <c r="AF29" s="1914"/>
      <c r="AG29" s="50"/>
      <c r="AH29" s="59"/>
      <c r="AI29" s="50"/>
      <c r="AJ29" s="59"/>
      <c r="AK29" s="59"/>
      <c r="AL29" s="59"/>
      <c r="AM29" s="59"/>
      <c r="AN29" s="59"/>
      <c r="AO29" s="59"/>
      <c r="AP29" s="59"/>
      <c r="AQ29" s="59"/>
      <c r="AR29" s="59"/>
      <c r="AS29" s="59"/>
      <c r="AT29" s="59"/>
      <c r="AU29" s="59"/>
      <c r="AV29" s="59"/>
      <c r="AW29" s="59"/>
      <c r="AX29" s="59"/>
      <c r="AY29" s="59"/>
      <c r="AZ29" s="59"/>
      <c r="BA29" s="59"/>
      <c r="BB29" s="59"/>
      <c r="BC29" s="59"/>
      <c r="BD29" s="59"/>
      <c r="BE29" s="59"/>
      <c r="BF29" s="61"/>
      <c r="BG29" s="59"/>
      <c r="BH29" s="50"/>
      <c r="BI29" s="59"/>
      <c r="BJ29" s="59"/>
      <c r="BK29" s="59"/>
      <c r="BL29" s="59"/>
      <c r="BM29" s="59"/>
      <c r="BN29" s="59"/>
      <c r="BO29" s="59"/>
      <c r="BP29" s="59"/>
      <c r="BQ29" s="59"/>
      <c r="BR29" s="59"/>
      <c r="BS29" s="59"/>
      <c r="BT29" s="59"/>
      <c r="BU29" s="59"/>
      <c r="BV29" s="59"/>
      <c r="BW29" s="59"/>
      <c r="BX29" s="59"/>
      <c r="BY29" s="59"/>
      <c r="BZ29" s="59"/>
      <c r="CA29" s="59"/>
      <c r="CB29" s="59"/>
      <c r="CC29" s="59"/>
      <c r="CD29" s="59"/>
      <c r="CE29" s="59"/>
      <c r="CF29" s="59"/>
      <c r="CG29" s="59"/>
      <c r="CH29" s="59"/>
      <c r="CI29" s="59"/>
      <c r="CJ29" s="61"/>
      <c r="CK29" s="61"/>
      <c r="CL29" s="1921"/>
      <c r="CM29" s="43"/>
    </row>
    <row r="30" spans="2:91" ht="13.5" customHeight="1">
      <c r="B30" s="1910"/>
      <c r="C30" s="50"/>
      <c r="D30" s="2766"/>
      <c r="E30" s="2769" t="s">
        <v>59</v>
      </c>
      <c r="F30" s="3691" t="str">
        <f>IF(ISBLANK('FORMULAIRE PGA Eaux pluviales'!G161)=TRUE,"",CONCATENATE('FORMULAIRE PGA Eaux pluviales'!G161,"; ",'FORMULAIRE PGA Eaux pluviales'!K161))</f>
        <v/>
      </c>
      <c r="G30" s="3692"/>
      <c r="H30" s="3692"/>
      <c r="I30" s="3692"/>
      <c r="J30" s="3692"/>
      <c r="K30" s="3692"/>
      <c r="L30" s="3692"/>
      <c r="M30" s="3692"/>
      <c r="N30" s="3692"/>
      <c r="O30" s="3692"/>
      <c r="P30" s="3692"/>
      <c r="Q30" s="3693"/>
      <c r="R30" s="3691" t="str">
        <f>IF(ISBLANK('FORMULAIRE PGA Eaux pluviales'!G164)=TRUE,"",CONCATENATE('FORMULAIRE PGA Eaux pluviales'!G164,"; ",'FORMULAIRE PGA Eaux pluviales'!K164))</f>
        <v/>
      </c>
      <c r="S30" s="3692"/>
      <c r="T30" s="3692"/>
      <c r="U30" s="3692"/>
      <c r="V30" s="3692"/>
      <c r="W30" s="3692"/>
      <c r="X30" s="3692"/>
      <c r="Y30" s="3692"/>
      <c r="Z30" s="3692"/>
      <c r="AA30" s="3692"/>
      <c r="AB30" s="3692"/>
      <c r="AC30" s="3693"/>
      <c r="AD30" s="2768"/>
      <c r="AE30" s="114"/>
      <c r="AF30" s="1914"/>
      <c r="AG30" s="50"/>
      <c r="AH30" s="59"/>
      <c r="AI30" s="50"/>
      <c r="AJ30" s="59"/>
      <c r="AK30" s="59"/>
      <c r="AL30" s="59"/>
      <c r="AM30" s="59"/>
      <c r="AN30" s="59"/>
      <c r="AO30" s="59"/>
      <c r="AP30" s="59"/>
      <c r="AQ30" s="59"/>
      <c r="AR30" s="59"/>
      <c r="AS30" s="59"/>
      <c r="AT30" s="59"/>
      <c r="AU30" s="59"/>
      <c r="AV30" s="59"/>
      <c r="AW30" s="59"/>
      <c r="AX30" s="59"/>
      <c r="AY30" s="59"/>
      <c r="AZ30" s="59"/>
      <c r="BA30" s="59"/>
      <c r="BB30" s="59"/>
      <c r="BC30" s="59"/>
      <c r="BD30" s="59"/>
      <c r="BE30" s="59"/>
      <c r="BF30" s="61"/>
      <c r="BG30" s="59"/>
      <c r="BH30" s="50"/>
      <c r="BI30" s="59"/>
      <c r="BJ30" s="59"/>
      <c r="BK30" s="59"/>
      <c r="BL30" s="59"/>
      <c r="BM30" s="59"/>
      <c r="BN30" s="59"/>
      <c r="BO30" s="59"/>
      <c r="BP30" s="59"/>
      <c r="BQ30" s="59"/>
      <c r="BR30" s="59"/>
      <c r="BS30" s="59"/>
      <c r="BT30" s="59"/>
      <c r="BU30" s="59"/>
      <c r="BV30" s="59"/>
      <c r="BW30" s="59"/>
      <c r="BX30" s="59"/>
      <c r="BY30" s="59"/>
      <c r="BZ30" s="59"/>
      <c r="CA30" s="59"/>
      <c r="CB30" s="59"/>
      <c r="CC30" s="59"/>
      <c r="CD30" s="59"/>
      <c r="CE30" s="59"/>
      <c r="CF30" s="59"/>
      <c r="CG30" s="59"/>
      <c r="CH30" s="59"/>
      <c r="CI30" s="59"/>
      <c r="CJ30" s="61"/>
      <c r="CK30" s="61"/>
      <c r="CL30" s="1921"/>
      <c r="CM30" s="43"/>
    </row>
    <row r="31" spans="2:91" ht="13.5" customHeight="1">
      <c r="B31" s="1910"/>
      <c r="C31" s="50"/>
      <c r="D31" s="2766"/>
      <c r="E31" s="2769" t="s">
        <v>752</v>
      </c>
      <c r="F31" s="3691" t="str">
        <f>IF(ISBLANK('FORMULAIRE PGA Eaux pluviales'!G162)=TRUE,"",CONCATENATE('FORMULAIRE PGA Eaux pluviales'!G162,"; ",'FORMULAIRE PGA Eaux pluviales'!K162))</f>
        <v/>
      </c>
      <c r="G31" s="3692"/>
      <c r="H31" s="3692"/>
      <c r="I31" s="3692"/>
      <c r="J31" s="3692"/>
      <c r="K31" s="3692"/>
      <c r="L31" s="3692"/>
      <c r="M31" s="3692"/>
      <c r="N31" s="3692"/>
      <c r="O31" s="3692"/>
      <c r="P31" s="3692"/>
      <c r="Q31" s="3693"/>
      <c r="R31" s="3691" t="str">
        <f>IF(ISBLANK('FORMULAIRE PGA Eaux pluviales'!G165)=TRUE,"",CONCATENATE('FORMULAIRE PGA Eaux pluviales'!G165,"; ",'FORMULAIRE PGA Eaux pluviales'!K165))</f>
        <v/>
      </c>
      <c r="S31" s="3692"/>
      <c r="T31" s="3692"/>
      <c r="U31" s="3692"/>
      <c r="V31" s="3692"/>
      <c r="W31" s="3692"/>
      <c r="X31" s="3692"/>
      <c r="Y31" s="3692"/>
      <c r="Z31" s="3692"/>
      <c r="AA31" s="3692"/>
      <c r="AB31" s="3692"/>
      <c r="AC31" s="3693"/>
      <c r="AD31" s="2768"/>
      <c r="AE31" s="114"/>
      <c r="AF31" s="1914"/>
      <c r="AG31" s="50"/>
      <c r="AH31" s="59"/>
      <c r="AI31" s="50"/>
      <c r="AJ31" s="59"/>
      <c r="AK31" s="59"/>
      <c r="AL31" s="59"/>
      <c r="AM31" s="59"/>
      <c r="AN31" s="59"/>
      <c r="AO31" s="59"/>
      <c r="AP31" s="59"/>
      <c r="AQ31" s="59"/>
      <c r="AR31" s="59"/>
      <c r="AS31" s="59"/>
      <c r="AT31" s="59"/>
      <c r="AU31" s="59"/>
      <c r="AV31" s="59"/>
      <c r="AW31" s="59"/>
      <c r="AX31" s="59"/>
      <c r="AY31" s="59"/>
      <c r="AZ31" s="59"/>
      <c r="BA31" s="59"/>
      <c r="BB31" s="59"/>
      <c r="BC31" s="59"/>
      <c r="BD31" s="59"/>
      <c r="BE31" s="59"/>
      <c r="BF31" s="61"/>
      <c r="BG31" s="59"/>
      <c r="BH31" s="50"/>
      <c r="BI31" s="59"/>
      <c r="BJ31" s="59"/>
      <c r="BK31" s="59"/>
      <c r="BL31" s="59"/>
      <c r="BM31" s="59"/>
      <c r="BN31" s="59"/>
      <c r="BO31" s="59"/>
      <c r="BP31" s="59"/>
      <c r="BQ31" s="59"/>
      <c r="BR31" s="59"/>
      <c r="BS31" s="59"/>
      <c r="BT31" s="59"/>
      <c r="BU31" s="59"/>
      <c r="BV31" s="59"/>
      <c r="BW31" s="59"/>
      <c r="BX31" s="59"/>
      <c r="BY31" s="59"/>
      <c r="BZ31" s="59"/>
      <c r="CA31" s="59"/>
      <c r="CB31" s="59"/>
      <c r="CC31" s="59"/>
      <c r="CD31" s="59"/>
      <c r="CE31" s="59"/>
      <c r="CF31" s="59"/>
      <c r="CG31" s="59"/>
      <c r="CH31" s="59"/>
      <c r="CI31" s="59"/>
      <c r="CJ31" s="61"/>
      <c r="CK31" s="61"/>
      <c r="CL31" s="1921"/>
      <c r="CM31" s="43"/>
    </row>
    <row r="32" spans="2:91" ht="9" customHeight="1">
      <c r="B32" s="1910"/>
      <c r="C32" s="50"/>
      <c r="D32" s="2770"/>
      <c r="E32" s="2770"/>
      <c r="F32" s="2770"/>
      <c r="G32" s="2770"/>
      <c r="H32" s="2770"/>
      <c r="I32" s="2770"/>
      <c r="J32" s="2770"/>
      <c r="K32" s="2770"/>
      <c r="L32" s="2770"/>
      <c r="M32" s="2770"/>
      <c r="N32" s="2770"/>
      <c r="O32" s="2770"/>
      <c r="P32" s="2770"/>
      <c r="Q32" s="2770"/>
      <c r="R32" s="2770"/>
      <c r="S32" s="2770"/>
      <c r="T32" s="2770"/>
      <c r="U32" s="2770"/>
      <c r="V32" s="2770"/>
      <c r="W32" s="2770"/>
      <c r="X32" s="2770"/>
      <c r="Y32" s="2770"/>
      <c r="Z32" s="2770"/>
      <c r="AA32" s="2770"/>
      <c r="AB32" s="2770"/>
      <c r="AC32" s="2770"/>
      <c r="AD32" s="2768"/>
      <c r="AE32" s="114"/>
      <c r="AF32" s="1914"/>
      <c r="AG32" s="50"/>
      <c r="AH32" s="59"/>
      <c r="AI32" s="91"/>
      <c r="AJ32" s="92"/>
      <c r="AK32" s="92"/>
      <c r="AL32" s="92"/>
      <c r="AM32" s="92"/>
      <c r="AN32" s="92"/>
      <c r="AO32" s="92"/>
      <c r="AP32" s="92"/>
      <c r="AQ32" s="92"/>
      <c r="AR32" s="92"/>
      <c r="AS32" s="92"/>
      <c r="AT32" s="92"/>
      <c r="AU32" s="92"/>
      <c r="AV32" s="92"/>
      <c r="AW32" s="92"/>
      <c r="AX32" s="92"/>
      <c r="AY32" s="92"/>
      <c r="AZ32" s="92"/>
      <c r="BA32" s="92"/>
      <c r="BB32" s="92"/>
      <c r="BC32" s="92"/>
      <c r="BD32" s="92"/>
      <c r="BE32" s="92"/>
      <c r="BF32" s="93"/>
      <c r="BG32" s="59"/>
      <c r="BH32" s="91"/>
      <c r="BI32" s="92"/>
      <c r="BJ32" s="92"/>
      <c r="BK32" s="92"/>
      <c r="BL32" s="92"/>
      <c r="BM32" s="92"/>
      <c r="BN32" s="92"/>
      <c r="BO32" s="92"/>
      <c r="BP32" s="92"/>
      <c r="BQ32" s="92"/>
      <c r="BR32" s="92"/>
      <c r="BS32" s="92"/>
      <c r="BT32" s="92"/>
      <c r="BU32" s="92"/>
      <c r="BV32" s="92"/>
      <c r="BW32" s="92"/>
      <c r="BX32" s="92"/>
      <c r="BY32" s="92"/>
      <c r="BZ32" s="92"/>
      <c r="CA32" s="92"/>
      <c r="CB32" s="92"/>
      <c r="CC32" s="92"/>
      <c r="CD32" s="92"/>
      <c r="CE32" s="92"/>
      <c r="CF32" s="92"/>
      <c r="CG32" s="92"/>
      <c r="CH32" s="92"/>
      <c r="CI32" s="92"/>
      <c r="CJ32" s="93"/>
      <c r="CK32" s="61"/>
      <c r="CL32" s="1921"/>
      <c r="CM32" s="43"/>
    </row>
    <row r="33" spans="2:91" ht="9" customHeight="1">
      <c r="B33" s="1910"/>
      <c r="C33" s="91"/>
      <c r="D33" s="92"/>
      <c r="E33" s="92"/>
      <c r="F33" s="92"/>
      <c r="G33" s="92"/>
      <c r="H33" s="92"/>
      <c r="I33" s="92"/>
      <c r="J33" s="92"/>
      <c r="K33" s="92"/>
      <c r="L33" s="92"/>
      <c r="M33" s="92"/>
      <c r="N33" s="92"/>
      <c r="O33" s="92"/>
      <c r="P33" s="92"/>
      <c r="Q33" s="92"/>
      <c r="R33" s="92"/>
      <c r="S33" s="92"/>
      <c r="T33" s="92"/>
      <c r="U33" s="92"/>
      <c r="V33" s="92"/>
      <c r="W33" s="92"/>
      <c r="X33" s="92"/>
      <c r="Y33" s="92"/>
      <c r="Z33" s="92"/>
      <c r="AA33" s="116"/>
      <c r="AB33" s="116"/>
      <c r="AC33" s="116"/>
      <c r="AD33" s="116"/>
      <c r="AE33" s="117"/>
      <c r="AF33" s="1914"/>
      <c r="AG33" s="91"/>
      <c r="AH33" s="92"/>
      <c r="AI33" s="92"/>
      <c r="AJ33" s="92"/>
      <c r="AK33" s="92"/>
      <c r="AL33" s="92"/>
      <c r="AM33" s="92"/>
      <c r="AN33" s="92"/>
      <c r="AO33" s="92"/>
      <c r="AP33" s="92"/>
      <c r="AQ33" s="92"/>
      <c r="AR33" s="92"/>
      <c r="AS33" s="92"/>
      <c r="AT33" s="92"/>
      <c r="AU33" s="92"/>
      <c r="AV33" s="92"/>
      <c r="AW33" s="92"/>
      <c r="AX33" s="92"/>
      <c r="AY33" s="92"/>
      <c r="AZ33" s="92"/>
      <c r="BA33" s="92"/>
      <c r="BB33" s="92"/>
      <c r="BC33" s="92"/>
      <c r="BD33" s="92"/>
      <c r="BE33" s="92"/>
      <c r="BF33" s="92"/>
      <c r="BG33" s="92"/>
      <c r="BH33" s="92"/>
      <c r="BI33" s="92"/>
      <c r="BJ33" s="92"/>
      <c r="BK33" s="92"/>
      <c r="BL33" s="92"/>
      <c r="BM33" s="92"/>
      <c r="BN33" s="92"/>
      <c r="BO33" s="92"/>
      <c r="BP33" s="92"/>
      <c r="BQ33" s="92"/>
      <c r="BR33" s="92"/>
      <c r="BS33" s="92"/>
      <c r="BT33" s="92"/>
      <c r="BU33" s="92"/>
      <c r="BV33" s="92"/>
      <c r="BW33" s="92"/>
      <c r="BX33" s="92"/>
      <c r="BY33" s="92"/>
      <c r="BZ33" s="92"/>
      <c r="CA33" s="92"/>
      <c r="CB33" s="92"/>
      <c r="CC33" s="92"/>
      <c r="CD33" s="92"/>
      <c r="CE33" s="92"/>
      <c r="CF33" s="92"/>
      <c r="CG33" s="92"/>
      <c r="CH33" s="92"/>
      <c r="CI33" s="92"/>
      <c r="CJ33" s="92"/>
      <c r="CK33" s="93"/>
      <c r="CL33" s="1921"/>
      <c r="CM33" s="43"/>
    </row>
    <row r="34" spans="2:91" ht="9" customHeight="1">
      <c r="B34" s="1912"/>
      <c r="C34" s="1919"/>
      <c r="D34" s="1919"/>
      <c r="E34" s="1919"/>
      <c r="F34" s="1919"/>
      <c r="G34" s="1919"/>
      <c r="H34" s="1919"/>
      <c r="I34" s="1919"/>
      <c r="J34" s="1919"/>
      <c r="K34" s="1919"/>
      <c r="L34" s="1919"/>
      <c r="M34" s="1919"/>
      <c r="N34" s="1919"/>
      <c r="O34" s="1919"/>
      <c r="P34" s="1919"/>
      <c r="Q34" s="1919"/>
      <c r="R34" s="1919"/>
      <c r="S34" s="1919"/>
      <c r="T34" s="1919"/>
      <c r="U34" s="1919"/>
      <c r="V34" s="1919"/>
      <c r="W34" s="1919"/>
      <c r="X34" s="1919"/>
      <c r="Y34" s="1919"/>
      <c r="Z34" s="1919"/>
      <c r="AA34" s="1919"/>
      <c r="AB34" s="1919"/>
      <c r="AC34" s="1919"/>
      <c r="AD34" s="1919"/>
      <c r="AE34" s="1919"/>
      <c r="AF34" s="1919"/>
      <c r="AG34" s="1919"/>
      <c r="AH34" s="1919"/>
      <c r="AI34" s="1919"/>
      <c r="AJ34" s="1919"/>
      <c r="AK34" s="1919"/>
      <c r="AL34" s="1919"/>
      <c r="AM34" s="1919"/>
      <c r="AN34" s="1919"/>
      <c r="AO34" s="1919"/>
      <c r="AP34" s="1919"/>
      <c r="AQ34" s="1919"/>
      <c r="AR34" s="1919"/>
      <c r="AS34" s="1919"/>
      <c r="AT34" s="1919"/>
      <c r="AU34" s="1919"/>
      <c r="AV34" s="1919"/>
      <c r="AW34" s="1919"/>
      <c r="AX34" s="1919"/>
      <c r="AY34" s="1919"/>
      <c r="AZ34" s="1919"/>
      <c r="BA34" s="1919"/>
      <c r="BB34" s="1919"/>
      <c r="BC34" s="1919"/>
      <c r="BD34" s="1919"/>
      <c r="BE34" s="1919"/>
      <c r="BF34" s="1919"/>
      <c r="BG34" s="1919"/>
      <c r="BH34" s="1919"/>
      <c r="BI34" s="1919"/>
      <c r="BJ34" s="1919"/>
      <c r="BK34" s="1919"/>
      <c r="BL34" s="1919"/>
      <c r="BM34" s="1919"/>
      <c r="BN34" s="1919"/>
      <c r="BO34" s="1919"/>
      <c r="BP34" s="1919"/>
      <c r="BQ34" s="1919"/>
      <c r="BR34" s="1919"/>
      <c r="BS34" s="1919"/>
      <c r="BT34" s="1919"/>
      <c r="BU34" s="1919"/>
      <c r="BV34" s="1919"/>
      <c r="BW34" s="1919"/>
      <c r="BX34" s="1919"/>
      <c r="BY34" s="1919"/>
      <c r="BZ34" s="1919"/>
      <c r="CA34" s="1919"/>
      <c r="CB34" s="1919"/>
      <c r="CC34" s="1919"/>
      <c r="CD34" s="1919"/>
      <c r="CE34" s="1919"/>
      <c r="CF34" s="1919"/>
      <c r="CG34" s="1919"/>
      <c r="CH34" s="1919"/>
      <c r="CI34" s="1919"/>
      <c r="CJ34" s="1919"/>
      <c r="CK34" s="1919"/>
      <c r="CL34" s="1923"/>
      <c r="CM34" s="43"/>
    </row>
    <row r="35" spans="2:91" ht="15.75" customHeight="1">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c r="BK35" s="59"/>
      <c r="BL35" s="59"/>
      <c r="BM35" s="59"/>
      <c r="BN35" s="59"/>
      <c r="BO35" s="59"/>
      <c r="BP35" s="59"/>
      <c r="BQ35" s="59"/>
      <c r="BR35" s="59"/>
      <c r="BS35" s="59"/>
      <c r="BT35" s="59"/>
      <c r="BU35" s="59"/>
      <c r="BV35" s="59"/>
      <c r="BW35" s="59"/>
      <c r="BX35" s="59"/>
      <c r="BY35" s="59"/>
      <c r="BZ35" s="59"/>
      <c r="CA35" s="59"/>
      <c r="CB35" s="59"/>
      <c r="CC35" s="59"/>
      <c r="CD35" s="59"/>
      <c r="CE35" s="59"/>
      <c r="CF35" s="59"/>
      <c r="CG35" s="59"/>
      <c r="CH35" s="59"/>
      <c r="CI35" s="59"/>
      <c r="CJ35" s="59"/>
      <c r="CK35" s="59"/>
      <c r="CL35" s="59"/>
      <c r="CM35" s="59"/>
    </row>
    <row r="36" spans="2:91" ht="22.5" customHeight="1">
      <c r="B36" s="1904"/>
      <c r="C36" s="1905" t="s">
        <v>504</v>
      </c>
      <c r="D36" s="1906"/>
      <c r="E36" s="1906"/>
      <c r="F36" s="1906"/>
      <c r="G36" s="1906"/>
      <c r="H36" s="1906"/>
      <c r="I36" s="1906"/>
      <c r="J36" s="1906"/>
      <c r="K36" s="1906"/>
      <c r="L36" s="1906"/>
      <c r="M36" s="1906"/>
      <c r="N36" s="1906"/>
      <c r="O36" s="1906"/>
      <c r="P36" s="1906"/>
      <c r="Q36" s="1906"/>
      <c r="R36" s="1906"/>
      <c r="S36" s="1906"/>
      <c r="T36" s="1906"/>
      <c r="U36" s="1906"/>
      <c r="V36" s="1906"/>
      <c r="W36" s="1906"/>
      <c r="X36" s="1908"/>
      <c r="Y36" s="1924"/>
      <c r="Z36" s="1924"/>
      <c r="AA36" s="1924"/>
      <c r="AB36" s="1924"/>
      <c r="AC36" s="1924"/>
      <c r="AD36" s="1924"/>
      <c r="AE36" s="1924"/>
      <c r="AF36" s="1924"/>
      <c r="AG36" s="1924"/>
      <c r="AH36" s="1924"/>
      <c r="AI36" s="1924"/>
      <c r="AJ36" s="1924"/>
      <c r="AK36" s="1924"/>
      <c r="AL36" s="1924"/>
      <c r="AM36" s="1924"/>
      <c r="AN36" s="1924"/>
      <c r="AO36" s="1924"/>
      <c r="AP36" s="1924"/>
      <c r="AQ36" s="1924"/>
      <c r="AR36" s="1924"/>
      <c r="AS36" s="1924"/>
      <c r="AT36" s="1924"/>
      <c r="AU36" s="1924"/>
      <c r="AV36" s="1924"/>
      <c r="AW36" s="1924"/>
      <c r="AX36" s="1924"/>
      <c r="AY36" s="1924"/>
      <c r="AZ36" s="1924"/>
      <c r="BA36" s="1924"/>
      <c r="BB36" s="1924"/>
      <c r="BC36" s="1924"/>
      <c r="BD36" s="1924"/>
      <c r="BE36" s="1924"/>
      <c r="BF36" s="1924"/>
      <c r="BG36" s="1924"/>
      <c r="BH36" s="1924"/>
      <c r="BI36" s="1924"/>
      <c r="BJ36" s="1924"/>
      <c r="BK36" s="1924"/>
      <c r="BL36" s="1924"/>
      <c r="BM36" s="1924"/>
      <c r="BN36" s="1924"/>
      <c r="BO36" s="1924"/>
      <c r="BP36" s="1924"/>
      <c r="BQ36" s="1924"/>
      <c r="BR36" s="1924"/>
      <c r="BS36" s="1924"/>
      <c r="BT36" s="1924"/>
      <c r="BU36" s="1924"/>
      <c r="BV36" s="1924"/>
      <c r="BW36" s="1906"/>
      <c r="BX36" s="1906"/>
      <c r="BY36" s="1906"/>
      <c r="BZ36" s="1906"/>
      <c r="CA36" s="1906"/>
      <c r="CB36" s="1906"/>
      <c r="CC36" s="1906"/>
      <c r="CD36" s="1906"/>
      <c r="CE36" s="1906"/>
      <c r="CF36" s="1906"/>
      <c r="CG36" s="1906"/>
      <c r="CH36" s="1908"/>
      <c r="CI36" s="1904"/>
      <c r="CJ36" s="3755"/>
      <c r="CK36" s="3755"/>
      <c r="CL36" s="1906"/>
    </row>
    <row r="37" spans="2:91" ht="6.75" customHeight="1"/>
    <row r="38" spans="2:91" ht="14.25" customHeight="1">
      <c r="B38" s="1909"/>
      <c r="C38" s="1913"/>
      <c r="D38" s="1913"/>
      <c r="E38" s="1913"/>
      <c r="F38" s="1913"/>
      <c r="G38" s="1913"/>
      <c r="H38" s="1913"/>
      <c r="I38" s="1913"/>
      <c r="J38" s="1913"/>
      <c r="K38" s="1913"/>
      <c r="L38" s="1913"/>
      <c r="M38" s="1913"/>
      <c r="N38" s="1913"/>
      <c r="O38" s="1913"/>
      <c r="P38" s="1913"/>
      <c r="Q38" s="1913"/>
      <c r="R38" s="1913"/>
      <c r="S38" s="1913"/>
      <c r="T38" s="1913"/>
      <c r="U38" s="1913"/>
      <c r="V38" s="1913"/>
      <c r="W38" s="1913"/>
      <c r="X38" s="1943"/>
      <c r="Y38" s="1943"/>
      <c r="Z38" s="1943"/>
      <c r="AA38" s="1943"/>
      <c r="AB38" s="1943"/>
      <c r="AC38" s="1943"/>
      <c r="AD38" s="1943"/>
      <c r="AE38" s="1943"/>
      <c r="AF38" s="1943"/>
      <c r="AG38" s="1943"/>
      <c r="AH38" s="1943"/>
      <c r="AI38" s="1943"/>
      <c r="AJ38" s="1943"/>
      <c r="AK38" s="1943"/>
      <c r="AL38" s="1943"/>
      <c r="AM38" s="1943"/>
      <c r="AN38" s="1943"/>
      <c r="AO38" s="1943"/>
      <c r="AP38" s="1943"/>
      <c r="AQ38" s="1943"/>
      <c r="AR38" s="1943"/>
      <c r="AS38" s="1943"/>
      <c r="AT38" s="1943"/>
      <c r="AU38" s="1943"/>
      <c r="AV38" s="1943"/>
      <c r="AW38" s="1943"/>
      <c r="AX38" s="1943"/>
      <c r="AY38" s="1943"/>
      <c r="AZ38" s="1943"/>
      <c r="BA38" s="1943"/>
      <c r="BB38" s="1943"/>
      <c r="BC38" s="1943"/>
      <c r="BD38" s="1943"/>
      <c r="BE38" s="1943"/>
      <c r="BF38" s="1943"/>
      <c r="BG38" s="1943"/>
      <c r="BH38" s="1943"/>
      <c r="BI38" s="1943"/>
      <c r="BJ38" s="1913"/>
      <c r="BK38" s="1913"/>
      <c r="BL38" s="1913"/>
      <c r="BM38" s="1913"/>
      <c r="BN38" s="1913"/>
      <c r="BO38" s="1913"/>
      <c r="BP38" s="1913"/>
      <c r="BQ38" s="1913"/>
      <c r="BR38" s="1913"/>
      <c r="BS38" s="1913"/>
      <c r="BT38" s="1913"/>
      <c r="BU38" s="1913"/>
      <c r="BV38" s="1913"/>
      <c r="BW38" s="1913"/>
      <c r="BX38" s="1913"/>
      <c r="BY38" s="1913"/>
      <c r="BZ38" s="1913"/>
      <c r="CA38" s="1913"/>
      <c r="CB38" s="1913"/>
      <c r="CC38" s="1913"/>
      <c r="CD38" s="1913"/>
      <c r="CE38" s="1913"/>
      <c r="CF38" s="1913"/>
      <c r="CG38" s="1913"/>
      <c r="CH38" s="1913"/>
      <c r="CI38" s="1913"/>
      <c r="CJ38" s="1913"/>
      <c r="CK38" s="1913"/>
      <c r="CL38" s="1920"/>
      <c r="CM38" s="43"/>
    </row>
    <row r="39" spans="2:91" ht="9.75" customHeight="1">
      <c r="B39" s="1910"/>
      <c r="C39" s="45"/>
      <c r="D39" s="46"/>
      <c r="E39" s="46"/>
      <c r="F39" s="46"/>
      <c r="G39" s="46"/>
      <c r="H39" s="46"/>
      <c r="I39" s="46"/>
      <c r="J39" s="46"/>
      <c r="K39" s="46"/>
      <c r="L39" s="46"/>
      <c r="M39" s="46"/>
      <c r="N39" s="46"/>
      <c r="O39" s="46"/>
      <c r="P39" s="46"/>
      <c r="Q39" s="46"/>
      <c r="R39" s="46"/>
      <c r="S39" s="46"/>
      <c r="T39" s="46"/>
      <c r="U39" s="46"/>
      <c r="V39" s="46"/>
      <c r="W39" s="403"/>
      <c r="X39" s="46"/>
      <c r="Y39" s="47"/>
      <c r="Z39" s="1934"/>
      <c r="AA39" s="45"/>
      <c r="AB39" s="46"/>
      <c r="AC39" s="403"/>
      <c r="AD39" s="403"/>
      <c r="AE39" s="403"/>
      <c r="AF39" s="403"/>
      <c r="AG39" s="46"/>
      <c r="AH39" s="46"/>
      <c r="AI39" s="46"/>
      <c r="AJ39" s="46"/>
      <c r="AK39" s="46"/>
      <c r="AL39" s="46"/>
      <c r="AM39" s="46"/>
      <c r="AN39" s="46"/>
      <c r="AO39" s="46"/>
      <c r="AP39" s="46"/>
      <c r="AQ39" s="46"/>
      <c r="AR39" s="46"/>
      <c r="AS39" s="46"/>
      <c r="AT39" s="46"/>
      <c r="AU39" s="46"/>
      <c r="AV39" s="46"/>
      <c r="AW39" s="46"/>
      <c r="AX39" s="46"/>
      <c r="AY39" s="46"/>
      <c r="AZ39" s="46"/>
      <c r="BA39" s="460"/>
      <c r="BB39" s="460"/>
      <c r="BC39" s="403"/>
      <c r="BD39" s="403"/>
      <c r="BE39" s="46"/>
      <c r="BF39" s="46"/>
      <c r="BG39" s="46"/>
      <c r="BH39" s="46"/>
      <c r="BI39" s="1921"/>
      <c r="BJ39" s="403"/>
      <c r="BK39" s="403"/>
      <c r="BL39" s="46"/>
      <c r="BM39" s="46"/>
      <c r="BN39" s="46"/>
      <c r="BO39" s="46"/>
      <c r="BP39" s="46"/>
      <c r="BQ39" s="46"/>
      <c r="BR39" s="46"/>
      <c r="BS39" s="46"/>
      <c r="BT39" s="46"/>
      <c r="BU39" s="46"/>
      <c r="BV39" s="46"/>
      <c r="BW39" s="46"/>
      <c r="BX39" s="46"/>
      <c r="BY39" s="46"/>
      <c r="BZ39" s="46"/>
      <c r="CA39" s="46"/>
      <c r="CB39" s="46"/>
      <c r="CC39" s="46"/>
      <c r="CD39" s="46"/>
      <c r="CE39" s="46"/>
      <c r="CF39" s="46"/>
      <c r="CG39" s="46"/>
      <c r="CH39" s="46"/>
      <c r="CI39" s="46"/>
      <c r="CJ39" s="46"/>
      <c r="CK39" s="47"/>
      <c r="CL39" s="1928"/>
      <c r="CM39" s="43"/>
    </row>
    <row r="40" spans="2:91" ht="19.5" customHeight="1">
      <c r="B40" s="1910"/>
      <c r="C40" s="101"/>
      <c r="D40" s="102" t="s">
        <v>36</v>
      </c>
      <c r="E40" s="102"/>
      <c r="F40" s="102"/>
      <c r="G40" s="102"/>
      <c r="H40" s="102"/>
      <c r="I40" s="59"/>
      <c r="J40" s="59"/>
      <c r="K40" s="59"/>
      <c r="L40" s="59"/>
      <c r="M40" s="59"/>
      <c r="N40" s="59"/>
      <c r="O40" s="59"/>
      <c r="P40" s="59"/>
      <c r="Q40" s="59"/>
      <c r="R40" s="59"/>
      <c r="S40" s="59"/>
      <c r="T40" s="59"/>
      <c r="U40" s="59"/>
      <c r="V40" s="59"/>
      <c r="Y40" s="2832">
        <f>'CALCULS Eaux pluviales'!O63</f>
        <v>0</v>
      </c>
      <c r="Z40" s="1921"/>
      <c r="AA40" s="50"/>
      <c r="AB40" s="57" t="s">
        <v>753</v>
      </c>
      <c r="AG40" s="59"/>
      <c r="AH40" s="59"/>
      <c r="AI40" s="59"/>
      <c r="AJ40" s="59"/>
      <c r="AK40" s="59"/>
      <c r="AL40" s="59"/>
      <c r="AM40" s="59"/>
      <c r="AN40" s="59"/>
      <c r="AO40" s="59"/>
      <c r="AP40" s="59"/>
      <c r="AQ40" s="59"/>
      <c r="AR40" s="59"/>
      <c r="AS40" s="59"/>
      <c r="AT40" s="59"/>
      <c r="AU40" s="59"/>
      <c r="AV40" s="59"/>
      <c r="AW40" s="59"/>
      <c r="BD40" s="1051"/>
      <c r="BE40" s="3575">
        <f>'CALCULS Eaux pluviales'!O71</f>
        <v>0</v>
      </c>
      <c r="BF40" s="3575"/>
      <c r="BG40" s="3575"/>
      <c r="BI40" s="1921"/>
      <c r="BK40" s="57" t="s">
        <v>754</v>
      </c>
      <c r="BL40" s="59"/>
      <c r="BM40" s="57"/>
      <c r="BN40" s="59"/>
      <c r="BO40" s="59"/>
      <c r="BP40" s="59"/>
      <c r="BQ40" s="59"/>
      <c r="BR40" s="59"/>
      <c r="BS40" s="59"/>
      <c r="BT40" s="59"/>
      <c r="BU40" s="59"/>
      <c r="BV40" s="59"/>
      <c r="BW40" s="59"/>
      <c r="BX40" s="59"/>
      <c r="BY40" s="59"/>
      <c r="BZ40" s="59"/>
      <c r="CA40" s="59"/>
      <c r="CB40" s="59"/>
      <c r="CC40" s="59"/>
      <c r="CD40" s="59"/>
      <c r="CE40" s="59"/>
      <c r="CF40" s="59"/>
      <c r="CG40" s="59"/>
      <c r="CH40" s="59"/>
      <c r="CI40" s="3620">
        <f>'CALCULS Eaux pluviales'!O86</f>
        <v>0</v>
      </c>
      <c r="CJ40" s="3620"/>
      <c r="CK40" s="61"/>
      <c r="CL40" s="1928"/>
      <c r="CM40" s="43"/>
    </row>
    <row r="41" spans="2:91" ht="7.5" customHeight="1">
      <c r="B41" s="1910"/>
      <c r="C41" s="411"/>
      <c r="D41" s="102"/>
      <c r="E41" s="102"/>
      <c r="F41" s="102"/>
      <c r="G41" s="102"/>
      <c r="H41" s="102"/>
      <c r="I41" s="59"/>
      <c r="J41" s="59"/>
      <c r="K41" s="59"/>
      <c r="L41" s="59"/>
      <c r="M41" s="59"/>
      <c r="N41" s="59"/>
      <c r="O41" s="59"/>
      <c r="P41" s="59"/>
      <c r="Q41" s="59"/>
      <c r="R41" s="59"/>
      <c r="S41" s="59"/>
      <c r="T41" s="59"/>
      <c r="U41" s="59"/>
      <c r="V41" s="59"/>
      <c r="X41" s="59"/>
      <c r="Y41" s="61"/>
      <c r="Z41" s="1946"/>
      <c r="AA41" s="50"/>
      <c r="AG41" s="59"/>
      <c r="AH41" s="59"/>
      <c r="AI41" s="59"/>
      <c r="AJ41" s="59"/>
      <c r="AK41" s="59"/>
      <c r="AL41" s="59"/>
      <c r="AM41" s="59"/>
      <c r="AN41" s="59"/>
      <c r="AO41" s="59"/>
      <c r="AP41" s="59"/>
      <c r="AQ41" s="59"/>
      <c r="AR41" s="59"/>
      <c r="AS41" s="59"/>
      <c r="AT41" s="59"/>
      <c r="AU41" s="59"/>
      <c r="AV41" s="59"/>
      <c r="AW41" s="59"/>
      <c r="AX41" s="2833"/>
      <c r="AY41" s="2833"/>
      <c r="AZ41" s="2833"/>
      <c r="BA41" s="55"/>
      <c r="BB41" s="55"/>
      <c r="BE41" s="59"/>
      <c r="BF41" s="55"/>
      <c r="BI41" s="1921"/>
      <c r="BL41" s="59"/>
      <c r="BM41" s="57"/>
      <c r="BN41" s="59"/>
      <c r="BO41" s="59"/>
      <c r="BP41" s="59"/>
      <c r="BQ41" s="59"/>
      <c r="BR41" s="59"/>
      <c r="BS41" s="59"/>
      <c r="BT41" s="59"/>
      <c r="BU41" s="59"/>
      <c r="BV41" s="59"/>
      <c r="BW41" s="59"/>
      <c r="BX41" s="59"/>
      <c r="BY41" s="59"/>
      <c r="BZ41" s="59"/>
      <c r="CA41" s="59"/>
      <c r="CB41" s="59"/>
      <c r="CC41" s="59"/>
      <c r="CD41" s="59"/>
      <c r="CE41" s="59"/>
      <c r="CF41" s="59"/>
      <c r="CG41" s="59"/>
      <c r="CH41" s="59"/>
      <c r="CI41" s="59"/>
      <c r="CJ41" s="2833"/>
      <c r="CK41" s="61"/>
      <c r="CL41" s="1928"/>
      <c r="CM41" s="43"/>
    </row>
    <row r="42" spans="2:91" ht="23.25" customHeight="1">
      <c r="B42" s="1910"/>
      <c r="C42" s="386"/>
      <c r="D42" s="397" t="s">
        <v>755</v>
      </c>
      <c r="E42" s="397"/>
      <c r="F42" s="397"/>
      <c r="G42" s="397"/>
      <c r="H42" s="397"/>
      <c r="I42" s="402"/>
      <c r="J42" s="402"/>
      <c r="K42" s="402"/>
      <c r="M42" s="402"/>
      <c r="O42" s="563" t="s">
        <v>494</v>
      </c>
      <c r="P42" s="402"/>
      <c r="Q42" s="103"/>
      <c r="S42" s="406"/>
      <c r="T42" s="406"/>
      <c r="U42" s="406"/>
      <c r="V42" s="406"/>
      <c r="W42" s="406"/>
      <c r="X42" s="406"/>
      <c r="Y42" s="120"/>
      <c r="Z42" s="1921"/>
      <c r="AA42" s="1041"/>
      <c r="AD42" s="1037" t="s">
        <v>756</v>
      </c>
      <c r="AE42" s="406"/>
      <c r="AF42" s="406"/>
      <c r="AG42" s="406"/>
      <c r="AH42" s="406"/>
      <c r="AI42" s="406"/>
      <c r="AJ42" s="406"/>
      <c r="AK42" s="406"/>
      <c r="AL42" s="406"/>
      <c r="AM42" s="406"/>
      <c r="AN42" s="406"/>
      <c r="AO42" s="406"/>
      <c r="AP42" s="406"/>
      <c r="AQ42" s="406"/>
      <c r="AR42" s="3621"/>
      <c r="AS42" s="3621"/>
      <c r="AT42" s="3621"/>
      <c r="AU42" s="3621"/>
      <c r="AV42" s="3621"/>
      <c r="AW42" s="2421"/>
      <c r="AX42" s="3622" t="s">
        <v>757</v>
      </c>
      <c r="AY42" s="3623"/>
      <c r="AZ42" s="2502"/>
      <c r="BA42" s="3623" t="s">
        <v>758</v>
      </c>
      <c r="BB42" s="3623"/>
      <c r="BC42" s="3623"/>
      <c r="BD42" s="3623"/>
      <c r="BE42" s="3623"/>
      <c r="BF42" s="3623"/>
      <c r="BI42" s="1921"/>
      <c r="BL42" s="103"/>
      <c r="BM42" s="394" t="s">
        <v>26</v>
      </c>
      <c r="BN42" s="394"/>
      <c r="BO42" s="394"/>
      <c r="BP42" s="394"/>
      <c r="BQ42" s="394"/>
      <c r="BR42" s="394"/>
      <c r="BS42" s="394"/>
      <c r="BU42" s="406"/>
      <c r="BV42" s="406"/>
      <c r="BW42" s="406"/>
      <c r="BX42" s="3624" t="s">
        <v>759</v>
      </c>
      <c r="BY42" s="3625"/>
      <c r="BZ42" s="3625"/>
      <c r="CA42" s="3625"/>
      <c r="CB42" s="3625"/>
      <c r="CC42" s="3625"/>
      <c r="CD42" s="3625"/>
      <c r="CE42" s="1049"/>
      <c r="CF42" s="3626" t="s">
        <v>760</v>
      </c>
      <c r="CG42" s="3626"/>
      <c r="CH42" s="3626"/>
      <c r="CI42" s="3626"/>
      <c r="CJ42" s="3626"/>
      <c r="CK42" s="559"/>
      <c r="CL42" s="1928"/>
      <c r="CM42" s="43"/>
    </row>
    <row r="43" spans="2:91" ht="3.75" customHeight="1" thickBot="1">
      <c r="B43" s="1910"/>
      <c r="C43" s="386"/>
      <c r="D43" s="1045"/>
      <c r="E43" s="1045"/>
      <c r="F43" s="1045"/>
      <c r="G43" s="1045"/>
      <c r="H43" s="1045"/>
      <c r="I43" s="1045"/>
      <c r="J43" s="1045"/>
      <c r="K43" s="1045"/>
      <c r="L43" s="1045"/>
      <c r="M43" s="1045"/>
      <c r="N43" s="405"/>
      <c r="O43" s="1046"/>
      <c r="P43" s="1045"/>
      <c r="Q43" s="1045"/>
      <c r="R43" s="1045"/>
      <c r="S43" s="1045"/>
      <c r="T43" s="1045"/>
      <c r="U43" s="404"/>
      <c r="V43" s="404"/>
      <c r="W43" s="404"/>
      <c r="X43" s="404"/>
      <c r="Y43" s="1039"/>
      <c r="Z43" s="1947"/>
      <c r="AA43" s="1042"/>
      <c r="AB43" s="385"/>
      <c r="AC43" s="398"/>
      <c r="AD43" s="398"/>
      <c r="AE43" s="398"/>
      <c r="AF43" s="398"/>
      <c r="AG43" s="398"/>
      <c r="AH43" s="398"/>
      <c r="AI43" s="398"/>
      <c r="AJ43" s="398"/>
      <c r="AK43" s="398"/>
      <c r="AL43" s="398"/>
      <c r="AM43" s="398"/>
      <c r="AN43" s="399"/>
      <c r="AO43" s="399"/>
      <c r="AP43" s="399"/>
      <c r="AQ43" s="399"/>
      <c r="AR43" s="399"/>
      <c r="AS43" s="399"/>
      <c r="AT43" s="399"/>
      <c r="AU43" s="399"/>
      <c r="AV43" s="399"/>
      <c r="AW43" s="1034"/>
      <c r="AX43" s="1116"/>
      <c r="AY43" s="399"/>
      <c r="AZ43" s="1034"/>
      <c r="BA43" s="399"/>
      <c r="BB43" s="399"/>
      <c r="BC43" s="399"/>
      <c r="BD43" s="399"/>
      <c r="BE43" s="399"/>
      <c r="BF43" s="1050"/>
      <c r="BI43" s="1921"/>
      <c r="BK43" s="103"/>
      <c r="BL43" s="404"/>
      <c r="BM43" s="405"/>
      <c r="BN43" s="395"/>
      <c r="BO43" s="395"/>
      <c r="BP43" s="395"/>
      <c r="BQ43" s="395"/>
      <c r="BR43" s="395"/>
      <c r="BS43" s="395"/>
      <c r="BT43" s="395"/>
      <c r="BU43" s="395"/>
      <c r="BV43" s="393"/>
      <c r="BW43" s="393"/>
      <c r="BX43" s="1054"/>
      <c r="BY43" s="404"/>
      <c r="BZ43" s="393"/>
      <c r="CA43" s="395"/>
      <c r="CB43" s="395"/>
      <c r="CC43" s="395"/>
      <c r="CD43" s="395"/>
      <c r="CE43" s="395"/>
      <c r="CF43" s="396"/>
      <c r="CG43" s="395"/>
      <c r="CH43" s="395"/>
      <c r="CI43" s="395"/>
      <c r="CJ43" s="395"/>
      <c r="CK43" s="387"/>
      <c r="CL43" s="1928"/>
      <c r="CM43" s="43"/>
    </row>
    <row r="44" spans="2:91" ht="8.25" customHeight="1">
      <c r="B44" s="1910"/>
      <c r="C44" s="386"/>
      <c r="D44" s="2468"/>
      <c r="E44" s="2468"/>
      <c r="F44" s="2468"/>
      <c r="G44" s="2468"/>
      <c r="H44" s="2468"/>
      <c r="I44" s="2469"/>
      <c r="J44" s="2469"/>
      <c r="K44" s="2469"/>
      <c r="L44" s="2470"/>
      <c r="M44" s="2469"/>
      <c r="N44" s="2471"/>
      <c r="O44" s="103"/>
      <c r="P44" s="103"/>
      <c r="Q44" s="103"/>
      <c r="S44" s="103"/>
      <c r="T44" s="103"/>
      <c r="U44" s="103"/>
      <c r="V44" s="103"/>
      <c r="W44" s="103"/>
      <c r="X44" s="103"/>
      <c r="Y44" s="1040"/>
      <c r="Z44" s="1921"/>
      <c r="AA44" s="1043"/>
      <c r="AE44" s="385"/>
      <c r="AF44" s="385"/>
      <c r="AG44" s="385"/>
      <c r="AH44" s="385"/>
      <c r="AI44" s="385"/>
      <c r="AJ44" s="385"/>
      <c r="AK44" s="385"/>
      <c r="AL44" s="385"/>
      <c r="AM44" s="385"/>
      <c r="AN44" s="385"/>
      <c r="AO44" s="103"/>
      <c r="AP44" s="103"/>
      <c r="AQ44" s="103"/>
      <c r="AR44" s="103"/>
      <c r="AT44" s="103"/>
      <c r="AU44" s="103"/>
      <c r="AW44" s="1035"/>
      <c r="AX44" s="401"/>
      <c r="AY44" s="103"/>
      <c r="AZ44" s="1117"/>
      <c r="BA44" s="55"/>
      <c r="BB44" s="55"/>
      <c r="BC44" s="55"/>
      <c r="BD44" s="55"/>
      <c r="BE44" s="55"/>
      <c r="BF44" s="55"/>
      <c r="BI44" s="1921"/>
      <c r="BK44" s="103"/>
      <c r="BL44" s="103"/>
      <c r="BN44" s="103"/>
      <c r="BO44" s="103"/>
      <c r="BP44" s="103"/>
      <c r="BQ44" s="103"/>
      <c r="BR44" s="103"/>
      <c r="BS44" s="103"/>
      <c r="BU44" s="103"/>
      <c r="BV44" s="103"/>
      <c r="BW44" s="1117"/>
      <c r="BX44" s="2472"/>
      <c r="BY44" s="103"/>
      <c r="BZ44" s="103"/>
      <c r="CA44" s="392"/>
      <c r="CB44" s="103"/>
      <c r="CC44" s="103"/>
      <c r="CD44" s="103"/>
      <c r="CE44" s="103"/>
      <c r="CG44" s="103"/>
      <c r="CH44" s="392"/>
      <c r="CI44" s="103"/>
      <c r="CJ44" s="103"/>
      <c r="CK44" s="387"/>
      <c r="CL44" s="1928"/>
      <c r="CM44" s="43"/>
    </row>
    <row r="45" spans="2:91" ht="20.25" customHeight="1">
      <c r="B45" s="1910"/>
      <c r="C45" s="386"/>
      <c r="D45" s="3682" t="str">
        <f>IF('CALCULS Eaux pluviales'!D64=0,"",'CALCULS Eaux pluviales'!D64)</f>
        <v/>
      </c>
      <c r="E45" s="3682"/>
      <c r="F45" s="3682"/>
      <c r="G45" s="3682"/>
      <c r="H45" s="3682"/>
      <c r="I45" s="3682"/>
      <c r="J45" s="3682"/>
      <c r="K45" s="3682"/>
      <c r="L45" s="3682"/>
      <c r="M45" s="3682"/>
      <c r="N45" s="3684"/>
      <c r="O45" s="3682" t="str">
        <f>IF('CALCULS Eaux pluviales'!H64=0,"",'CALCULS Eaux pluviales'!H64)</f>
        <v/>
      </c>
      <c r="P45" s="3682"/>
      <c r="Q45" s="3682"/>
      <c r="R45" s="3682"/>
      <c r="S45" s="3682"/>
      <c r="T45" s="3682"/>
      <c r="U45" s="3682"/>
      <c r="V45" s="3682"/>
      <c r="W45" s="3682"/>
      <c r="X45" s="3682"/>
      <c r="Y45" s="2467"/>
      <c r="Z45" s="1921"/>
      <c r="AA45" s="1044"/>
      <c r="AC45" s="2848" t="s">
        <v>761</v>
      </c>
      <c r="AD45" s="2454"/>
      <c r="AE45" s="2455"/>
      <c r="AF45" s="2455"/>
      <c r="AG45" s="2455"/>
      <c r="AH45" s="2455"/>
      <c r="AI45" s="2456"/>
      <c r="AJ45" s="2456"/>
      <c r="AK45" s="2456"/>
      <c r="AL45" s="2456"/>
      <c r="AM45" s="2456"/>
      <c r="AN45" s="2457"/>
      <c r="AO45" s="2457"/>
      <c r="AP45" s="2457"/>
      <c r="AQ45" s="2457"/>
      <c r="AR45" s="2457"/>
      <c r="AS45" s="2458"/>
      <c r="AT45" s="2458"/>
      <c r="AU45" s="2458"/>
      <c r="AV45" s="2497"/>
      <c r="AW45" s="2459"/>
      <c r="AX45" s="2834" t="str">
        <f>IF('CALCULS Eaux pluviales'!J72&gt;0,"P","")</f>
        <v/>
      </c>
      <c r="AY45" s="2500"/>
      <c r="AZ45" s="2460"/>
      <c r="BA45" s="3677" t="str">
        <f>IF('CALCULS Eaux pluviales'!K72&gt;0,"P","")</f>
        <v/>
      </c>
      <c r="BB45" s="3677"/>
      <c r="BC45" s="3677"/>
      <c r="BD45" s="3677"/>
      <c r="BE45" s="3677"/>
      <c r="BF45" s="2456"/>
      <c r="BI45" s="1921"/>
      <c r="BK45" s="76"/>
      <c r="BL45" s="76"/>
      <c r="BM45" s="3630" t="str">
        <f>IF('CALCULS Eaux pluviales'!D72=0,"",'CALCULS Eaux pluviales'!D72)</f>
        <v/>
      </c>
      <c r="BN45" s="3630"/>
      <c r="BO45" s="3630"/>
      <c r="BP45" s="3630"/>
      <c r="BQ45" s="3630"/>
      <c r="BR45" s="3630"/>
      <c r="BS45" s="3630"/>
      <c r="BT45" s="3630"/>
      <c r="BU45" s="3630"/>
      <c r="BV45" s="3630"/>
      <c r="BW45" s="3631"/>
      <c r="BX45" s="3617" t="str">
        <f>'CALCULS Eaux pluviales'!J87</f>
        <v/>
      </c>
      <c r="BY45" s="3618"/>
      <c r="BZ45" s="3618"/>
      <c r="CA45" s="3619" t="str">
        <f>'CALCULS Eaux pluviales'!I87</f>
        <v/>
      </c>
      <c r="CB45" s="3619"/>
      <c r="CC45" s="72"/>
      <c r="CD45" s="1052"/>
      <c r="CE45" s="1052"/>
      <c r="CF45" s="3618" t="str">
        <f>'CALCULS Eaux pluviales'!L87</f>
        <v/>
      </c>
      <c r="CG45" s="3618"/>
      <c r="CH45" s="3629" t="str">
        <f>'CALCULS Eaux pluviales'!K87</f>
        <v/>
      </c>
      <c r="CI45" s="3629"/>
      <c r="CJ45" s="3629"/>
      <c r="CK45" s="387"/>
      <c r="CL45" s="1928"/>
      <c r="CM45" s="43"/>
    </row>
    <row r="46" spans="2:91" ht="10.5" customHeight="1">
      <c r="B46" s="1910"/>
      <c r="C46" s="386"/>
      <c r="D46" s="3682"/>
      <c r="E46" s="3682"/>
      <c r="F46" s="3682"/>
      <c r="G46" s="3682"/>
      <c r="H46" s="3682"/>
      <c r="I46" s="3682"/>
      <c r="J46" s="3682"/>
      <c r="K46" s="3682"/>
      <c r="L46" s="3682"/>
      <c r="M46" s="3682"/>
      <c r="N46" s="3684"/>
      <c r="O46" s="3682"/>
      <c r="P46" s="3682"/>
      <c r="Q46" s="3682"/>
      <c r="R46" s="3682"/>
      <c r="S46" s="3682"/>
      <c r="T46" s="3682"/>
      <c r="U46" s="3682"/>
      <c r="V46" s="3682"/>
      <c r="W46" s="3682"/>
      <c r="X46" s="3682"/>
      <c r="Y46" s="2467"/>
      <c r="Z46" s="1921"/>
      <c r="AA46" s="1044"/>
      <c r="AC46" s="3680" t="s">
        <v>762</v>
      </c>
      <c r="AD46" s="3680"/>
      <c r="AE46" s="3680"/>
      <c r="AF46" s="3680"/>
      <c r="AG46" s="3680"/>
      <c r="AH46" s="3680"/>
      <c r="AI46" s="3680"/>
      <c r="AJ46" s="3680"/>
      <c r="AK46" s="3680"/>
      <c r="AL46" s="3680"/>
      <c r="AM46" s="3680"/>
      <c r="AN46" s="3680"/>
      <c r="AO46" s="3680"/>
      <c r="AP46" s="3680"/>
      <c r="AQ46" s="3680"/>
      <c r="AR46" s="3680"/>
      <c r="AS46" s="3680"/>
      <c r="AT46" s="3680"/>
      <c r="AU46" s="3680"/>
      <c r="AV46" s="3680"/>
      <c r="AW46" s="2462"/>
      <c r="AX46" s="3627" t="str">
        <f>IF('CALCULS Eaux pluviales'!J73&gt;0,"P","")</f>
        <v/>
      </c>
      <c r="AY46" s="2461"/>
      <c r="AZ46" s="2464"/>
      <c r="BA46" s="3676" t="str">
        <f>IF('CALCULS Eaux pluviales'!K73&gt;0,"P","")</f>
        <v/>
      </c>
      <c r="BB46" s="3676"/>
      <c r="BC46" s="3676"/>
      <c r="BD46" s="3676"/>
      <c r="BE46" s="3676"/>
      <c r="BF46" s="2465"/>
      <c r="BI46" s="1921"/>
      <c r="BM46" s="3630"/>
      <c r="BN46" s="3630"/>
      <c r="BO46" s="3630"/>
      <c r="BP46" s="3630"/>
      <c r="BQ46" s="3630"/>
      <c r="BR46" s="3630"/>
      <c r="BS46" s="3630"/>
      <c r="BT46" s="3630"/>
      <c r="BU46" s="3630"/>
      <c r="BV46" s="3630"/>
      <c r="BW46" s="3631"/>
      <c r="BX46" s="3617"/>
      <c r="BY46" s="3618"/>
      <c r="BZ46" s="3618"/>
      <c r="CA46" s="3619"/>
      <c r="CB46" s="3619"/>
      <c r="CF46" s="3618"/>
      <c r="CG46" s="3618"/>
      <c r="CH46" s="3629"/>
      <c r="CI46" s="3629"/>
      <c r="CJ46" s="3629"/>
      <c r="CK46" s="1163"/>
      <c r="CL46" s="1928"/>
      <c r="CM46" s="43"/>
    </row>
    <row r="47" spans="2:91" ht="10.5" customHeight="1">
      <c r="B47" s="1910"/>
      <c r="C47" s="386"/>
      <c r="D47" s="3682" t="str">
        <f>IF('CALCULS Eaux pluviales'!D65=0,"",'CALCULS Eaux pluviales'!D65)</f>
        <v/>
      </c>
      <c r="E47" s="3682"/>
      <c r="F47" s="3682"/>
      <c r="G47" s="3682"/>
      <c r="H47" s="3682"/>
      <c r="I47" s="3682"/>
      <c r="J47" s="3682"/>
      <c r="K47" s="3682"/>
      <c r="L47" s="3682"/>
      <c r="M47" s="3682"/>
      <c r="N47" s="3684"/>
      <c r="O47" s="3682" t="str">
        <f>IF('CALCULS Eaux pluviales'!H65=0,"",'CALCULS Eaux pluviales'!H65)</f>
        <v/>
      </c>
      <c r="P47" s="3682"/>
      <c r="Q47" s="3682"/>
      <c r="R47" s="3682"/>
      <c r="S47" s="3682"/>
      <c r="T47" s="3682"/>
      <c r="U47" s="3682"/>
      <c r="V47" s="3682"/>
      <c r="W47" s="3682"/>
      <c r="X47" s="3682"/>
      <c r="Y47" s="2467"/>
      <c r="Z47" s="1921"/>
      <c r="AA47" s="1044"/>
      <c r="AC47" s="3681"/>
      <c r="AD47" s="3681"/>
      <c r="AE47" s="3681"/>
      <c r="AF47" s="3681"/>
      <c r="AG47" s="3681"/>
      <c r="AH47" s="3681"/>
      <c r="AI47" s="3681"/>
      <c r="AJ47" s="3681"/>
      <c r="AK47" s="3681"/>
      <c r="AL47" s="3681"/>
      <c r="AM47" s="3681"/>
      <c r="AN47" s="3681"/>
      <c r="AO47" s="3681"/>
      <c r="AP47" s="3681"/>
      <c r="AQ47" s="3681"/>
      <c r="AR47" s="3681"/>
      <c r="AS47" s="3681"/>
      <c r="AT47" s="3681"/>
      <c r="AU47" s="3681"/>
      <c r="AV47" s="3681"/>
      <c r="AW47" s="2463"/>
      <c r="AX47" s="3628"/>
      <c r="AY47" s="2423"/>
      <c r="AZ47" s="1118"/>
      <c r="BA47" s="3677"/>
      <c r="BB47" s="3677"/>
      <c r="BC47" s="3677"/>
      <c r="BD47" s="3677"/>
      <c r="BE47" s="3677"/>
      <c r="BF47" s="580"/>
      <c r="BI47" s="1921"/>
      <c r="BM47" s="3630" t="str">
        <f>IF('CALCULS Eaux pluviales'!D73=0,"",'CALCULS Eaux pluviales'!D73)</f>
        <v/>
      </c>
      <c r="BN47" s="3630"/>
      <c r="BO47" s="3630"/>
      <c r="BP47" s="3630"/>
      <c r="BQ47" s="3630"/>
      <c r="BR47" s="3630"/>
      <c r="BS47" s="3630"/>
      <c r="BT47" s="3630"/>
      <c r="BU47" s="3630"/>
      <c r="BV47" s="3630"/>
      <c r="BW47" s="3631"/>
      <c r="BX47" s="3617" t="str">
        <f>'CALCULS Eaux pluviales'!J88</f>
        <v/>
      </c>
      <c r="BY47" s="3618"/>
      <c r="BZ47" s="3618"/>
      <c r="CA47" s="3619" t="str">
        <f>'CALCULS Eaux pluviales'!I88</f>
        <v/>
      </c>
      <c r="CB47" s="3619"/>
      <c r="CF47" s="3618" t="str">
        <f>'CALCULS Eaux pluviales'!L88</f>
        <v/>
      </c>
      <c r="CG47" s="3618"/>
      <c r="CH47" s="3629" t="str">
        <f>'CALCULS Eaux pluviales'!K88</f>
        <v/>
      </c>
      <c r="CI47" s="3629"/>
      <c r="CJ47" s="3629"/>
      <c r="CK47" s="1163"/>
      <c r="CL47" s="1928"/>
      <c r="CM47" s="43"/>
    </row>
    <row r="48" spans="2:91" ht="21" customHeight="1">
      <c r="B48" s="1910"/>
      <c r="C48" s="386"/>
      <c r="D48" s="3682"/>
      <c r="E48" s="3682"/>
      <c r="F48" s="3682"/>
      <c r="G48" s="3682"/>
      <c r="H48" s="3682"/>
      <c r="I48" s="3682"/>
      <c r="J48" s="3682"/>
      <c r="K48" s="3682"/>
      <c r="L48" s="3682"/>
      <c r="M48" s="3682"/>
      <c r="N48" s="3684"/>
      <c r="O48" s="3682"/>
      <c r="P48" s="3682"/>
      <c r="Q48" s="3682"/>
      <c r="R48" s="3682"/>
      <c r="S48" s="3682"/>
      <c r="T48" s="3682"/>
      <c r="U48" s="3682"/>
      <c r="V48" s="3682"/>
      <c r="W48" s="3682"/>
      <c r="X48" s="3682"/>
      <c r="Y48" s="2467"/>
      <c r="Z48" s="1921"/>
      <c r="AA48" s="1044"/>
      <c r="AC48" s="1038" t="s">
        <v>763</v>
      </c>
      <c r="AD48" s="581"/>
      <c r="AE48" s="582"/>
      <c r="AF48" s="582"/>
      <c r="AG48" s="582"/>
      <c r="AH48" s="582"/>
      <c r="AI48" s="584"/>
      <c r="AJ48" s="584"/>
      <c r="AK48" s="584"/>
      <c r="AL48" s="584"/>
      <c r="AM48" s="584"/>
      <c r="AN48" s="584"/>
      <c r="AO48" s="584"/>
      <c r="AP48" s="584"/>
      <c r="AQ48" s="584"/>
      <c r="AR48" s="584"/>
      <c r="AS48" s="1033"/>
      <c r="AT48" s="1033"/>
      <c r="AU48" s="1033"/>
      <c r="AV48" s="2498"/>
      <c r="AW48" s="1036"/>
      <c r="AX48" s="1120" t="str">
        <f>IF('CALCULS Eaux pluviales'!J74&gt;0,"P","")</f>
        <v/>
      </c>
      <c r="AY48" s="2422"/>
      <c r="AZ48" s="1119"/>
      <c r="BA48" s="3695" t="str">
        <f>IF('CALCULS Eaux pluviales'!K74&gt;0,"P","")</f>
        <v/>
      </c>
      <c r="BB48" s="3695"/>
      <c r="BC48" s="3695"/>
      <c r="BD48" s="3695"/>
      <c r="BE48" s="3695"/>
      <c r="BF48" s="584"/>
      <c r="BI48" s="1944"/>
      <c r="BK48" s="76"/>
      <c r="BL48" s="76"/>
      <c r="BM48" s="3630"/>
      <c r="BN48" s="3630"/>
      <c r="BO48" s="3630"/>
      <c r="BP48" s="3630"/>
      <c r="BQ48" s="3630"/>
      <c r="BR48" s="3630"/>
      <c r="BS48" s="3630"/>
      <c r="BT48" s="3630"/>
      <c r="BU48" s="3630"/>
      <c r="BV48" s="3630"/>
      <c r="BW48" s="3631"/>
      <c r="BX48" s="3617"/>
      <c r="BY48" s="3618"/>
      <c r="BZ48" s="3618"/>
      <c r="CA48" s="3619"/>
      <c r="CB48" s="3619"/>
      <c r="CC48" s="72"/>
      <c r="CD48" s="1052"/>
      <c r="CE48" s="1052"/>
      <c r="CF48" s="3618"/>
      <c r="CG48" s="3618"/>
      <c r="CH48" s="3629"/>
      <c r="CI48" s="3629"/>
      <c r="CJ48" s="3629"/>
      <c r="CK48" s="387"/>
      <c r="CL48" s="1928"/>
      <c r="CM48" s="43"/>
    </row>
    <row r="49" spans="2:91" ht="21" customHeight="1">
      <c r="B49" s="1910"/>
      <c r="C49" s="386"/>
      <c r="D49" s="3682" t="str">
        <f>IF('CALCULS Eaux pluviales'!D66=0,"",'CALCULS Eaux pluviales'!D66)</f>
        <v/>
      </c>
      <c r="E49" s="3682"/>
      <c r="F49" s="3682"/>
      <c r="G49" s="3682"/>
      <c r="H49" s="3682"/>
      <c r="I49" s="3682"/>
      <c r="J49" s="3682"/>
      <c r="K49" s="3682"/>
      <c r="L49" s="3682"/>
      <c r="M49" s="3682"/>
      <c r="N49" s="3684"/>
      <c r="O49" s="3682" t="str">
        <f>IF('CALCULS Eaux pluviales'!H66=0,"",'CALCULS Eaux pluviales'!H66)</f>
        <v/>
      </c>
      <c r="P49" s="3682"/>
      <c r="Q49" s="3682"/>
      <c r="R49" s="3682"/>
      <c r="S49" s="3682"/>
      <c r="T49" s="3682"/>
      <c r="U49" s="3682"/>
      <c r="V49" s="3682"/>
      <c r="W49" s="3682"/>
      <c r="X49" s="3682"/>
      <c r="Y49" s="2453"/>
      <c r="Z49" s="1921"/>
      <c r="AA49" s="1044"/>
      <c r="AC49" s="1038" t="s">
        <v>764</v>
      </c>
      <c r="AD49" s="581"/>
      <c r="AE49" s="582"/>
      <c r="AF49" s="582"/>
      <c r="AG49" s="582"/>
      <c r="AH49" s="582"/>
      <c r="AI49" s="583"/>
      <c r="AJ49" s="583"/>
      <c r="AK49" s="583"/>
      <c r="AL49" s="583"/>
      <c r="AM49" s="583"/>
      <c r="AN49" s="584"/>
      <c r="AO49" s="584"/>
      <c r="AP49" s="584"/>
      <c r="AQ49" s="584"/>
      <c r="AR49" s="584"/>
      <c r="AS49" s="1033"/>
      <c r="AT49" s="1033"/>
      <c r="AU49" s="1033"/>
      <c r="AV49" s="2498"/>
      <c r="AW49" s="1036"/>
      <c r="AX49" s="1120" t="str">
        <f>IF('CALCULS Eaux pluviales'!J75&gt;0,"P","")</f>
        <v/>
      </c>
      <c r="AY49" s="2422"/>
      <c r="AZ49" s="1119"/>
      <c r="BA49" s="3695" t="str">
        <f>IF('CALCULS Eaux pluviales'!K75&gt;0,"P","")</f>
        <v/>
      </c>
      <c r="BB49" s="3695"/>
      <c r="BC49" s="3695"/>
      <c r="BD49" s="3695"/>
      <c r="BE49" s="3695"/>
      <c r="BF49" s="583"/>
      <c r="BI49" s="1944"/>
      <c r="BK49" s="76"/>
      <c r="BL49" s="76"/>
      <c r="BM49" s="3630" t="str">
        <f>IF('CALCULS Eaux pluviales'!D74=0,"",'CALCULS Eaux pluviales'!D74)</f>
        <v/>
      </c>
      <c r="BN49" s="3630"/>
      <c r="BO49" s="3630"/>
      <c r="BP49" s="3630"/>
      <c r="BQ49" s="3630"/>
      <c r="BR49" s="3630"/>
      <c r="BS49" s="3630"/>
      <c r="BT49" s="3630"/>
      <c r="BU49" s="3630"/>
      <c r="BV49" s="3630"/>
      <c r="BW49" s="3631"/>
      <c r="BX49" s="3617" t="str">
        <f>'CALCULS Eaux pluviales'!J89</f>
        <v/>
      </c>
      <c r="BY49" s="3618"/>
      <c r="BZ49" s="3618"/>
      <c r="CA49" s="3619" t="str">
        <f>'CALCULS Eaux pluviales'!I89</f>
        <v/>
      </c>
      <c r="CB49" s="3619"/>
      <c r="CC49" s="72"/>
      <c r="CD49" s="1052"/>
      <c r="CE49" s="1052"/>
      <c r="CF49" s="3618" t="str">
        <f>'CALCULS Eaux pluviales'!L89</f>
        <v/>
      </c>
      <c r="CG49" s="3618"/>
      <c r="CH49" s="3629" t="str">
        <f>'CALCULS Eaux pluviales'!K89</f>
        <v/>
      </c>
      <c r="CI49" s="3629"/>
      <c r="CJ49" s="3629"/>
      <c r="CK49" s="387"/>
      <c r="CL49" s="1928"/>
      <c r="CM49" s="43"/>
    </row>
    <row r="50" spans="2:91" ht="17.25" customHeight="1">
      <c r="B50" s="1910"/>
      <c r="C50" s="386"/>
      <c r="D50" s="3682"/>
      <c r="E50" s="3682"/>
      <c r="F50" s="3682"/>
      <c r="G50" s="3682"/>
      <c r="H50" s="3682"/>
      <c r="I50" s="3682"/>
      <c r="J50" s="3682"/>
      <c r="K50" s="3682"/>
      <c r="L50" s="3682"/>
      <c r="M50" s="3682"/>
      <c r="N50" s="3684"/>
      <c r="O50" s="3682"/>
      <c r="P50" s="3682"/>
      <c r="Q50" s="3682"/>
      <c r="R50" s="3682"/>
      <c r="S50" s="3682"/>
      <c r="T50" s="3682"/>
      <c r="U50" s="3682"/>
      <c r="V50" s="3682"/>
      <c r="W50" s="3682"/>
      <c r="X50" s="3682"/>
      <c r="Y50" s="2453"/>
      <c r="Z50" s="1921"/>
      <c r="AA50" s="1044"/>
      <c r="AC50" s="1136" t="s">
        <v>765</v>
      </c>
      <c r="AD50" s="1130"/>
      <c r="AE50" s="1131"/>
      <c r="AF50" s="1131"/>
      <c r="AG50" s="1131"/>
      <c r="AH50" s="1131"/>
      <c r="AI50" s="1131"/>
      <c r="AJ50" s="1131"/>
      <c r="AK50" s="1131"/>
      <c r="AL50" s="1131"/>
      <c r="AM50" s="1131"/>
      <c r="AN50" s="1132"/>
      <c r="AO50" s="1132"/>
      <c r="AP50" s="1132"/>
      <c r="AQ50" s="1132"/>
      <c r="AR50" s="1132"/>
      <c r="AS50" s="1133"/>
      <c r="AT50" s="1133"/>
      <c r="AU50" s="1133"/>
      <c r="AV50" s="2499"/>
      <c r="AW50" s="1134"/>
      <c r="AX50" s="1137" t="str">
        <f>IF('CALCULS Eaux pluviales'!J76&gt;0,"P","")</f>
        <v/>
      </c>
      <c r="AY50" s="2501"/>
      <c r="AZ50" s="1135"/>
      <c r="BA50" s="3632" t="str">
        <f>IF('CALCULS Eaux pluviales'!K76&gt;0,"P","")</f>
        <v/>
      </c>
      <c r="BB50" s="3632"/>
      <c r="BC50" s="3632"/>
      <c r="BD50" s="3632"/>
      <c r="BE50" s="3632"/>
      <c r="BF50" s="1131"/>
      <c r="BI50" s="1944"/>
      <c r="BK50" s="76"/>
      <c r="BL50" s="76"/>
      <c r="BM50" s="3630"/>
      <c r="BN50" s="3630"/>
      <c r="BO50" s="3630"/>
      <c r="BP50" s="3630"/>
      <c r="BQ50" s="3630"/>
      <c r="BR50" s="3630"/>
      <c r="BS50" s="3630"/>
      <c r="BT50" s="3630"/>
      <c r="BU50" s="3630"/>
      <c r="BV50" s="3630"/>
      <c r="BW50" s="3631"/>
      <c r="BX50" s="3617"/>
      <c r="BY50" s="3618"/>
      <c r="BZ50" s="3618"/>
      <c r="CA50" s="3619"/>
      <c r="CB50" s="3619"/>
      <c r="CC50" s="72"/>
      <c r="CD50" s="561"/>
      <c r="CE50" s="561"/>
      <c r="CF50" s="3618"/>
      <c r="CG50" s="3618"/>
      <c r="CH50" s="3629"/>
      <c r="CI50" s="3629"/>
      <c r="CJ50" s="3629"/>
      <c r="CK50" s="387"/>
      <c r="CL50" s="1928"/>
      <c r="CM50" s="43"/>
    </row>
    <row r="51" spans="2:91" ht="9" customHeight="1">
      <c r="B51" s="1910"/>
      <c r="C51" s="388"/>
      <c r="D51" s="389"/>
      <c r="E51" s="389"/>
      <c r="F51" s="389"/>
      <c r="G51" s="389"/>
      <c r="H51" s="389"/>
      <c r="I51" s="390"/>
      <c r="J51" s="390"/>
      <c r="K51" s="390"/>
      <c r="L51" s="390"/>
      <c r="M51" s="390"/>
      <c r="N51" s="390"/>
      <c r="O51" s="390"/>
      <c r="P51" s="390"/>
      <c r="Q51" s="390"/>
      <c r="R51" s="390"/>
      <c r="S51" s="390"/>
      <c r="T51" s="390"/>
      <c r="U51" s="390"/>
      <c r="V51" s="390"/>
      <c r="W51" s="157"/>
      <c r="X51" s="390"/>
      <c r="Y51" s="391"/>
      <c r="Z51" s="1948"/>
      <c r="AA51" s="388"/>
      <c r="AB51" s="390"/>
      <c r="AC51" s="157"/>
      <c r="AD51" s="157"/>
      <c r="AE51" s="157"/>
      <c r="AF51" s="157"/>
      <c r="AG51" s="390"/>
      <c r="AH51" s="390"/>
      <c r="AI51" s="390"/>
      <c r="AJ51" s="390"/>
      <c r="AK51" s="390"/>
      <c r="AL51" s="390"/>
      <c r="AM51" s="390"/>
      <c r="AN51" s="390"/>
      <c r="AO51" s="390"/>
      <c r="AP51" s="390"/>
      <c r="AQ51" s="390"/>
      <c r="AR51" s="390"/>
      <c r="AS51" s="390"/>
      <c r="AT51" s="390"/>
      <c r="AU51" s="390"/>
      <c r="AV51" s="390"/>
      <c r="AW51" s="390"/>
      <c r="AX51" s="390"/>
      <c r="AY51" s="390"/>
      <c r="AZ51" s="390"/>
      <c r="BA51" s="156"/>
      <c r="BB51" s="156"/>
      <c r="BC51" s="157"/>
      <c r="BD51" s="157"/>
      <c r="BE51" s="390"/>
      <c r="BF51" s="156"/>
      <c r="BG51" s="157"/>
      <c r="BH51" s="157"/>
      <c r="BI51" s="1921"/>
      <c r="BJ51" s="157"/>
      <c r="BK51" s="157"/>
      <c r="BL51" s="390"/>
      <c r="BM51" s="390"/>
      <c r="BN51" s="390"/>
      <c r="BO51" s="390"/>
      <c r="BP51" s="390"/>
      <c r="BQ51" s="390"/>
      <c r="BR51" s="390"/>
      <c r="BS51" s="390"/>
      <c r="BT51" s="390"/>
      <c r="BU51" s="390"/>
      <c r="BV51" s="390"/>
      <c r="BW51" s="390"/>
      <c r="BX51" s="390"/>
      <c r="BY51" s="390"/>
      <c r="BZ51" s="390"/>
      <c r="CA51" s="390"/>
      <c r="CB51" s="390"/>
      <c r="CC51" s="390"/>
      <c r="CD51" s="390"/>
      <c r="CE51" s="390"/>
      <c r="CF51" s="390"/>
      <c r="CG51" s="390"/>
      <c r="CH51" s="390"/>
      <c r="CI51" s="390"/>
      <c r="CJ51" s="390"/>
      <c r="CK51" s="391"/>
      <c r="CL51" s="1928"/>
      <c r="CM51" s="43"/>
    </row>
    <row r="52" spans="2:91" ht="12.75" customHeight="1">
      <c r="B52" s="1912"/>
      <c r="C52" s="1919"/>
      <c r="D52" s="1919"/>
      <c r="E52" s="1919"/>
      <c r="F52" s="1919"/>
      <c r="G52" s="1919"/>
      <c r="H52" s="1919"/>
      <c r="I52" s="1919"/>
      <c r="J52" s="1919"/>
      <c r="K52" s="1919"/>
      <c r="L52" s="1919"/>
      <c r="M52" s="1919"/>
      <c r="N52" s="1919"/>
      <c r="O52" s="1919"/>
      <c r="P52" s="1919"/>
      <c r="Q52" s="1919"/>
      <c r="R52" s="1919"/>
      <c r="S52" s="1919"/>
      <c r="T52" s="1919"/>
      <c r="U52" s="1919"/>
      <c r="V52" s="1919"/>
      <c r="W52" s="1919"/>
      <c r="X52" s="1945"/>
      <c r="Y52" s="1945"/>
      <c r="Z52" s="1945"/>
      <c r="AA52" s="1945"/>
      <c r="AB52" s="1945"/>
      <c r="AC52" s="1945"/>
      <c r="AD52" s="1945"/>
      <c r="AE52" s="1945"/>
      <c r="AF52" s="1945"/>
      <c r="AG52" s="1945"/>
      <c r="AH52" s="1945"/>
      <c r="AI52" s="1945"/>
      <c r="AJ52" s="1945"/>
      <c r="AK52" s="1945"/>
      <c r="AL52" s="1945"/>
      <c r="AM52" s="1945"/>
      <c r="AN52" s="1945"/>
      <c r="AO52" s="1945"/>
      <c r="AP52" s="1945"/>
      <c r="AQ52" s="1945"/>
      <c r="AR52" s="1945"/>
      <c r="AS52" s="1945"/>
      <c r="AT52" s="1945"/>
      <c r="AU52" s="1945"/>
      <c r="AV52" s="1945"/>
      <c r="AW52" s="1945"/>
      <c r="AX52" s="1945"/>
      <c r="AY52" s="1945"/>
      <c r="AZ52" s="1945"/>
      <c r="BA52" s="1945"/>
      <c r="BB52" s="1945"/>
      <c r="BC52" s="1945"/>
      <c r="BD52" s="1945"/>
      <c r="BE52" s="1945"/>
      <c r="BF52" s="1945"/>
      <c r="BG52" s="1945"/>
      <c r="BH52" s="1945"/>
      <c r="BI52" s="1945"/>
      <c r="BJ52" s="1919"/>
      <c r="BK52" s="1919"/>
      <c r="BL52" s="1919"/>
      <c r="BM52" s="1919"/>
      <c r="BN52" s="1919"/>
      <c r="BO52" s="1919"/>
      <c r="BP52" s="1919"/>
      <c r="BQ52" s="1919"/>
      <c r="BR52" s="1919"/>
      <c r="BS52" s="1919"/>
      <c r="BT52" s="1919"/>
      <c r="BU52" s="1919"/>
      <c r="BV52" s="1919"/>
      <c r="BW52" s="1919"/>
      <c r="BX52" s="1919"/>
      <c r="BY52" s="1919"/>
      <c r="BZ52" s="1919"/>
      <c r="CA52" s="1919"/>
      <c r="CB52" s="1919"/>
      <c r="CC52" s="1919"/>
      <c r="CD52" s="1919"/>
      <c r="CE52" s="1919"/>
      <c r="CF52" s="1919"/>
      <c r="CG52" s="1919"/>
      <c r="CH52" s="1919"/>
      <c r="CI52" s="1919"/>
      <c r="CJ52" s="1919"/>
      <c r="CK52" s="1919"/>
      <c r="CL52" s="1923"/>
      <c r="CM52" s="43"/>
    </row>
    <row r="53" spans="2:91" ht="15.75" customHeight="1">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c r="CA53" s="59"/>
      <c r="CB53" s="59"/>
      <c r="CC53" s="59"/>
      <c r="CD53" s="59"/>
      <c r="CE53" s="59"/>
      <c r="CF53" s="59"/>
      <c r="CG53" s="59"/>
      <c r="CH53" s="59"/>
      <c r="CI53" s="59"/>
      <c r="CJ53" s="59"/>
      <c r="CK53" s="59"/>
      <c r="CL53" s="59"/>
      <c r="CM53" s="59"/>
    </row>
    <row r="54" spans="2:91" ht="22.5" customHeight="1">
      <c r="B54" s="1904"/>
      <c r="C54" s="1905" t="s">
        <v>89</v>
      </c>
      <c r="D54" s="1906"/>
      <c r="E54" s="1906"/>
      <c r="F54" s="1906"/>
      <c r="G54" s="1906"/>
      <c r="H54" s="1906"/>
      <c r="I54" s="1906"/>
      <c r="J54" s="1906"/>
      <c r="K54" s="1906"/>
      <c r="L54" s="1906"/>
      <c r="M54" s="1906"/>
      <c r="N54" s="1906"/>
      <c r="O54" s="1906"/>
      <c r="P54" s="1906"/>
      <c r="Q54" s="1906"/>
      <c r="R54" s="1906"/>
      <c r="S54" s="1906"/>
      <c r="T54" s="1906"/>
      <c r="U54" s="1906"/>
      <c r="V54" s="1906"/>
      <c r="W54" s="1906"/>
      <c r="X54" s="1908"/>
      <c r="Y54" s="3758"/>
      <c r="Z54" s="3758"/>
      <c r="AA54" s="3758"/>
      <c r="AB54" s="3758"/>
      <c r="AC54" s="1906"/>
      <c r="AD54" s="1925"/>
      <c r="AE54" s="1906"/>
      <c r="AF54" s="1906"/>
      <c r="AG54" s="1906"/>
      <c r="AH54" s="1906"/>
      <c r="AI54" s="1906"/>
      <c r="AJ54" s="1925"/>
      <c r="AK54" s="1906"/>
      <c r="AL54" s="1906"/>
      <c r="AM54" s="1906"/>
      <c r="AN54" s="1906"/>
      <c r="AO54" s="1906"/>
      <c r="AP54" s="1906"/>
      <c r="AQ54" s="1906"/>
      <c r="AR54" s="1906"/>
      <c r="AS54" s="55"/>
      <c r="AT54" s="1906"/>
      <c r="AU54" s="1926" t="s">
        <v>507</v>
      </c>
      <c r="AV54" s="1927"/>
      <c r="AW54" s="1927"/>
      <c r="AX54" s="1908"/>
      <c r="AY54" s="1908"/>
      <c r="AZ54" s="1908"/>
      <c r="BA54" s="3758"/>
      <c r="BB54" s="3758"/>
      <c r="BC54" s="3758"/>
      <c r="BD54" s="3758"/>
      <c r="BE54" s="3758"/>
      <c r="BF54" s="3758"/>
      <c r="BG54" s="3758"/>
      <c r="BH54" s="3758"/>
      <c r="BI54" s="3758"/>
      <c r="BJ54" s="3758"/>
      <c r="BK54" s="3758"/>
      <c r="BL54" s="3758"/>
      <c r="BM54" s="3758"/>
      <c r="BN54" s="3758"/>
      <c r="BO54" s="3758"/>
      <c r="BP54" s="1906"/>
      <c r="BQ54" s="1906"/>
      <c r="BR54" s="1906"/>
      <c r="BS54" s="1906"/>
      <c r="BT54" s="1906"/>
      <c r="BU54" s="1906"/>
      <c r="BV54" s="1906"/>
      <c r="BW54" s="1906"/>
      <c r="BX54" s="1906"/>
      <c r="BY54" s="1906"/>
      <c r="BZ54" s="1906"/>
      <c r="CA54" s="1906"/>
      <c r="CB54" s="1906"/>
      <c r="CC54" s="1906"/>
      <c r="CD54" s="1906"/>
      <c r="CE54" s="1906"/>
      <c r="CF54" s="1906"/>
      <c r="CG54" s="1906"/>
      <c r="CH54" s="1908"/>
      <c r="CI54" s="1904"/>
      <c r="CJ54" s="3755"/>
      <c r="CK54" s="3755"/>
      <c r="CL54" s="1906"/>
    </row>
    <row r="55" spans="2:91" ht="6.75" customHeight="1"/>
    <row r="56" spans="2:91" ht="14.25" customHeight="1">
      <c r="B56" s="1909"/>
      <c r="C56" s="1913"/>
      <c r="D56" s="1913"/>
      <c r="E56" s="1913"/>
      <c r="F56" s="1913"/>
      <c r="G56" s="1913"/>
      <c r="H56" s="1913"/>
      <c r="I56" s="1913"/>
      <c r="J56" s="1913"/>
      <c r="K56" s="1913"/>
      <c r="L56" s="1913"/>
      <c r="M56" s="1913"/>
      <c r="N56" s="1913"/>
      <c r="O56" s="1913"/>
      <c r="P56" s="1913"/>
      <c r="Q56" s="1913"/>
      <c r="R56" s="1913"/>
      <c r="S56" s="1913"/>
      <c r="T56" s="1913"/>
      <c r="U56" s="1913"/>
      <c r="V56" s="1913"/>
      <c r="W56" s="1913"/>
      <c r="X56" s="1913"/>
      <c r="Y56" s="1913"/>
      <c r="Z56" s="1913"/>
      <c r="AA56" s="1913"/>
      <c r="AB56" s="1913"/>
      <c r="AC56" s="1913"/>
      <c r="AD56" s="1913"/>
      <c r="AE56" s="1913"/>
      <c r="AF56" s="1913"/>
      <c r="AG56" s="1913"/>
      <c r="AH56" s="1913"/>
      <c r="AI56" s="1913"/>
      <c r="AJ56" s="1913"/>
      <c r="AK56" s="1942"/>
      <c r="AL56" s="1942"/>
      <c r="AM56" s="1942"/>
      <c r="AN56" s="1942"/>
      <c r="AO56" s="1942"/>
      <c r="AP56" s="1942"/>
      <c r="AQ56" s="1942"/>
      <c r="AR56" s="1942"/>
      <c r="AS56" s="110"/>
      <c r="AT56" s="1942"/>
      <c r="AU56" s="1942"/>
      <c r="AV56" s="1942"/>
      <c r="AW56" s="1942"/>
      <c r="AX56" s="1942"/>
      <c r="AY56" s="1942"/>
      <c r="AZ56" s="1942"/>
      <c r="BA56" s="1942"/>
      <c r="BB56" s="1942"/>
      <c r="BC56" s="1942"/>
      <c r="BD56" s="1942"/>
      <c r="BE56" s="1942"/>
      <c r="BF56" s="1942"/>
      <c r="BG56" s="1942"/>
      <c r="BH56" s="1913"/>
      <c r="BI56" s="1913"/>
      <c r="BJ56" s="1913"/>
      <c r="BK56" s="1913"/>
      <c r="BL56" s="1913"/>
      <c r="BM56" s="1913"/>
      <c r="BN56" s="1913"/>
      <c r="BO56" s="1913"/>
      <c r="BP56" s="1913"/>
      <c r="BQ56" s="1913"/>
      <c r="BR56" s="1913"/>
      <c r="BS56" s="1913"/>
      <c r="BT56" s="1913"/>
      <c r="BU56" s="1913"/>
      <c r="BV56" s="1913"/>
      <c r="BW56" s="1913"/>
      <c r="BX56" s="1913"/>
      <c r="BY56" s="1913"/>
      <c r="BZ56" s="1913"/>
      <c r="CA56" s="1913"/>
      <c r="CB56" s="1913"/>
      <c r="CC56" s="1913"/>
      <c r="CD56" s="1913"/>
      <c r="CE56" s="1913"/>
      <c r="CF56" s="1913"/>
      <c r="CG56" s="1913"/>
      <c r="CH56" s="1913"/>
      <c r="CI56" s="1913"/>
      <c r="CJ56" s="1913"/>
      <c r="CK56" s="1913"/>
      <c r="CL56" s="1920"/>
      <c r="CM56" s="43"/>
    </row>
    <row r="57" spans="2:91" ht="9.75" customHeight="1">
      <c r="B57" s="1910"/>
      <c r="C57" s="45"/>
      <c r="D57" s="46"/>
      <c r="E57" s="46"/>
      <c r="F57" s="46"/>
      <c r="G57" s="46"/>
      <c r="H57" s="46"/>
      <c r="I57" s="46"/>
      <c r="J57" s="46"/>
      <c r="K57" s="46"/>
      <c r="L57" s="46"/>
      <c r="M57" s="46"/>
      <c r="N57" s="46"/>
      <c r="O57" s="46"/>
      <c r="P57" s="46"/>
      <c r="Q57" s="46"/>
      <c r="R57" s="46"/>
      <c r="S57" s="46"/>
      <c r="T57" s="46"/>
      <c r="U57" s="46"/>
      <c r="V57" s="46"/>
      <c r="W57" s="46"/>
      <c r="X57" s="46"/>
      <c r="Y57" s="111"/>
      <c r="Z57" s="111"/>
      <c r="AA57" s="111"/>
      <c r="AB57" s="111"/>
      <c r="AC57" s="111"/>
      <c r="AD57" s="111"/>
      <c r="AE57" s="111"/>
      <c r="AF57" s="111"/>
      <c r="AG57" s="111"/>
      <c r="AH57" s="111"/>
      <c r="AI57" s="111"/>
      <c r="AJ57" s="111"/>
      <c r="AK57" s="111"/>
      <c r="AL57" s="111"/>
      <c r="AM57" s="111"/>
      <c r="AN57" s="111"/>
      <c r="AO57" s="111"/>
      <c r="AP57" s="111"/>
      <c r="AQ57" s="112"/>
      <c r="AR57" s="1929"/>
      <c r="AS57" s="110"/>
      <c r="AT57" s="1929"/>
      <c r="AU57" s="113"/>
      <c r="AV57" s="111"/>
      <c r="AW57" s="111"/>
      <c r="AX57" s="111"/>
      <c r="AY57" s="111"/>
      <c r="AZ57" s="111"/>
      <c r="BA57" s="111"/>
      <c r="BB57" s="111"/>
      <c r="BC57" s="111"/>
      <c r="BD57" s="111"/>
      <c r="BE57" s="111"/>
      <c r="BF57" s="111"/>
      <c r="BG57" s="111"/>
      <c r="BH57" s="111"/>
      <c r="BI57" s="111"/>
      <c r="BJ57" s="46"/>
      <c r="BK57" s="46"/>
      <c r="BL57" s="46"/>
      <c r="BM57" s="46"/>
      <c r="BN57" s="46"/>
      <c r="BO57" s="46"/>
      <c r="BP57" s="46"/>
      <c r="BQ57" s="46"/>
      <c r="BR57" s="46"/>
      <c r="BS57" s="46"/>
      <c r="BT57" s="46"/>
      <c r="BU57" s="46"/>
      <c r="BV57" s="46"/>
      <c r="BW57" s="46"/>
      <c r="BX57" s="46"/>
      <c r="BY57" s="46"/>
      <c r="BZ57" s="46"/>
      <c r="CA57" s="46"/>
      <c r="CB57" s="46"/>
      <c r="CC57" s="46"/>
      <c r="CD57" s="46"/>
      <c r="CE57" s="46"/>
      <c r="CF57" s="46"/>
      <c r="CG57" s="46"/>
      <c r="CH57" s="46"/>
      <c r="CI57" s="46"/>
      <c r="CJ57" s="46"/>
      <c r="CK57" s="47"/>
      <c r="CL57" s="1928"/>
      <c r="CM57" s="43"/>
    </row>
    <row r="58" spans="2:91" ht="18" customHeight="1">
      <c r="B58" s="1910"/>
      <c r="C58" s="101"/>
      <c r="D58" s="51" t="s">
        <v>766</v>
      </c>
      <c r="E58" s="51"/>
      <c r="F58" s="51"/>
      <c r="G58" s="51"/>
      <c r="H58" s="51"/>
      <c r="I58" s="59"/>
      <c r="J58" s="59"/>
      <c r="K58" s="59"/>
      <c r="L58" s="59"/>
      <c r="M58" s="59"/>
      <c r="N58" s="59"/>
      <c r="O58" s="59"/>
      <c r="P58" s="59"/>
      <c r="Q58" s="59"/>
      <c r="R58" s="59"/>
      <c r="S58" s="59"/>
      <c r="T58" s="59"/>
      <c r="U58" s="59"/>
      <c r="V58" s="59"/>
      <c r="W58" s="59"/>
      <c r="X58" s="59"/>
      <c r="Y58" s="59"/>
      <c r="Z58" s="59"/>
      <c r="AA58" s="59"/>
      <c r="AB58" s="59"/>
      <c r="AC58" s="59"/>
      <c r="AD58" s="55"/>
      <c r="AE58" s="59"/>
      <c r="AF58" s="57"/>
      <c r="AG58" s="59"/>
      <c r="AH58" s="59"/>
      <c r="AI58" s="59"/>
      <c r="AJ58" s="59"/>
      <c r="AK58" s="59"/>
      <c r="AL58" s="59"/>
      <c r="AM58" s="59"/>
      <c r="AN58" s="3620">
        <f>'CALCULS Eaux pluviales'!L125</f>
        <v>0</v>
      </c>
      <c r="AO58" s="3620"/>
      <c r="AP58" s="3620"/>
      <c r="AQ58" s="114"/>
      <c r="AR58" s="1929"/>
      <c r="AS58" s="110"/>
      <c r="AT58" s="1929"/>
      <c r="AU58" s="115"/>
      <c r="AV58" s="102" t="s">
        <v>767</v>
      </c>
      <c r="AW58" s="102"/>
      <c r="BA58" s="59"/>
      <c r="BB58" s="59"/>
      <c r="BC58" s="59"/>
      <c r="BD58" s="59"/>
      <c r="BE58" s="59"/>
      <c r="BF58" s="59"/>
      <c r="BG58" s="55"/>
      <c r="BH58" s="59"/>
      <c r="BI58" s="57"/>
      <c r="BJ58" s="59"/>
      <c r="BL58" s="59"/>
      <c r="BN58" s="59"/>
      <c r="BO58" s="59"/>
      <c r="BP58" s="59"/>
      <c r="BQ58" s="59"/>
      <c r="BR58" s="59"/>
      <c r="BS58" s="59"/>
      <c r="BT58" s="59"/>
      <c r="BU58" s="59"/>
      <c r="BV58" s="59"/>
      <c r="BW58" s="59"/>
      <c r="BX58" s="59"/>
      <c r="BY58" s="59"/>
      <c r="BZ58" s="59"/>
      <c r="CA58" s="59"/>
      <c r="CB58" s="59"/>
      <c r="CC58" s="59"/>
      <c r="CD58" s="59"/>
      <c r="CE58" s="59"/>
      <c r="CF58" s="59"/>
      <c r="CG58" s="59"/>
      <c r="CH58" s="3620">
        <f>'CALCULS Eaux pluviales'!L112</f>
        <v>0</v>
      </c>
      <c r="CI58" s="3620"/>
      <c r="CJ58" s="3620"/>
      <c r="CK58" s="61"/>
      <c r="CL58" s="1928"/>
      <c r="CM58" s="43"/>
    </row>
    <row r="59" spans="2:91" ht="7.5" customHeight="1">
      <c r="B59" s="1910"/>
      <c r="C59" s="50"/>
      <c r="D59" s="52"/>
      <c r="E59" s="52"/>
      <c r="F59" s="52"/>
      <c r="G59" s="52"/>
      <c r="H59" s="52"/>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114"/>
      <c r="AR59" s="1929"/>
      <c r="AS59" s="110"/>
      <c r="AT59" s="1929"/>
      <c r="AU59" s="115"/>
      <c r="AV59" s="59"/>
      <c r="AW59" s="59"/>
      <c r="AX59" s="59"/>
      <c r="AY59" s="59"/>
      <c r="AZ59" s="59"/>
      <c r="BA59" s="59"/>
      <c r="BB59" s="59"/>
      <c r="BC59" s="59"/>
      <c r="BD59" s="59"/>
      <c r="BE59" s="59"/>
      <c r="BF59" s="59"/>
      <c r="BG59" s="59"/>
      <c r="BH59" s="59"/>
      <c r="BI59" s="59"/>
      <c r="BJ59" s="59"/>
      <c r="BK59" s="59"/>
      <c r="BL59" s="59"/>
      <c r="BM59" s="59"/>
      <c r="BN59" s="59"/>
      <c r="BO59" s="59"/>
      <c r="BP59" s="59"/>
      <c r="BQ59" s="59"/>
      <c r="BR59" s="59"/>
      <c r="BS59" s="59"/>
      <c r="BT59" s="59"/>
      <c r="BU59" s="59"/>
      <c r="BV59" s="59"/>
      <c r="BW59" s="59"/>
      <c r="BX59" s="59"/>
      <c r="BY59" s="59"/>
      <c r="BZ59" s="59"/>
      <c r="CA59" s="59"/>
      <c r="CB59" s="59"/>
      <c r="CC59" s="59"/>
      <c r="CD59" s="59"/>
      <c r="CE59" s="59"/>
      <c r="CF59" s="59"/>
      <c r="CG59" s="59"/>
      <c r="CH59" s="59"/>
      <c r="CI59" s="59"/>
      <c r="CJ59" s="59"/>
      <c r="CK59" s="61"/>
      <c r="CL59" s="1928"/>
      <c r="CM59" s="43"/>
    </row>
    <row r="60" spans="2:91" ht="6" customHeight="1">
      <c r="B60" s="1910"/>
      <c r="C60" s="50"/>
      <c r="D60" s="52"/>
      <c r="E60" s="52"/>
      <c r="F60" s="52"/>
      <c r="G60" s="2539"/>
      <c r="H60" s="52"/>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114"/>
      <c r="AR60" s="1929"/>
      <c r="AS60" s="110"/>
      <c r="AT60" s="1929"/>
      <c r="AU60" s="115"/>
      <c r="AV60" s="59"/>
      <c r="AW60" s="59"/>
      <c r="AX60" s="59"/>
      <c r="AY60" s="59"/>
      <c r="AZ60" s="59"/>
      <c r="BA60" s="1460"/>
      <c r="BB60" s="59"/>
      <c r="BC60" s="59"/>
      <c r="BD60" s="59"/>
      <c r="BE60" s="59"/>
      <c r="BF60" s="59"/>
      <c r="BG60" s="59"/>
      <c r="BH60" s="59"/>
      <c r="BI60" s="59"/>
      <c r="BJ60" s="59"/>
      <c r="BK60" s="59"/>
      <c r="BL60" s="59"/>
      <c r="BM60" s="59"/>
      <c r="BN60" s="59"/>
      <c r="BO60" s="59"/>
      <c r="BP60" s="59"/>
      <c r="BQ60" s="59"/>
      <c r="BR60" s="59"/>
      <c r="BS60" s="59"/>
      <c r="BT60" s="59"/>
      <c r="BU60" s="59"/>
      <c r="BV60" s="59"/>
      <c r="BW60" s="59"/>
      <c r="BX60" s="59"/>
      <c r="BY60" s="59"/>
      <c r="BZ60" s="59"/>
      <c r="CA60" s="59"/>
      <c r="CB60" s="59"/>
      <c r="CC60" s="59"/>
      <c r="CD60" s="59"/>
      <c r="CE60" s="59"/>
      <c r="CF60" s="59"/>
      <c r="CG60" s="59"/>
      <c r="CH60" s="59"/>
      <c r="CI60" s="59"/>
      <c r="CJ60" s="59"/>
      <c r="CK60" s="61"/>
      <c r="CL60" s="1928"/>
      <c r="CM60" s="43"/>
    </row>
    <row r="61" spans="2:91" ht="10.5" customHeight="1">
      <c r="B61" s="1910"/>
      <c r="C61" s="50"/>
      <c r="D61" s="52"/>
      <c r="E61" s="52"/>
      <c r="F61" s="52"/>
      <c r="G61" s="2535" t="str">
        <f>'CALCULS Eaux pluviales'!D123</f>
        <v>Actifs critiques</v>
      </c>
      <c r="H61" s="2536"/>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114"/>
      <c r="AR61" s="1929"/>
      <c r="AS61" s="110"/>
      <c r="AT61" s="1929"/>
      <c r="AU61" s="115"/>
      <c r="AV61" s="59"/>
      <c r="AW61" s="59"/>
      <c r="AX61" s="59"/>
      <c r="AY61" s="59"/>
      <c r="AZ61" s="2535" t="str">
        <f>'CALCULS Eaux pluviales'!D105</f>
        <v>Démographiques</v>
      </c>
      <c r="BA61" s="122"/>
      <c r="BB61" s="59"/>
      <c r="BC61" s="59"/>
      <c r="BD61" s="59"/>
      <c r="BE61" s="59"/>
      <c r="BF61" s="59"/>
      <c r="BG61" s="59"/>
      <c r="BH61" s="59"/>
      <c r="BI61" s="59"/>
      <c r="BJ61" s="59"/>
      <c r="BK61" s="59"/>
      <c r="BL61" s="59"/>
      <c r="BM61" s="59"/>
      <c r="BN61" s="55"/>
      <c r="BO61" s="59"/>
      <c r="BP61" s="59"/>
      <c r="BQ61" s="59"/>
      <c r="BR61" s="59"/>
      <c r="BS61" s="59"/>
      <c r="BT61" s="59"/>
      <c r="BU61" s="59"/>
      <c r="BV61" s="59"/>
      <c r="BW61" s="59"/>
      <c r="BX61" s="59"/>
      <c r="BY61" s="55"/>
      <c r="BZ61" s="59"/>
      <c r="CA61" s="59"/>
      <c r="CB61" s="59"/>
      <c r="CC61" s="59"/>
      <c r="CD61" s="59"/>
      <c r="CE61" s="59"/>
      <c r="CF61" s="59"/>
      <c r="CG61" s="59"/>
      <c r="CH61" s="59"/>
      <c r="CI61" s="59"/>
      <c r="CJ61" s="59"/>
      <c r="CK61" s="61"/>
      <c r="CL61" s="1928"/>
      <c r="CM61" s="43"/>
    </row>
    <row r="62" spans="2:91" ht="6" customHeight="1">
      <c r="B62" s="1910"/>
      <c r="C62" s="50"/>
      <c r="D62" s="52"/>
      <c r="E62" s="52"/>
      <c r="F62" s="52"/>
      <c r="G62" s="52"/>
      <c r="H62" s="2536"/>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114"/>
      <c r="AR62" s="1929"/>
      <c r="AS62" s="110"/>
      <c r="AT62" s="1929"/>
      <c r="AU62" s="115"/>
      <c r="AV62" s="59"/>
      <c r="AW62" s="59"/>
      <c r="AX62" s="59"/>
      <c r="AY62" s="59"/>
      <c r="AZ62" s="52"/>
      <c r="BA62" s="122"/>
      <c r="BB62" s="59"/>
      <c r="BC62" s="59"/>
      <c r="BD62" s="59"/>
      <c r="BE62" s="59"/>
      <c r="BF62" s="59"/>
      <c r="BG62" s="59"/>
      <c r="BH62" s="59"/>
      <c r="BI62" s="59"/>
      <c r="BJ62" s="59"/>
      <c r="BK62" s="59"/>
      <c r="BL62" s="59"/>
      <c r="BM62" s="59"/>
      <c r="BN62" s="55"/>
      <c r="BO62" s="59"/>
      <c r="BP62" s="59"/>
      <c r="BQ62" s="59"/>
      <c r="BR62" s="59"/>
      <c r="BS62" s="59"/>
      <c r="BT62" s="59"/>
      <c r="BU62" s="59"/>
      <c r="BV62" s="59"/>
      <c r="BW62" s="59"/>
      <c r="BX62" s="59"/>
      <c r="BY62" s="55"/>
      <c r="BZ62" s="59"/>
      <c r="CA62" s="59"/>
      <c r="CB62" s="59"/>
      <c r="CC62" s="59"/>
      <c r="CD62" s="59"/>
      <c r="CE62" s="59"/>
      <c r="CF62" s="59"/>
      <c r="CG62" s="59"/>
      <c r="CH62" s="59"/>
      <c r="CI62" s="59"/>
      <c r="CJ62" s="59"/>
      <c r="CK62" s="61"/>
      <c r="CL62" s="1928"/>
      <c r="CM62" s="43"/>
    </row>
    <row r="63" spans="2:91" ht="10.5" customHeight="1">
      <c r="B63" s="1910"/>
      <c r="C63" s="50"/>
      <c r="D63" s="52"/>
      <c r="E63" s="52"/>
      <c r="F63" s="52"/>
      <c r="G63" s="2535" t="str">
        <f>'CALCULS Eaux pluviales'!D122</f>
        <v>Dotation de personnel</v>
      </c>
      <c r="H63" s="2536"/>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114"/>
      <c r="AR63" s="1929"/>
      <c r="AS63" s="110"/>
      <c r="AT63" s="1929"/>
      <c r="AU63" s="115"/>
      <c r="AV63" s="59"/>
      <c r="AW63" s="59"/>
      <c r="AX63" s="59"/>
      <c r="AY63" s="59"/>
      <c r="AZ63" s="2535" t="str">
        <f>'CALCULS Eaux pluviales'!D106</f>
        <v>Climatiques</v>
      </c>
      <c r="BA63" s="122"/>
      <c r="BB63" s="59"/>
      <c r="BC63" s="59"/>
      <c r="BD63" s="59"/>
      <c r="BE63" s="59"/>
      <c r="BF63" s="59"/>
      <c r="BG63" s="59"/>
      <c r="BH63" s="59"/>
      <c r="BI63" s="59"/>
      <c r="BJ63" s="59"/>
      <c r="BK63" s="59"/>
      <c r="BL63" s="59"/>
      <c r="BM63" s="59"/>
      <c r="BN63" s="55"/>
      <c r="BO63" s="59"/>
      <c r="BP63" s="59"/>
      <c r="BQ63" s="59"/>
      <c r="BR63" s="59"/>
      <c r="BS63" s="59"/>
      <c r="BT63" s="59"/>
      <c r="BU63" s="59"/>
      <c r="BV63" s="59"/>
      <c r="BW63" s="59"/>
      <c r="BX63" s="59"/>
      <c r="BY63" s="55"/>
      <c r="BZ63" s="59"/>
      <c r="CA63" s="59"/>
      <c r="CB63" s="59"/>
      <c r="CC63" s="59"/>
      <c r="CD63" s="59"/>
      <c r="CE63" s="59"/>
      <c r="CF63" s="59"/>
      <c r="CG63" s="59"/>
      <c r="CH63" s="59"/>
      <c r="CI63" s="59"/>
      <c r="CJ63" s="59"/>
      <c r="CK63" s="61"/>
      <c r="CL63" s="1928"/>
      <c r="CM63" s="43"/>
    </row>
    <row r="64" spans="2:91" ht="6" customHeight="1">
      <c r="B64" s="1910"/>
      <c r="C64" s="50"/>
      <c r="D64" s="52"/>
      <c r="E64" s="52"/>
      <c r="F64" s="52"/>
      <c r="G64" s="52"/>
      <c r="H64" s="2536"/>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114"/>
      <c r="AR64" s="1929"/>
      <c r="AS64" s="110"/>
      <c r="AT64" s="1929"/>
      <c r="AU64" s="115"/>
      <c r="AV64" s="59"/>
      <c r="AW64" s="59"/>
      <c r="AX64" s="59"/>
      <c r="AY64" s="59"/>
      <c r="AZ64" s="52"/>
      <c r="BA64" s="122"/>
      <c r="BB64" s="59"/>
      <c r="BC64" s="59"/>
      <c r="BD64" s="59"/>
      <c r="BE64" s="59"/>
      <c r="BF64" s="59"/>
      <c r="BG64" s="59"/>
      <c r="BH64" s="59"/>
      <c r="BI64" s="59"/>
      <c r="BJ64" s="59"/>
      <c r="BK64" s="59"/>
      <c r="BL64" s="59"/>
      <c r="BM64" s="59"/>
      <c r="BN64" s="55"/>
      <c r="BO64" s="59"/>
      <c r="BP64" s="59"/>
      <c r="BQ64" s="59"/>
      <c r="BR64" s="59"/>
      <c r="BS64" s="59"/>
      <c r="BT64" s="59"/>
      <c r="BU64" s="59"/>
      <c r="BV64" s="59"/>
      <c r="BW64" s="59"/>
      <c r="BX64" s="59"/>
      <c r="BY64" s="55"/>
      <c r="BZ64" s="59"/>
      <c r="CA64" s="59"/>
      <c r="CB64" s="59"/>
      <c r="CC64" s="59"/>
      <c r="CD64" s="59"/>
      <c r="CE64" s="59"/>
      <c r="CF64" s="59"/>
      <c r="CG64" s="59"/>
      <c r="CH64" s="59"/>
      <c r="CI64" s="59"/>
      <c r="CJ64" s="59"/>
      <c r="CK64" s="61"/>
      <c r="CL64" s="1928"/>
      <c r="CM64" s="43"/>
    </row>
    <row r="65" spans="2:91" ht="10.5" customHeight="1">
      <c r="B65" s="1910"/>
      <c r="C65" s="50"/>
      <c r="D65" s="52"/>
      <c r="E65" s="52"/>
      <c r="F65" s="52"/>
      <c r="G65" s="2535" t="str">
        <f>'CALCULS Eaux pluviales'!D121</f>
        <v>Sous-financement</v>
      </c>
      <c r="H65" s="2536"/>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114"/>
      <c r="AR65" s="1929"/>
      <c r="AS65" s="110"/>
      <c r="AT65" s="1929"/>
      <c r="AU65" s="115"/>
      <c r="AV65" s="59"/>
      <c r="AW65" s="59"/>
      <c r="AX65" s="59"/>
      <c r="AY65" s="59"/>
      <c r="AZ65" s="2535" t="str">
        <f>'CALCULS Eaux pluviales'!D107</f>
        <v>Cadre légal et règlementaire</v>
      </c>
      <c r="BA65" s="122"/>
      <c r="BB65" s="59"/>
      <c r="BC65" s="59"/>
      <c r="BD65" s="59"/>
      <c r="BE65" s="59"/>
      <c r="BF65" s="59"/>
      <c r="BG65" s="59"/>
      <c r="BH65" s="59"/>
      <c r="BI65" s="59"/>
      <c r="BJ65" s="59"/>
      <c r="BK65" s="59"/>
      <c r="BL65" s="59"/>
      <c r="BM65" s="59"/>
      <c r="BN65" s="55"/>
      <c r="BO65" s="59"/>
      <c r="BP65" s="59"/>
      <c r="BQ65" s="59"/>
      <c r="BR65" s="59"/>
      <c r="BS65" s="59"/>
      <c r="BT65" s="59"/>
      <c r="BU65" s="59"/>
      <c r="BV65" s="59"/>
      <c r="BW65" s="59"/>
      <c r="BX65" s="59"/>
      <c r="BY65" s="55"/>
      <c r="BZ65" s="59"/>
      <c r="CA65" s="59"/>
      <c r="CB65" s="59"/>
      <c r="CC65" s="59"/>
      <c r="CD65" s="59"/>
      <c r="CE65" s="59"/>
      <c r="CF65" s="59"/>
      <c r="CG65" s="59"/>
      <c r="CH65" s="59"/>
      <c r="CI65" s="59"/>
      <c r="CJ65" s="59"/>
      <c r="CK65" s="61"/>
      <c r="CL65" s="1928"/>
      <c r="CM65" s="43"/>
    </row>
    <row r="66" spans="2:91" ht="6" customHeight="1">
      <c r="B66" s="1910"/>
      <c r="C66" s="50"/>
      <c r="D66" s="52"/>
      <c r="E66" s="52"/>
      <c r="F66" s="52"/>
      <c r="G66" s="52"/>
      <c r="H66" s="2536"/>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114"/>
      <c r="AR66" s="1929"/>
      <c r="AS66" s="110"/>
      <c r="AT66" s="1929"/>
      <c r="AU66" s="115"/>
      <c r="AV66" s="59"/>
      <c r="AW66" s="59"/>
      <c r="AX66" s="59"/>
      <c r="AY66" s="59"/>
      <c r="AZ66" s="52"/>
      <c r="BA66" s="122"/>
      <c r="BB66" s="59"/>
      <c r="BC66" s="59"/>
      <c r="BD66" s="59"/>
      <c r="BE66" s="59"/>
      <c r="BF66" s="59"/>
      <c r="BG66" s="59"/>
      <c r="BH66" s="59"/>
      <c r="BI66" s="59"/>
      <c r="BJ66" s="59"/>
      <c r="BK66" s="59"/>
      <c r="BL66" s="59"/>
      <c r="BM66" s="59"/>
      <c r="BN66" s="55"/>
      <c r="BO66" s="59"/>
      <c r="BP66" s="59"/>
      <c r="BQ66" s="59"/>
      <c r="BR66" s="59"/>
      <c r="BS66" s="59"/>
      <c r="BT66" s="59"/>
      <c r="BU66" s="59"/>
      <c r="BV66" s="59"/>
      <c r="BW66" s="59"/>
      <c r="BX66" s="59"/>
      <c r="BY66" s="55"/>
      <c r="BZ66" s="59"/>
      <c r="CA66" s="59"/>
      <c r="CB66" s="59"/>
      <c r="CC66" s="59"/>
      <c r="CD66" s="59"/>
      <c r="CE66" s="59"/>
      <c r="CF66" s="59"/>
      <c r="CG66" s="59"/>
      <c r="CH66" s="59"/>
      <c r="CI66" s="59"/>
      <c r="CJ66" s="59"/>
      <c r="CK66" s="61"/>
      <c r="CL66" s="1928"/>
      <c r="CM66" s="43"/>
    </row>
    <row r="67" spans="2:91" ht="10.5" customHeight="1">
      <c r="B67" s="1910"/>
      <c r="C67" s="50"/>
      <c r="D67" s="52"/>
      <c r="E67" s="52"/>
      <c r="F67" s="52"/>
      <c r="G67" s="2535" t="str">
        <f>'CALCULS Eaux pluviales'!D120</f>
        <v>Changements climatiques</v>
      </c>
      <c r="H67" s="2536"/>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114"/>
      <c r="AR67" s="1929"/>
      <c r="AS67" s="110"/>
      <c r="AT67" s="1929"/>
      <c r="AU67" s="115"/>
      <c r="AV67" s="59"/>
      <c r="AW67" s="59"/>
      <c r="AX67" s="59"/>
      <c r="AY67" s="59"/>
      <c r="AZ67" s="2535" t="str">
        <f>'CALCULS Eaux pluviales'!D108</f>
        <v>Économiques</v>
      </c>
      <c r="BA67" s="122"/>
      <c r="BB67" s="59"/>
      <c r="BC67" s="59"/>
      <c r="BD67" s="59"/>
      <c r="BE67" s="59"/>
      <c r="BF67" s="59"/>
      <c r="BG67" s="59"/>
      <c r="BH67" s="59"/>
      <c r="BI67" s="59"/>
      <c r="BJ67" s="59"/>
      <c r="BK67" s="59"/>
      <c r="BL67" s="59"/>
      <c r="BM67" s="59"/>
      <c r="BN67" s="55"/>
      <c r="BO67" s="59"/>
      <c r="BP67" s="59"/>
      <c r="BQ67" s="59"/>
      <c r="BR67" s="59"/>
      <c r="BS67" s="59"/>
      <c r="BT67" s="59"/>
      <c r="BU67" s="59"/>
      <c r="BV67" s="59"/>
      <c r="BW67" s="59"/>
      <c r="BX67" s="59"/>
      <c r="BY67" s="55"/>
      <c r="BZ67" s="59"/>
      <c r="CA67" s="59"/>
      <c r="CB67" s="59"/>
      <c r="CC67" s="59"/>
      <c r="CD67" s="59"/>
      <c r="CE67" s="59"/>
      <c r="CF67" s="59"/>
      <c r="CG67" s="59"/>
      <c r="CH67" s="59"/>
      <c r="CI67" s="59"/>
      <c r="CJ67" s="59"/>
      <c r="CK67" s="61"/>
      <c r="CL67" s="1928"/>
      <c r="CM67" s="43"/>
    </row>
    <row r="68" spans="2:91" ht="6" customHeight="1">
      <c r="B68" s="1910"/>
      <c r="C68" s="50"/>
      <c r="D68" s="52"/>
      <c r="E68" s="52"/>
      <c r="F68" s="52"/>
      <c r="G68" s="52"/>
      <c r="H68" s="2536"/>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114"/>
      <c r="AR68" s="1929"/>
      <c r="AS68" s="110"/>
      <c r="AT68" s="1929"/>
      <c r="AU68" s="115"/>
      <c r="AV68" s="59"/>
      <c r="AW68" s="59"/>
      <c r="AX68" s="59"/>
      <c r="AY68" s="59"/>
      <c r="AZ68" s="52"/>
      <c r="BA68" s="122"/>
      <c r="BB68" s="59"/>
      <c r="BC68" s="59"/>
      <c r="BD68" s="59"/>
      <c r="BE68" s="59"/>
      <c r="BF68" s="59"/>
      <c r="BG68" s="59"/>
      <c r="BH68" s="59"/>
      <c r="BI68" s="59"/>
      <c r="BJ68" s="59"/>
      <c r="BK68" s="59"/>
      <c r="BL68" s="59"/>
      <c r="BM68" s="59"/>
      <c r="BN68" s="55"/>
      <c r="BO68" s="59"/>
      <c r="BP68" s="59"/>
      <c r="BQ68" s="59"/>
      <c r="BR68" s="59"/>
      <c r="BS68" s="59"/>
      <c r="BT68" s="59"/>
      <c r="BU68" s="59"/>
      <c r="BV68" s="59"/>
      <c r="BW68" s="59"/>
      <c r="BX68" s="59"/>
      <c r="BY68" s="55"/>
      <c r="BZ68" s="59"/>
      <c r="CA68" s="59"/>
      <c r="CB68" s="59"/>
      <c r="CC68" s="59"/>
      <c r="CD68" s="59"/>
      <c r="CE68" s="59"/>
      <c r="CF68" s="59"/>
      <c r="CG68" s="59"/>
      <c r="CH68" s="59"/>
      <c r="CI68" s="59"/>
      <c r="CJ68" s="59"/>
      <c r="CK68" s="61"/>
      <c r="CL68" s="1928"/>
      <c r="CM68" s="43"/>
    </row>
    <row r="69" spans="2:91" ht="10.5" customHeight="1">
      <c r="B69" s="1910"/>
      <c r="C69" s="50"/>
      <c r="D69" s="52"/>
      <c r="E69" s="52"/>
      <c r="F69" s="52"/>
      <c r="G69" s="2535" t="str">
        <f>'CALCULS Eaux pluviales'!D119</f>
        <v>Manque d'informations</v>
      </c>
      <c r="H69" s="2536"/>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114"/>
      <c r="AR69" s="1929"/>
      <c r="AS69" s="110"/>
      <c r="AT69" s="1929"/>
      <c r="AU69" s="115"/>
      <c r="AV69" s="59"/>
      <c r="AW69" s="59"/>
      <c r="AX69" s="59"/>
      <c r="AY69" s="59"/>
      <c r="AZ69" s="2535" t="str">
        <f>'CALCULS Eaux pluviales'!D109</f>
        <v>Technologiques</v>
      </c>
      <c r="BA69" s="122"/>
      <c r="BB69" s="59"/>
      <c r="BC69" s="59"/>
      <c r="BD69" s="59"/>
      <c r="BE69" s="59"/>
      <c r="BF69" s="59"/>
      <c r="BG69" s="59"/>
      <c r="BH69" s="59"/>
      <c r="BI69" s="59"/>
      <c r="BJ69" s="59"/>
      <c r="BK69" s="59"/>
      <c r="BL69" s="59"/>
      <c r="BM69" s="59"/>
      <c r="BN69" s="55"/>
      <c r="BO69" s="59"/>
      <c r="BP69" s="59"/>
      <c r="BQ69" s="59"/>
      <c r="BR69" s="59"/>
      <c r="BS69" s="59"/>
      <c r="BT69" s="59"/>
      <c r="BU69" s="59"/>
      <c r="BV69" s="59"/>
      <c r="BW69" s="59"/>
      <c r="BX69" s="59"/>
      <c r="BY69" s="55"/>
      <c r="BZ69" s="59"/>
      <c r="CA69" s="59"/>
      <c r="CB69" s="59"/>
      <c r="CC69" s="59"/>
      <c r="CD69" s="59"/>
      <c r="CE69" s="59"/>
      <c r="CF69" s="59"/>
      <c r="CG69" s="59"/>
      <c r="CH69" s="59"/>
      <c r="CI69" s="59"/>
      <c r="CJ69" s="59"/>
      <c r="CK69" s="61"/>
      <c r="CL69" s="1928"/>
      <c r="CM69" s="43"/>
    </row>
    <row r="70" spans="2:91" ht="6" customHeight="1">
      <c r="B70" s="1910"/>
      <c r="C70" s="50"/>
      <c r="D70" s="52"/>
      <c r="E70" s="52"/>
      <c r="F70" s="52"/>
      <c r="G70" s="52"/>
      <c r="H70" s="2536"/>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114"/>
      <c r="AR70" s="1929"/>
      <c r="AS70" s="110"/>
      <c r="AT70" s="1929"/>
      <c r="AU70" s="115"/>
      <c r="AV70" s="59"/>
      <c r="AW70" s="59"/>
      <c r="AX70" s="59"/>
      <c r="AY70" s="59"/>
      <c r="AZ70" s="59"/>
      <c r="BA70" s="122"/>
      <c r="BB70" s="59"/>
      <c r="BC70" s="59"/>
      <c r="BD70" s="59"/>
      <c r="BE70" s="59"/>
      <c r="BF70" s="59"/>
      <c r="BG70" s="59"/>
      <c r="BH70" s="59"/>
      <c r="BI70" s="59"/>
      <c r="BJ70" s="59"/>
      <c r="BK70" s="59"/>
      <c r="BL70" s="59"/>
      <c r="BM70" s="59"/>
      <c r="BN70" s="55"/>
      <c r="BO70" s="59"/>
      <c r="BP70" s="59"/>
      <c r="BQ70" s="59"/>
      <c r="BR70" s="59"/>
      <c r="BS70" s="59"/>
      <c r="BT70" s="59"/>
      <c r="BU70" s="59"/>
      <c r="BV70" s="59"/>
      <c r="BW70" s="59"/>
      <c r="BX70" s="59"/>
      <c r="BY70" s="55"/>
      <c r="BZ70" s="59"/>
      <c r="CA70" s="59"/>
      <c r="CB70" s="59"/>
      <c r="CC70" s="59"/>
      <c r="CD70" s="59"/>
      <c r="CE70" s="59"/>
      <c r="CF70" s="59"/>
      <c r="CG70" s="59"/>
      <c r="CH70" s="59"/>
      <c r="CI70" s="59"/>
      <c r="CJ70" s="59"/>
      <c r="CK70" s="61"/>
      <c r="CL70" s="1928"/>
      <c r="CM70" s="43"/>
    </row>
    <row r="71" spans="2:91" ht="10.5" customHeight="1">
      <c r="B71" s="1910"/>
      <c r="C71" s="50"/>
      <c r="D71" s="3579" t="str">
        <f>'CALCULS Eaux pluviales'!D118</f>
        <v xml:space="preserve">Autre </v>
      </c>
      <c r="E71" s="3579"/>
      <c r="F71" s="3579"/>
      <c r="G71" s="3579"/>
      <c r="H71" s="2536"/>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114"/>
      <c r="AR71" s="1929"/>
      <c r="AS71" s="110"/>
      <c r="AT71" s="1929"/>
      <c r="AU71" s="115"/>
      <c r="AV71" s="59"/>
      <c r="AW71" s="3579" t="str">
        <f>'CALCULS Eaux pluviales'!D110</f>
        <v xml:space="preserve">Autre </v>
      </c>
      <c r="AX71" s="3579"/>
      <c r="AY71" s="3579"/>
      <c r="AZ71" s="3579"/>
      <c r="BA71" s="122"/>
      <c r="BB71" s="59"/>
      <c r="BC71" s="59"/>
      <c r="BD71" s="59"/>
      <c r="BE71" s="59"/>
      <c r="BF71" s="59"/>
      <c r="BG71" s="59"/>
      <c r="BH71" s="59"/>
      <c r="BI71" s="59"/>
      <c r="BJ71" s="59"/>
      <c r="BK71" s="59"/>
      <c r="BL71" s="59"/>
      <c r="BM71" s="59"/>
      <c r="BN71" s="55"/>
      <c r="BO71" s="59"/>
      <c r="BP71" s="59"/>
      <c r="BQ71" s="59"/>
      <c r="BR71" s="59"/>
      <c r="BS71" s="59"/>
      <c r="BT71" s="59"/>
      <c r="BU71" s="59"/>
      <c r="BV71" s="59"/>
      <c r="BW71" s="59"/>
      <c r="BX71" s="59"/>
      <c r="BY71" s="55"/>
      <c r="BZ71" s="59"/>
      <c r="CA71" s="59"/>
      <c r="CB71" s="59"/>
      <c r="CC71" s="59"/>
      <c r="CD71" s="59"/>
      <c r="CE71" s="59"/>
      <c r="CF71" s="59"/>
      <c r="CG71" s="59"/>
      <c r="CH71" s="59"/>
      <c r="CI71" s="59"/>
      <c r="CJ71" s="59"/>
      <c r="CK71" s="61"/>
      <c r="CL71" s="1928"/>
      <c r="CM71" s="43"/>
    </row>
    <row r="72" spans="2:91" ht="6" customHeight="1">
      <c r="B72" s="1910"/>
      <c r="C72" s="50"/>
      <c r="D72" s="3579"/>
      <c r="E72" s="3579"/>
      <c r="F72" s="3579"/>
      <c r="G72" s="3579"/>
      <c r="H72" s="2537"/>
      <c r="I72" s="1578"/>
      <c r="J72" s="1578"/>
      <c r="K72" s="1578"/>
      <c r="L72" s="1578"/>
      <c r="M72" s="1578"/>
      <c r="N72" s="1578"/>
      <c r="O72" s="1578"/>
      <c r="P72" s="1578"/>
      <c r="Q72" s="1578"/>
      <c r="R72" s="1578"/>
      <c r="S72" s="1578"/>
      <c r="T72" s="1578"/>
      <c r="U72" s="1578"/>
      <c r="V72" s="1578"/>
      <c r="W72" s="1578"/>
      <c r="X72" s="1578"/>
      <c r="Y72" s="1578"/>
      <c r="Z72" s="1578"/>
      <c r="AA72" s="1578"/>
      <c r="AB72" s="1578"/>
      <c r="AC72" s="1578"/>
      <c r="AD72" s="1578"/>
      <c r="AE72" s="1578"/>
      <c r="AF72" s="1578"/>
      <c r="AG72" s="1578"/>
      <c r="AH72" s="1578"/>
      <c r="AI72" s="1578"/>
      <c r="AJ72" s="1578"/>
      <c r="AK72" s="1578"/>
      <c r="AL72" s="1578"/>
      <c r="AM72" s="1578"/>
      <c r="AN72" s="1578"/>
      <c r="AO72" s="1578"/>
      <c r="AP72" s="1578"/>
      <c r="AQ72" s="114"/>
      <c r="AR72" s="1929"/>
      <c r="AS72" s="110"/>
      <c r="AT72" s="1929"/>
      <c r="AU72" s="115"/>
      <c r="AV72" s="59"/>
      <c r="AW72" s="3579"/>
      <c r="AX72" s="3579"/>
      <c r="AY72" s="3579"/>
      <c r="AZ72" s="3579"/>
      <c r="BA72" s="2538"/>
      <c r="BB72" s="1578"/>
      <c r="BC72" s="1578"/>
      <c r="BD72" s="1578"/>
      <c r="BE72" s="1578"/>
      <c r="BF72" s="1578"/>
      <c r="BG72" s="1578"/>
      <c r="BH72" s="1578"/>
      <c r="BI72" s="1578"/>
      <c r="BJ72" s="1578"/>
      <c r="BK72" s="1578"/>
      <c r="BL72" s="1578"/>
      <c r="BM72" s="1578"/>
      <c r="BN72" s="1578"/>
      <c r="BO72" s="1578"/>
      <c r="BP72" s="1578"/>
      <c r="BQ72" s="1578"/>
      <c r="BR72" s="1578"/>
      <c r="BS72" s="1578"/>
      <c r="BT72" s="1578"/>
      <c r="BU72" s="1578"/>
      <c r="BV72" s="1578"/>
      <c r="BW72" s="1578"/>
      <c r="BX72" s="1578"/>
      <c r="BY72" s="1578"/>
      <c r="BZ72" s="1578"/>
      <c r="CA72" s="1578"/>
      <c r="CB72" s="1578"/>
      <c r="CC72" s="1578"/>
      <c r="CD72" s="1578"/>
      <c r="CE72" s="1578"/>
      <c r="CF72" s="1578"/>
      <c r="CG72" s="1578"/>
      <c r="CH72" s="1578"/>
      <c r="CI72" s="1578"/>
      <c r="CJ72" s="1578"/>
      <c r="CK72" s="61"/>
      <c r="CL72" s="1928"/>
      <c r="CM72" s="43"/>
    </row>
    <row r="73" spans="2:91" ht="6.75" customHeight="1">
      <c r="B73" s="1910"/>
      <c r="C73" s="50"/>
      <c r="D73" s="3579"/>
      <c r="E73" s="3579"/>
      <c r="F73" s="3579"/>
      <c r="G73" s="3579"/>
      <c r="H73" s="52"/>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114"/>
      <c r="AR73" s="1929"/>
      <c r="AS73" s="110"/>
      <c r="AT73" s="1929"/>
      <c r="AU73" s="115"/>
      <c r="AV73" s="59"/>
      <c r="AW73" s="3579"/>
      <c r="AX73" s="3579"/>
      <c r="AY73" s="3579"/>
      <c r="AZ73" s="3579"/>
      <c r="BA73" s="59"/>
      <c r="BB73" s="59"/>
      <c r="BC73" s="59"/>
      <c r="BD73" s="59"/>
      <c r="BE73" s="59"/>
      <c r="BF73" s="59"/>
      <c r="BG73" s="59"/>
      <c r="BH73" s="59"/>
      <c r="BI73" s="59"/>
      <c r="BJ73" s="59"/>
      <c r="BK73" s="59"/>
      <c r="BL73" s="59"/>
      <c r="BM73" s="59"/>
      <c r="BN73" s="59"/>
      <c r="BO73" s="59"/>
      <c r="BP73" s="59"/>
      <c r="BQ73" s="59"/>
      <c r="BR73" s="59"/>
      <c r="BS73" s="59"/>
      <c r="BT73" s="59"/>
      <c r="BU73" s="59"/>
      <c r="BV73" s="59"/>
      <c r="BW73" s="59"/>
      <c r="BX73" s="59"/>
      <c r="BY73" s="59"/>
      <c r="BZ73" s="59"/>
      <c r="CA73" s="59"/>
      <c r="CB73" s="59"/>
      <c r="CC73" s="59"/>
      <c r="CD73" s="59"/>
      <c r="CE73" s="59"/>
      <c r="CF73" s="59"/>
      <c r="CG73" s="59"/>
      <c r="CH73" s="59"/>
      <c r="CI73" s="59"/>
      <c r="CJ73" s="59"/>
      <c r="CK73" s="61"/>
      <c r="CL73" s="1928"/>
      <c r="CM73" s="43"/>
    </row>
    <row r="74" spans="2:91" ht="36.75" customHeight="1">
      <c r="B74" s="1910"/>
      <c r="C74" s="50"/>
      <c r="D74" s="59"/>
      <c r="E74" s="59"/>
      <c r="F74" s="59"/>
      <c r="G74" s="59"/>
      <c r="H74" s="3580" t="s">
        <v>768</v>
      </c>
      <c r="I74" s="3580"/>
      <c r="J74" s="3580"/>
      <c r="K74" s="3580"/>
      <c r="L74" s="3580"/>
      <c r="M74" s="3580"/>
      <c r="N74" s="3580"/>
      <c r="O74" s="3580"/>
      <c r="P74" s="3580"/>
      <c r="Q74" s="3580"/>
      <c r="R74" s="3580"/>
      <c r="S74" s="392"/>
      <c r="T74" s="3580" t="s">
        <v>769</v>
      </c>
      <c r="U74" s="3580"/>
      <c r="V74" s="3580"/>
      <c r="W74" s="3580"/>
      <c r="X74" s="3580"/>
      <c r="Y74" s="3580"/>
      <c r="Z74" s="3580"/>
      <c r="AA74" s="3580"/>
      <c r="AB74" s="3580"/>
      <c r="AC74" s="3580"/>
      <c r="AD74" s="392"/>
      <c r="AE74" s="392"/>
      <c r="AF74" s="3580" t="s">
        <v>770</v>
      </c>
      <c r="AG74" s="3580"/>
      <c r="AH74" s="3580"/>
      <c r="AI74" s="3580"/>
      <c r="AJ74" s="3580"/>
      <c r="AK74" s="3580"/>
      <c r="AL74" s="3580"/>
      <c r="AM74" s="3580"/>
      <c r="AN74" s="3580"/>
      <c r="AO74" s="3580"/>
      <c r="AP74" s="3580"/>
      <c r="AQ74" s="114"/>
      <c r="AR74" s="1929"/>
      <c r="AS74" s="110"/>
      <c r="AT74" s="1929"/>
      <c r="AU74" s="115"/>
      <c r="AV74" s="59"/>
      <c r="AW74" s="59"/>
      <c r="AX74" s="59"/>
      <c r="AY74" s="59"/>
      <c r="AZ74" s="59"/>
      <c r="BA74" s="3577" t="s">
        <v>771</v>
      </c>
      <c r="BB74" s="3577"/>
      <c r="BC74" s="3577"/>
      <c r="BD74" s="3577"/>
      <c r="BE74" s="3577"/>
      <c r="BF74" s="3577"/>
      <c r="BG74" s="3577"/>
      <c r="BH74" s="3577"/>
      <c r="BI74" s="3577"/>
      <c r="BJ74" s="3577"/>
      <c r="BK74" s="3577"/>
      <c r="BL74" s="3577"/>
      <c r="BM74" s="3577"/>
      <c r="BN74" s="3577" t="s">
        <v>772</v>
      </c>
      <c r="BO74" s="3577"/>
      <c r="BP74" s="3577"/>
      <c r="BQ74" s="3577"/>
      <c r="BR74" s="3577"/>
      <c r="BS74" s="3577"/>
      <c r="BT74" s="3577"/>
      <c r="BU74" s="3577"/>
      <c r="BV74" s="3577"/>
      <c r="BW74" s="3577"/>
      <c r="BX74" s="3577"/>
      <c r="BY74" s="2496"/>
      <c r="BZ74" s="3577" t="s">
        <v>773</v>
      </c>
      <c r="CA74" s="3577"/>
      <c r="CB74" s="3577"/>
      <c r="CC74" s="3577"/>
      <c r="CD74" s="3577"/>
      <c r="CE74" s="3577"/>
      <c r="CF74" s="3577"/>
      <c r="CG74" s="3577"/>
      <c r="CH74" s="3577"/>
      <c r="CI74" s="3577"/>
      <c r="CJ74" s="3577"/>
      <c r="CK74" s="61"/>
      <c r="CL74" s="1928"/>
      <c r="CM74" s="43"/>
    </row>
    <row r="75" spans="2:91" ht="7.5" customHeight="1">
      <c r="B75" s="1910"/>
      <c r="C75" s="91"/>
      <c r="D75" s="105"/>
      <c r="E75" s="105"/>
      <c r="F75" s="105"/>
      <c r="G75" s="105"/>
      <c r="H75" s="105"/>
      <c r="I75" s="92"/>
      <c r="J75" s="92"/>
      <c r="K75" s="92"/>
      <c r="L75" s="92"/>
      <c r="M75" s="92"/>
      <c r="N75" s="92"/>
      <c r="O75" s="92"/>
      <c r="P75" s="92"/>
      <c r="Q75" s="92"/>
      <c r="R75" s="92"/>
      <c r="S75" s="92"/>
      <c r="T75" s="92"/>
      <c r="U75" s="92"/>
      <c r="V75" s="92"/>
      <c r="W75" s="92"/>
      <c r="X75" s="92"/>
      <c r="Y75" s="116"/>
      <c r="Z75" s="116"/>
      <c r="AA75" s="116"/>
      <c r="AB75" s="116"/>
      <c r="AC75" s="116"/>
      <c r="AD75" s="116"/>
      <c r="AE75" s="116"/>
      <c r="AF75" s="116"/>
      <c r="AG75" s="116"/>
      <c r="AH75" s="116"/>
      <c r="AI75" s="116"/>
      <c r="AJ75" s="116"/>
      <c r="AK75" s="116"/>
      <c r="AL75" s="116"/>
      <c r="AM75" s="116"/>
      <c r="AN75" s="116"/>
      <c r="AO75" s="116"/>
      <c r="AP75" s="116"/>
      <c r="AQ75" s="117"/>
      <c r="AR75" s="1929"/>
      <c r="AS75" s="110"/>
      <c r="AT75" s="1929"/>
      <c r="AU75" s="118"/>
      <c r="AV75" s="116"/>
      <c r="AW75" s="116"/>
      <c r="AX75" s="116"/>
      <c r="AY75" s="116"/>
      <c r="AZ75" s="116"/>
      <c r="BA75" s="116"/>
      <c r="BB75" s="116"/>
      <c r="BC75" s="116"/>
      <c r="BD75" s="116"/>
      <c r="BE75" s="116"/>
      <c r="BF75" s="116"/>
      <c r="BG75" s="116"/>
      <c r="BH75" s="92"/>
      <c r="BI75" s="92"/>
      <c r="BJ75" s="92"/>
      <c r="BK75" s="92"/>
      <c r="BL75" s="92"/>
      <c r="BM75" s="92"/>
      <c r="BN75" s="92"/>
      <c r="BO75" s="92"/>
      <c r="BP75" s="92"/>
      <c r="BQ75" s="92"/>
      <c r="BR75" s="92"/>
      <c r="BS75" s="92"/>
      <c r="BT75" s="92"/>
      <c r="BU75" s="92"/>
      <c r="BV75" s="92"/>
      <c r="BW75" s="92"/>
      <c r="BX75" s="92"/>
      <c r="BY75" s="92"/>
      <c r="BZ75" s="92"/>
      <c r="CA75" s="92"/>
      <c r="CB75" s="92"/>
      <c r="CC75" s="92"/>
      <c r="CD75" s="92"/>
      <c r="CE75" s="92"/>
      <c r="CF75" s="92"/>
      <c r="CG75" s="92"/>
      <c r="CH75" s="92"/>
      <c r="CI75" s="92"/>
      <c r="CJ75" s="92"/>
      <c r="CK75" s="93"/>
      <c r="CL75" s="1928"/>
      <c r="CM75" s="43"/>
    </row>
    <row r="76" spans="2:91" ht="12.75" customHeight="1">
      <c r="B76" s="1912"/>
      <c r="C76" s="1919"/>
      <c r="D76" s="1919"/>
      <c r="E76" s="1919"/>
      <c r="F76" s="1919"/>
      <c r="G76" s="1919"/>
      <c r="H76" s="1919"/>
      <c r="I76" s="1919"/>
      <c r="J76" s="1919"/>
      <c r="K76" s="1919"/>
      <c r="L76" s="1919"/>
      <c r="M76" s="1919"/>
      <c r="N76" s="1919"/>
      <c r="O76" s="1919"/>
      <c r="P76" s="1919"/>
      <c r="Q76" s="1919"/>
      <c r="R76" s="1919"/>
      <c r="S76" s="1919"/>
      <c r="T76" s="1919"/>
      <c r="U76" s="1919"/>
      <c r="V76" s="1919"/>
      <c r="W76" s="1919"/>
      <c r="X76" s="1919"/>
      <c r="Y76" s="1919"/>
      <c r="Z76" s="1919"/>
      <c r="AA76" s="1919"/>
      <c r="AB76" s="1919"/>
      <c r="AC76" s="1919"/>
      <c r="AD76" s="1919"/>
      <c r="AE76" s="1919"/>
      <c r="AF76" s="1919"/>
      <c r="AG76" s="1919"/>
      <c r="AH76" s="1919"/>
      <c r="AI76" s="1919"/>
      <c r="AJ76" s="1919"/>
      <c r="AK76" s="1941"/>
      <c r="AL76" s="1941"/>
      <c r="AM76" s="1941"/>
      <c r="AN76" s="1941"/>
      <c r="AO76" s="1941"/>
      <c r="AP76" s="1941"/>
      <c r="AQ76" s="1941"/>
      <c r="AR76" s="1941"/>
      <c r="AS76" s="110"/>
      <c r="AT76" s="1941"/>
      <c r="AU76" s="1941"/>
      <c r="AV76" s="1941"/>
      <c r="AW76" s="1941"/>
      <c r="AX76" s="1941"/>
      <c r="AY76" s="1941"/>
      <c r="AZ76" s="1941"/>
      <c r="BA76" s="1941"/>
      <c r="BB76" s="1941"/>
      <c r="BC76" s="1941"/>
      <c r="BD76" s="1941"/>
      <c r="BE76" s="1941"/>
      <c r="BF76" s="1941"/>
      <c r="BG76" s="1941"/>
      <c r="BH76" s="1919"/>
      <c r="BI76" s="1919"/>
      <c r="BJ76" s="1919"/>
      <c r="BK76" s="1919"/>
      <c r="BL76" s="1919"/>
      <c r="BM76" s="1919"/>
      <c r="BN76" s="1919"/>
      <c r="BO76" s="1919"/>
      <c r="BP76" s="1919"/>
      <c r="BQ76" s="1919"/>
      <c r="BR76" s="1919"/>
      <c r="BS76" s="1919"/>
      <c r="BT76" s="1919"/>
      <c r="BU76" s="1919"/>
      <c r="BV76" s="1919"/>
      <c r="BW76" s="1919"/>
      <c r="BX76" s="1919"/>
      <c r="BY76" s="1919"/>
      <c r="BZ76" s="1919"/>
      <c r="CA76" s="1919"/>
      <c r="CB76" s="1919"/>
      <c r="CC76" s="1919"/>
      <c r="CD76" s="1919"/>
      <c r="CE76" s="1919"/>
      <c r="CF76" s="1919"/>
      <c r="CG76" s="1919"/>
      <c r="CH76" s="1919"/>
      <c r="CI76" s="1919"/>
      <c r="CJ76" s="1919"/>
      <c r="CK76" s="1919"/>
      <c r="CL76" s="1923"/>
      <c r="CM76" s="43"/>
    </row>
    <row r="77" spans="2:91" ht="15.75" customHeight="1">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c r="CA77" s="59"/>
      <c r="CB77" s="59"/>
      <c r="CC77" s="59"/>
      <c r="CD77" s="59"/>
      <c r="CE77" s="59"/>
      <c r="CF77" s="59"/>
      <c r="CG77" s="59"/>
      <c r="CH77" s="59"/>
      <c r="CI77" s="59"/>
      <c r="CJ77" s="59"/>
      <c r="CK77" s="59"/>
      <c r="CL77" s="59"/>
      <c r="CM77" s="59"/>
    </row>
    <row r="78" spans="2:91" ht="22.5" customHeight="1">
      <c r="B78" s="1904"/>
      <c r="C78" s="1905" t="s">
        <v>774</v>
      </c>
      <c r="D78" s="1906"/>
      <c r="E78" s="1906"/>
      <c r="F78" s="1906"/>
      <c r="G78" s="1906"/>
      <c r="H78" s="1906"/>
      <c r="I78" s="1906"/>
      <c r="J78" s="1906"/>
      <c r="K78" s="1906"/>
      <c r="L78" s="1906"/>
      <c r="M78" s="1906"/>
      <c r="N78" s="1906"/>
      <c r="O78" s="1906"/>
      <c r="P78" s="1906"/>
      <c r="Q78" s="1906"/>
      <c r="R78" s="1906"/>
      <c r="S78" s="1906"/>
      <c r="T78" s="1906"/>
      <c r="U78" s="1906"/>
      <c r="V78" s="1906"/>
      <c r="W78" s="1906"/>
      <c r="X78" s="1906"/>
      <c r="Y78" s="1906"/>
      <c r="Z78" s="1906"/>
      <c r="AA78" s="1906"/>
      <c r="AB78" s="1906"/>
      <c r="AC78" s="1906"/>
      <c r="AD78" s="1906"/>
      <c r="AE78" s="1906"/>
      <c r="AF78" s="1906"/>
      <c r="AG78" s="1906"/>
      <c r="AH78" s="1906"/>
      <c r="AI78" s="1906"/>
      <c r="AJ78" s="1906"/>
      <c r="AK78" s="1906"/>
      <c r="AL78" s="1906"/>
      <c r="AM78" s="1906"/>
      <c r="AN78" s="1906"/>
      <c r="AO78" s="1906"/>
      <c r="AP78" s="1906"/>
      <c r="AQ78" s="1906"/>
      <c r="AR78" s="1906"/>
      <c r="AS78" s="1906"/>
      <c r="AT78" s="1906"/>
      <c r="AU78" s="1907"/>
      <c r="AV78" s="1907"/>
      <c r="AW78" s="1907"/>
      <c r="AX78" s="1906"/>
      <c r="AY78" s="1906"/>
      <c r="AZ78" s="1906"/>
      <c r="BA78" s="1906"/>
      <c r="BB78" s="1906"/>
      <c r="BC78" s="1906"/>
      <c r="BD78" s="1906"/>
      <c r="BE78" s="1906"/>
      <c r="BF78" s="1906"/>
      <c r="BG78" s="1906"/>
      <c r="BH78" s="1906"/>
      <c r="BI78" s="1906"/>
      <c r="BJ78" s="1906"/>
      <c r="BK78" s="1906"/>
      <c r="BL78" s="1906"/>
      <c r="BM78" s="1906"/>
      <c r="BN78" s="1906"/>
      <c r="BO78" s="1906"/>
      <c r="BP78" s="1906"/>
      <c r="BQ78" s="1906"/>
      <c r="BR78" s="1906"/>
      <c r="BS78" s="1906"/>
      <c r="BT78" s="1906"/>
      <c r="BU78" s="1906"/>
      <c r="BV78" s="1906"/>
      <c r="BW78" s="1906"/>
      <c r="BX78" s="1906"/>
      <c r="BY78" s="1906"/>
      <c r="BZ78" s="1906"/>
      <c r="CA78" s="1906"/>
      <c r="CB78" s="1906"/>
      <c r="CC78" s="1906"/>
      <c r="CD78" s="1906"/>
      <c r="CE78" s="1906"/>
      <c r="CF78" s="1906"/>
      <c r="CG78" s="1904"/>
      <c r="CH78" s="1908"/>
      <c r="CI78" s="1904"/>
      <c r="CJ78" s="3755"/>
      <c r="CK78" s="3755"/>
      <c r="CL78" s="1906"/>
    </row>
    <row r="79" spans="2:91" ht="6.75" customHeight="1"/>
    <row r="80" spans="2:91" ht="15" customHeight="1">
      <c r="B80" s="1909"/>
      <c r="C80" s="1913"/>
      <c r="D80" s="1913"/>
      <c r="E80" s="1913"/>
      <c r="F80" s="1913"/>
      <c r="G80" s="1913"/>
      <c r="H80" s="1913"/>
      <c r="I80" s="1913"/>
      <c r="J80" s="1913"/>
      <c r="K80" s="1913"/>
      <c r="L80" s="1913"/>
      <c r="M80" s="1913"/>
      <c r="N80" s="1913"/>
      <c r="O80" s="1913"/>
      <c r="P80" s="1913"/>
      <c r="Q80" s="1913"/>
      <c r="R80" s="1913"/>
      <c r="S80" s="1913"/>
      <c r="T80" s="1913"/>
      <c r="U80" s="1913"/>
      <c r="V80" s="1913"/>
      <c r="W80" s="1913"/>
      <c r="X80" s="1913"/>
      <c r="Y80" s="1913"/>
      <c r="Z80" s="1913"/>
      <c r="AA80" s="1913"/>
      <c r="AB80" s="1913"/>
      <c r="AC80" s="1913"/>
      <c r="AD80" s="1913"/>
      <c r="AE80" s="1913"/>
      <c r="AF80" s="1913"/>
      <c r="AG80" s="1913"/>
      <c r="AH80" s="1913"/>
      <c r="AI80" s="1913"/>
      <c r="AJ80" s="1913"/>
      <c r="AK80" s="1913"/>
      <c r="AL80" s="1913"/>
      <c r="AM80" s="1913"/>
      <c r="AN80" s="1913"/>
      <c r="AO80" s="1913"/>
      <c r="AP80" s="1913"/>
      <c r="AQ80" s="1913"/>
      <c r="AR80" s="1913"/>
      <c r="AS80" s="1913"/>
      <c r="AT80" s="1913"/>
      <c r="AU80" s="1913"/>
      <c r="AV80" s="1913"/>
      <c r="AW80" s="1913"/>
      <c r="AX80" s="1913"/>
      <c r="AY80" s="1913"/>
      <c r="AZ80" s="1913"/>
      <c r="BA80" s="1913"/>
      <c r="BB80" s="1913"/>
      <c r="BC80" s="1913"/>
      <c r="BD80" s="1913"/>
      <c r="BE80" s="1913"/>
      <c r="BF80" s="1913"/>
      <c r="BG80" s="1913"/>
      <c r="BH80" s="1913"/>
      <c r="BI80" s="1913"/>
      <c r="BJ80" s="1913"/>
      <c r="BK80" s="1913"/>
      <c r="BL80" s="1913"/>
      <c r="BM80" s="1913"/>
      <c r="BN80" s="1913"/>
      <c r="BO80" s="1913"/>
      <c r="BP80" s="1913"/>
      <c r="BQ80" s="1913"/>
      <c r="BR80" s="1913"/>
      <c r="BS80" s="1913"/>
      <c r="BT80" s="1913"/>
      <c r="BU80" s="1913"/>
      <c r="BV80" s="1913"/>
      <c r="BW80" s="1913"/>
      <c r="BX80" s="1913"/>
      <c r="BY80" s="1913"/>
      <c r="BZ80" s="1913"/>
      <c r="CA80" s="1913"/>
      <c r="CB80" s="1913"/>
      <c r="CC80" s="1913"/>
      <c r="CD80" s="1913"/>
      <c r="CE80" s="1913"/>
      <c r="CF80" s="1913"/>
      <c r="CG80" s="1913"/>
      <c r="CH80" s="1913"/>
      <c r="CI80" s="1913"/>
      <c r="CJ80" s="1913"/>
      <c r="CK80" s="1913"/>
      <c r="CL80" s="1920"/>
      <c r="CM80" s="43"/>
    </row>
    <row r="81" spans="2:91" ht="9" customHeight="1">
      <c r="B81" s="1910"/>
      <c r="C81" s="45"/>
      <c r="D81" s="46"/>
      <c r="E81" s="46"/>
      <c r="F81" s="46"/>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7"/>
      <c r="AH81" s="1934"/>
      <c r="AI81" s="45"/>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c r="BI81" s="46"/>
      <c r="BJ81" s="46"/>
      <c r="BK81" s="46"/>
      <c r="BL81" s="46"/>
      <c r="BM81" s="46"/>
      <c r="BN81" s="46"/>
      <c r="BO81" s="47"/>
      <c r="BP81" s="1929"/>
      <c r="BQ81" s="45"/>
      <c r="BR81" s="46"/>
      <c r="BS81" s="46"/>
      <c r="BT81" s="46"/>
      <c r="BU81" s="46"/>
      <c r="BV81" s="46"/>
      <c r="BW81" s="46"/>
      <c r="BX81" s="46"/>
      <c r="BY81" s="46"/>
      <c r="BZ81" s="46"/>
      <c r="CA81" s="46"/>
      <c r="CB81" s="46"/>
      <c r="CC81" s="46"/>
      <c r="CD81" s="46"/>
      <c r="CE81" s="46"/>
      <c r="CF81" s="46"/>
      <c r="CG81" s="46"/>
      <c r="CH81" s="46"/>
      <c r="CI81" s="46"/>
      <c r="CJ81" s="46"/>
      <c r="CK81" s="47"/>
      <c r="CL81" s="1928"/>
      <c r="CM81" s="43"/>
    </row>
    <row r="82" spans="2:91" ht="19.5" customHeight="1">
      <c r="B82" s="1910"/>
      <c r="C82" s="50"/>
      <c r="D82" s="1124" t="s">
        <v>775</v>
      </c>
      <c r="E82" s="1124"/>
      <c r="F82" s="1124"/>
      <c r="G82" s="1124"/>
      <c r="H82" s="1124"/>
      <c r="I82" s="59"/>
      <c r="J82" s="59"/>
      <c r="K82" s="59"/>
      <c r="L82" s="59"/>
      <c r="M82" s="59"/>
      <c r="N82" s="59"/>
      <c r="O82" s="59"/>
      <c r="P82" s="59"/>
      <c r="Q82" s="59"/>
      <c r="R82" s="59"/>
      <c r="S82" s="59"/>
      <c r="T82" s="59"/>
      <c r="U82" s="59"/>
      <c r="V82" s="59"/>
      <c r="W82" s="59"/>
      <c r="X82" s="76"/>
      <c r="Y82" s="76"/>
      <c r="Z82" s="55"/>
      <c r="AA82" s="76"/>
      <c r="AB82" s="76"/>
      <c r="AC82" s="76"/>
      <c r="AD82" s="3575">
        <f>'CALCULS Eaux pluviales'!H161</f>
        <v>0</v>
      </c>
      <c r="AE82" s="3575"/>
      <c r="AF82" s="3575"/>
      <c r="AG82" s="120"/>
      <c r="AH82" s="1935"/>
      <c r="AI82" s="122"/>
      <c r="AJ82" s="1125" t="s">
        <v>776</v>
      </c>
      <c r="AK82" s="1129"/>
      <c r="AL82" s="1129"/>
      <c r="AM82" s="123"/>
      <c r="AN82" s="1129"/>
      <c r="AO82" s="1129"/>
      <c r="AP82" s="1129"/>
      <c r="AQ82" s="124"/>
      <c r="AR82" s="124"/>
      <c r="AS82" s="124"/>
      <c r="AT82" s="124"/>
      <c r="AU82" s="124"/>
      <c r="AV82" s="124"/>
      <c r="AW82" s="124"/>
      <c r="AX82" s="125"/>
      <c r="AY82" s="125"/>
      <c r="AZ82" s="125"/>
      <c r="BA82" s="124"/>
      <c r="BB82" s="124"/>
      <c r="BC82" s="124"/>
      <c r="BD82" s="124"/>
      <c r="BE82" s="124"/>
      <c r="BF82" s="59"/>
      <c r="BG82" s="59"/>
      <c r="BH82" s="59"/>
      <c r="BI82" s="59"/>
      <c r="BJ82" s="59"/>
      <c r="BK82" s="57"/>
      <c r="BL82" s="59"/>
      <c r="BM82" s="59"/>
      <c r="BN82" s="59"/>
      <c r="BO82" s="61"/>
      <c r="BP82" s="1929"/>
      <c r="BQ82" s="1126" t="s">
        <v>777</v>
      </c>
      <c r="BR82" s="1125"/>
      <c r="BT82" s="76"/>
      <c r="BU82" s="76"/>
      <c r="BV82" s="76"/>
      <c r="BW82" s="76"/>
      <c r="BX82" s="76"/>
      <c r="BY82" s="103"/>
      <c r="BZ82" s="76"/>
      <c r="CA82" s="76"/>
      <c r="CB82" s="76"/>
      <c r="CC82" s="126"/>
      <c r="CD82" s="76"/>
      <c r="CE82" s="76"/>
      <c r="CF82" s="76"/>
      <c r="CG82" s="59"/>
      <c r="CH82" s="76"/>
      <c r="CI82" s="59"/>
      <c r="CJ82" s="59"/>
      <c r="CK82" s="61"/>
      <c r="CL82" s="1928"/>
      <c r="CM82" s="43"/>
    </row>
    <row r="83" spans="2:91" ht="21" customHeight="1">
      <c r="B83" s="1910"/>
      <c r="C83" s="50"/>
      <c r="D83" s="124"/>
      <c r="E83" s="124"/>
      <c r="F83" s="124"/>
      <c r="G83" s="124"/>
      <c r="H83" s="124"/>
      <c r="I83" s="59"/>
      <c r="J83" s="59"/>
      <c r="K83" s="59"/>
      <c r="L83" s="59"/>
      <c r="M83" s="59"/>
      <c r="N83" s="59"/>
      <c r="O83" s="59"/>
      <c r="P83" s="59"/>
      <c r="Q83" s="59"/>
      <c r="R83" s="59"/>
      <c r="S83" s="59"/>
      <c r="T83" s="59"/>
      <c r="U83" s="59"/>
      <c r="V83" s="59"/>
      <c r="W83" s="59"/>
      <c r="X83" s="59"/>
      <c r="Y83" s="59"/>
      <c r="Z83" s="59"/>
      <c r="AA83" s="59"/>
      <c r="AB83" s="59"/>
      <c r="AC83" s="59"/>
      <c r="AD83" s="59"/>
      <c r="AE83" s="59"/>
      <c r="AF83" s="55"/>
      <c r="AG83" s="120"/>
      <c r="AH83" s="1935"/>
      <c r="AI83" s="122"/>
      <c r="AJ83" s="127"/>
      <c r="AK83" s="127"/>
      <c r="AL83" s="127"/>
      <c r="AM83" s="127"/>
      <c r="AN83" s="127"/>
      <c r="AO83" s="127"/>
      <c r="AP83" s="127"/>
      <c r="AQ83" s="59"/>
      <c r="AR83" s="59"/>
      <c r="AS83" s="59"/>
      <c r="AT83" s="59"/>
      <c r="AU83" s="416" t="s">
        <v>778</v>
      </c>
      <c r="AX83" s="416"/>
      <c r="AY83" s="416"/>
      <c r="AZ83" s="416"/>
      <c r="BA83" s="3576" t="s">
        <v>100</v>
      </c>
      <c r="BB83" s="3576"/>
      <c r="BC83" s="3576"/>
      <c r="BD83" s="3576"/>
      <c r="BE83" s="3576"/>
      <c r="BF83" s="3576"/>
      <c r="BG83" s="3576"/>
      <c r="BH83" s="427"/>
      <c r="BI83" s="427"/>
      <c r="BJ83" s="427"/>
      <c r="BK83" s="3576" t="s">
        <v>461</v>
      </c>
      <c r="BL83" s="3576"/>
      <c r="BM83" s="3576"/>
      <c r="BN83" s="128"/>
      <c r="BO83" s="61"/>
      <c r="BP83" s="1929"/>
      <c r="BQ83" s="174" t="s">
        <v>779</v>
      </c>
      <c r="BR83" s="125"/>
      <c r="BT83" s="59"/>
      <c r="BU83" s="59"/>
      <c r="BV83" s="59"/>
      <c r="BW83" s="59"/>
      <c r="BX83" s="59"/>
      <c r="BY83" s="59"/>
      <c r="BZ83" s="128"/>
      <c r="CA83" s="128"/>
      <c r="CB83" s="128"/>
      <c r="CC83" s="128"/>
      <c r="CD83" s="128"/>
      <c r="CE83" s="128"/>
      <c r="CF83" s="128"/>
      <c r="CG83" s="59"/>
      <c r="CH83" s="59"/>
      <c r="CI83" s="59"/>
      <c r="CJ83" s="129"/>
      <c r="CK83" s="61"/>
      <c r="CL83" s="1928"/>
      <c r="CM83" s="43"/>
    </row>
    <row r="84" spans="2:91" ht="7.5" customHeight="1">
      <c r="B84" s="1910"/>
      <c r="C84" s="50"/>
      <c r="D84" s="124"/>
      <c r="E84" s="124"/>
      <c r="F84" s="124"/>
      <c r="G84" s="124"/>
      <c r="H84" s="124"/>
      <c r="I84" s="59"/>
      <c r="J84" s="59"/>
      <c r="K84" s="59"/>
      <c r="L84" s="59"/>
      <c r="M84" s="59"/>
      <c r="N84" s="59"/>
      <c r="O84" s="59"/>
      <c r="P84" s="59"/>
      <c r="Q84" s="59"/>
      <c r="R84" s="59"/>
      <c r="S84" s="59"/>
      <c r="T84" s="59"/>
      <c r="U84" s="59"/>
      <c r="V84" s="59"/>
      <c r="W84" s="59"/>
      <c r="X84" s="59"/>
      <c r="Y84" s="59"/>
      <c r="Z84" s="59"/>
      <c r="AA84" s="59"/>
      <c r="AB84" s="59"/>
      <c r="AC84" s="59"/>
      <c r="AD84" s="59"/>
      <c r="AE84" s="59"/>
      <c r="AF84" s="55"/>
      <c r="AG84" s="120"/>
      <c r="AH84" s="1935"/>
      <c r="AI84" s="122"/>
      <c r="AJ84" s="127"/>
      <c r="AK84" s="127"/>
      <c r="AL84" s="127"/>
      <c r="AM84" s="127"/>
      <c r="AN84" s="127"/>
      <c r="AO84" s="127"/>
      <c r="AP84" s="127"/>
      <c r="AQ84" s="59"/>
      <c r="AR84" s="59"/>
      <c r="AS84" s="59"/>
      <c r="AT84" s="59"/>
      <c r="AU84" s="59"/>
      <c r="AV84" s="59"/>
      <c r="AW84" s="59"/>
      <c r="AX84" s="130"/>
      <c r="AY84" s="130"/>
      <c r="AZ84" s="130"/>
      <c r="BA84" s="130"/>
      <c r="BB84" s="130"/>
      <c r="BC84" s="128"/>
      <c r="BD84" s="128"/>
      <c r="BE84" s="128"/>
      <c r="BF84" s="128"/>
      <c r="BG84" s="130"/>
      <c r="BH84" s="130"/>
      <c r="BI84" s="130"/>
      <c r="BJ84" s="130"/>
      <c r="BK84" s="130"/>
      <c r="BL84" s="130"/>
      <c r="BM84" s="130"/>
      <c r="BN84" s="128"/>
      <c r="BO84" s="61"/>
      <c r="BP84" s="1929"/>
      <c r="BQ84" s="458"/>
      <c r="BS84" s="1051"/>
      <c r="BT84" s="1051"/>
      <c r="BU84" s="3575"/>
      <c r="BV84" s="3575"/>
      <c r="BW84" s="3575"/>
      <c r="BX84" s="3575"/>
      <c r="BY84" s="3575"/>
      <c r="BZ84" s="3575"/>
      <c r="CA84" s="127"/>
      <c r="CB84" s="127"/>
      <c r="CC84" s="127"/>
      <c r="CD84" s="127"/>
      <c r="CE84" s="127"/>
      <c r="CF84" s="127"/>
      <c r="CG84" s="59"/>
      <c r="CH84" s="59"/>
      <c r="CI84" s="59"/>
      <c r="CJ84" s="129"/>
      <c r="CK84" s="61"/>
      <c r="CL84" s="1928"/>
      <c r="CM84" s="43"/>
    </row>
    <row r="85" spans="2:91" s="72" customFormat="1" ht="19.5" customHeight="1" thickBot="1">
      <c r="B85" s="1911"/>
      <c r="C85" s="64"/>
      <c r="D85" s="83"/>
      <c r="E85" s="83"/>
      <c r="F85" s="83"/>
      <c r="G85" s="83"/>
      <c r="H85" s="83"/>
      <c r="I85" s="75"/>
      <c r="J85" s="75"/>
      <c r="K85" s="75"/>
      <c r="L85" s="75"/>
      <c r="M85" s="75"/>
      <c r="N85" s="75"/>
      <c r="O85" s="75"/>
      <c r="P85" s="75"/>
      <c r="Q85" s="75"/>
      <c r="R85" s="75"/>
      <c r="S85" s="75"/>
      <c r="T85" s="75"/>
      <c r="U85" s="75"/>
      <c r="V85" s="75"/>
      <c r="W85" s="75"/>
      <c r="X85" s="75"/>
      <c r="Y85" s="75"/>
      <c r="Z85" s="82"/>
      <c r="AA85" s="75"/>
      <c r="AB85" s="82"/>
      <c r="AC85" s="75"/>
      <c r="AD85" s="75"/>
      <c r="AE85" s="75"/>
      <c r="AF85" s="82"/>
      <c r="AG85" s="84"/>
      <c r="AH85" s="1936"/>
      <c r="AI85" s="132"/>
      <c r="AJ85" s="75"/>
      <c r="AK85" s="133"/>
      <c r="AL85" s="419" t="s">
        <v>780</v>
      </c>
      <c r="AM85" s="134"/>
      <c r="AN85" s="134"/>
      <c r="AO85" s="134"/>
      <c r="AP85" s="134"/>
      <c r="AQ85" s="135"/>
      <c r="AR85" s="135"/>
      <c r="AS85" s="134"/>
      <c r="AT85" s="134"/>
      <c r="AU85" s="3578">
        <f>'CALCULS Eaux pluviales'!E176</f>
        <v>0</v>
      </c>
      <c r="AV85" s="3578"/>
      <c r="AW85" s="3578"/>
      <c r="AX85" s="3578"/>
      <c r="AY85" s="2781">
        <f>'CALCULS Eaux pluviales'!L176</f>
        <v>0</v>
      </c>
      <c r="AZ85" s="3578">
        <f>'CALCULS Eaux pluviales'!F176</f>
        <v>0</v>
      </c>
      <c r="BA85" s="3578"/>
      <c r="BB85" s="3578"/>
      <c r="BC85" s="3578"/>
      <c r="BD85" s="3578"/>
      <c r="BE85" s="3578"/>
      <c r="BF85" s="1089"/>
      <c r="BG85" s="2781">
        <f>'CALCULS Eaux pluviales'!F159</f>
        <v>0</v>
      </c>
      <c r="BH85" s="2738"/>
      <c r="BI85" s="3571">
        <f>'CALCULS Eaux pluviales'!G176</f>
        <v>0</v>
      </c>
      <c r="BJ85" s="3571"/>
      <c r="BK85" s="3571"/>
      <c r="BL85" s="3571"/>
      <c r="BM85" s="3571"/>
      <c r="BN85" s="2719"/>
      <c r="BO85" s="69"/>
      <c r="BP85" s="1933"/>
      <c r="BQ85" s="1128"/>
      <c r="BR85" s="1051"/>
      <c r="BS85" s="1051">
        <f>'CALCULS Eaux pluviales'!D248</f>
        <v>0</v>
      </c>
      <c r="BT85" s="1051"/>
      <c r="BU85" s="3575"/>
      <c r="BV85" s="3575"/>
      <c r="BW85" s="3575"/>
      <c r="BX85" s="3575"/>
      <c r="BY85" s="3575"/>
      <c r="BZ85" s="3575"/>
      <c r="CA85" s="75"/>
      <c r="CB85" s="75"/>
      <c r="CC85" s="75"/>
      <c r="CD85" s="75"/>
      <c r="CE85" s="75"/>
      <c r="CF85" s="73"/>
      <c r="CG85" s="75"/>
      <c r="CH85" s="75"/>
      <c r="CI85" s="75"/>
      <c r="CJ85" s="75"/>
      <c r="CK85" s="69"/>
      <c r="CL85" s="1932"/>
      <c r="CM85" s="71"/>
    </row>
    <row r="86" spans="2:91" ht="6.75" customHeight="1">
      <c r="B86" s="1910"/>
      <c r="C86" s="50"/>
      <c r="D86" s="59"/>
      <c r="E86" s="59"/>
      <c r="F86" s="59"/>
      <c r="G86" s="59"/>
      <c r="H86" s="59"/>
      <c r="I86" s="59"/>
      <c r="J86" s="59"/>
      <c r="K86" s="59"/>
      <c r="L86" s="59"/>
      <c r="M86" s="59"/>
      <c r="N86" s="59"/>
      <c r="O86" s="59"/>
      <c r="P86" s="59"/>
      <c r="Q86" s="59"/>
      <c r="R86" s="59"/>
      <c r="S86" s="59"/>
      <c r="T86" s="59"/>
      <c r="U86" s="59"/>
      <c r="V86" s="59"/>
      <c r="W86" s="59"/>
      <c r="X86" s="59"/>
      <c r="Y86" s="59"/>
      <c r="Z86" s="55"/>
      <c r="AA86" s="59"/>
      <c r="AB86" s="55"/>
      <c r="AC86" s="59"/>
      <c r="AD86" s="59"/>
      <c r="AE86" s="59"/>
      <c r="AF86" s="55"/>
      <c r="AG86" s="120"/>
      <c r="AH86" s="1935"/>
      <c r="AI86" s="122"/>
      <c r="AJ86" s="59"/>
      <c r="AK86" s="59"/>
      <c r="AL86" s="420"/>
      <c r="AM86" s="59"/>
      <c r="AN86" s="59"/>
      <c r="AO86" s="59"/>
      <c r="AP86" s="59"/>
      <c r="AQ86" s="138"/>
      <c r="AR86" s="138"/>
      <c r="AS86" s="59"/>
      <c r="AT86" s="59"/>
      <c r="AU86" s="1098"/>
      <c r="AV86" s="1098"/>
      <c r="AW86" s="1098"/>
      <c r="AX86" s="1099"/>
      <c r="AY86" s="2782"/>
      <c r="AZ86" s="1107"/>
      <c r="BA86" s="1097"/>
      <c r="BB86" s="1097"/>
      <c r="BC86" s="1096"/>
      <c r="BD86" s="1097"/>
      <c r="BE86" s="1096"/>
      <c r="BF86" s="428"/>
      <c r="BG86" s="2789"/>
      <c r="BH86" s="2739"/>
      <c r="BI86" s="2790"/>
      <c r="BJ86" s="1105"/>
      <c r="BK86" s="1105"/>
      <c r="BL86" s="1105"/>
      <c r="BM86" s="1105"/>
      <c r="BN86" s="1104"/>
      <c r="BO86" s="61"/>
      <c r="BP86" s="1929"/>
      <c r="BQ86" s="50"/>
      <c r="BR86" s="59"/>
      <c r="BS86" s="59"/>
      <c r="BT86" s="55"/>
      <c r="BU86" s="59"/>
      <c r="BV86" s="55"/>
      <c r="BW86" s="59"/>
      <c r="BX86" s="59"/>
      <c r="BY86" s="59"/>
      <c r="BZ86" s="59"/>
      <c r="CA86" s="59"/>
      <c r="CB86" s="59"/>
      <c r="CC86" s="59"/>
      <c r="CD86" s="59"/>
      <c r="CE86" s="59"/>
      <c r="CF86" s="89"/>
      <c r="CG86" s="59"/>
      <c r="CH86" s="59"/>
      <c r="CI86" s="59"/>
      <c r="CJ86" s="59"/>
      <c r="CK86" s="61"/>
      <c r="CL86" s="1928"/>
      <c r="CM86" s="43"/>
    </row>
    <row r="87" spans="2:91" s="72" customFormat="1" ht="19.5" customHeight="1" thickBot="1">
      <c r="B87" s="1911"/>
      <c r="C87" s="64"/>
      <c r="D87" s="75"/>
      <c r="E87" s="75"/>
      <c r="F87" s="75"/>
      <c r="G87" s="75"/>
      <c r="H87" s="75"/>
      <c r="I87" s="75"/>
      <c r="J87" s="75"/>
      <c r="K87" s="75"/>
      <c r="L87" s="75"/>
      <c r="M87" s="75"/>
      <c r="N87" s="75"/>
      <c r="O87" s="75"/>
      <c r="P87" s="75"/>
      <c r="Q87" s="75"/>
      <c r="R87" s="75"/>
      <c r="S87" s="75"/>
      <c r="T87" s="75"/>
      <c r="U87" s="75"/>
      <c r="V87" s="75"/>
      <c r="W87" s="75"/>
      <c r="X87" s="75"/>
      <c r="Y87" s="75"/>
      <c r="Z87" s="82"/>
      <c r="AA87" s="75"/>
      <c r="AB87" s="82"/>
      <c r="AC87" s="75"/>
      <c r="AD87" s="75"/>
      <c r="AE87" s="75"/>
      <c r="AF87" s="82"/>
      <c r="AG87" s="84"/>
      <c r="AH87" s="1936"/>
      <c r="AI87" s="132"/>
      <c r="AJ87" s="75"/>
      <c r="AK87" s="139"/>
      <c r="AL87" s="421" t="s">
        <v>781</v>
      </c>
      <c r="AM87" s="140"/>
      <c r="AN87" s="140"/>
      <c r="AO87" s="140"/>
      <c r="AP87" s="140"/>
      <c r="AQ87" s="141"/>
      <c r="AR87" s="141"/>
      <c r="AS87" s="140"/>
      <c r="AT87" s="140"/>
      <c r="AU87" s="3591">
        <f>'CALCULS Eaux pluviales'!E177</f>
        <v>0</v>
      </c>
      <c r="AV87" s="3591"/>
      <c r="AW87" s="3591"/>
      <c r="AX87" s="3591"/>
      <c r="AY87" s="2783">
        <f>'CALCULS Eaux pluviales'!L176</f>
        <v>0</v>
      </c>
      <c r="AZ87" s="3591">
        <f>'CALCULS Eaux pluviales'!F177</f>
        <v>0</v>
      </c>
      <c r="BA87" s="3591"/>
      <c r="BB87" s="3591"/>
      <c r="BC87" s="3591"/>
      <c r="BD87" s="3591"/>
      <c r="BE87" s="3591"/>
      <c r="BF87" s="1090"/>
      <c r="BG87" s="2783">
        <f>'CALCULS Eaux pluviales'!F159</f>
        <v>0</v>
      </c>
      <c r="BH87" s="2740"/>
      <c r="BI87" s="3592">
        <f>'CALCULS Eaux pluviales'!G177</f>
        <v>0</v>
      </c>
      <c r="BJ87" s="3592"/>
      <c r="BK87" s="3592"/>
      <c r="BL87" s="3592"/>
      <c r="BM87" s="3592"/>
      <c r="BN87" s="2720"/>
      <c r="BO87" s="69"/>
      <c r="BP87" s="1933"/>
      <c r="BQ87" s="64"/>
      <c r="BR87" s="75"/>
      <c r="BS87" s="75"/>
      <c r="BT87" s="82"/>
      <c r="BU87" s="75"/>
      <c r="BV87" s="82"/>
      <c r="BW87" s="75"/>
      <c r="BX87" s="75"/>
      <c r="BY87" s="75"/>
      <c r="BZ87" s="75"/>
      <c r="CA87" s="75"/>
      <c r="CB87" s="75"/>
      <c r="CC87" s="75"/>
      <c r="CD87" s="75"/>
      <c r="CE87" s="75"/>
      <c r="CF87" s="73"/>
      <c r="CG87" s="75"/>
      <c r="CH87" s="75"/>
      <c r="CI87" s="75"/>
      <c r="CJ87" s="75"/>
      <c r="CK87" s="69"/>
      <c r="CL87" s="1932"/>
      <c r="CM87" s="71"/>
    </row>
    <row r="88" spans="2:91" ht="6.75" customHeight="1">
      <c r="B88" s="1910"/>
      <c r="C88" s="50"/>
      <c r="D88" s="59"/>
      <c r="E88" s="59"/>
      <c r="F88" s="59"/>
      <c r="G88" s="59"/>
      <c r="H88" s="59"/>
      <c r="I88" s="59"/>
      <c r="J88" s="59"/>
      <c r="K88" s="59"/>
      <c r="L88" s="59"/>
      <c r="M88" s="59"/>
      <c r="N88" s="59"/>
      <c r="O88" s="59"/>
      <c r="P88" s="59"/>
      <c r="Q88" s="59"/>
      <c r="R88" s="59"/>
      <c r="S88" s="59"/>
      <c r="T88" s="59"/>
      <c r="U88" s="59"/>
      <c r="V88" s="59"/>
      <c r="W88" s="59"/>
      <c r="X88" s="59"/>
      <c r="Y88" s="59"/>
      <c r="Z88" s="55"/>
      <c r="AA88" s="59"/>
      <c r="AB88" s="55"/>
      <c r="AC88" s="59"/>
      <c r="AD88" s="59"/>
      <c r="AE88" s="59"/>
      <c r="AF88" s="55"/>
      <c r="AG88" s="120"/>
      <c r="AH88" s="1935"/>
      <c r="AI88" s="122"/>
      <c r="AJ88" s="59"/>
      <c r="AK88" s="59"/>
      <c r="AL88" s="420"/>
      <c r="AM88" s="59"/>
      <c r="AN88" s="59"/>
      <c r="AO88" s="59"/>
      <c r="AP88" s="59"/>
      <c r="AQ88" s="138"/>
      <c r="AR88" s="138"/>
      <c r="AS88" s="59"/>
      <c r="AT88" s="59"/>
      <c r="AU88" s="1098"/>
      <c r="AV88" s="1098"/>
      <c r="AW88" s="1098"/>
      <c r="AX88" s="1100"/>
      <c r="AY88" s="2784"/>
      <c r="AZ88" s="1110"/>
      <c r="BA88" s="1097"/>
      <c r="BB88" s="1097"/>
      <c r="BC88" s="1095"/>
      <c r="BD88" s="1097"/>
      <c r="BE88" s="1095"/>
      <c r="BF88" s="428"/>
      <c r="BG88" s="2784"/>
      <c r="BH88" s="2739"/>
      <c r="BI88" s="2790"/>
      <c r="BJ88" s="1105"/>
      <c r="BK88" s="1105"/>
      <c r="BL88" s="1105"/>
      <c r="BM88" s="1105"/>
      <c r="BN88" s="1104"/>
      <c r="BO88" s="61"/>
      <c r="BP88" s="1929"/>
      <c r="BQ88" s="50"/>
      <c r="BR88" s="59"/>
      <c r="BS88" s="59"/>
      <c r="BT88" s="55"/>
      <c r="BU88" s="59"/>
      <c r="BV88" s="55"/>
      <c r="BW88" s="59"/>
      <c r="BX88" s="59"/>
      <c r="BY88" s="59"/>
      <c r="BZ88" s="59"/>
      <c r="CA88" s="59"/>
      <c r="CB88" s="59"/>
      <c r="CC88" s="59"/>
      <c r="CD88" s="59"/>
      <c r="CE88" s="59"/>
      <c r="CF88" s="89"/>
      <c r="CG88" s="59"/>
      <c r="CH88" s="59"/>
      <c r="CI88" s="59"/>
      <c r="CJ88" s="59"/>
      <c r="CK88" s="61"/>
      <c r="CL88" s="1928"/>
      <c r="CM88" s="43"/>
    </row>
    <row r="89" spans="2:91" s="72" customFormat="1" ht="19.5" customHeight="1" thickBot="1">
      <c r="B89" s="1911"/>
      <c r="C89" s="64"/>
      <c r="D89" s="75"/>
      <c r="E89" s="75"/>
      <c r="F89" s="75"/>
      <c r="G89" s="75"/>
      <c r="H89" s="75"/>
      <c r="I89" s="75"/>
      <c r="J89" s="75"/>
      <c r="K89" s="75"/>
      <c r="L89" s="75"/>
      <c r="M89" s="75"/>
      <c r="N89" s="75"/>
      <c r="O89" s="75"/>
      <c r="P89" s="75"/>
      <c r="Q89" s="75"/>
      <c r="R89" s="75"/>
      <c r="S89" s="75"/>
      <c r="T89" s="75"/>
      <c r="U89" s="75"/>
      <c r="V89" s="75"/>
      <c r="W89" s="75"/>
      <c r="X89" s="75"/>
      <c r="Y89" s="75"/>
      <c r="Z89" s="82"/>
      <c r="AA89" s="75"/>
      <c r="AB89" s="82"/>
      <c r="AC89" s="75"/>
      <c r="AD89" s="75"/>
      <c r="AE89" s="75"/>
      <c r="AF89" s="82"/>
      <c r="AG89" s="84"/>
      <c r="AH89" s="1936"/>
      <c r="AI89" s="132"/>
      <c r="AJ89" s="75"/>
      <c r="AK89" s="142"/>
      <c r="AL89" s="422" t="s">
        <v>482</v>
      </c>
      <c r="AM89" s="143"/>
      <c r="AN89" s="143"/>
      <c r="AO89" s="143"/>
      <c r="AP89" s="143"/>
      <c r="AQ89" s="144"/>
      <c r="AR89" s="144"/>
      <c r="AS89" s="143"/>
      <c r="AT89" s="143"/>
      <c r="AU89" s="3610">
        <f>'CALCULS Eaux pluviales'!E178</f>
        <v>0</v>
      </c>
      <c r="AV89" s="3610"/>
      <c r="AW89" s="3610"/>
      <c r="AX89" s="3610"/>
      <c r="AY89" s="2785">
        <f>'CALCULS Eaux pluviales'!L177</f>
        <v>0</v>
      </c>
      <c r="AZ89" s="3610">
        <f>'CALCULS Eaux pluviales'!F178</f>
        <v>0</v>
      </c>
      <c r="BA89" s="3610"/>
      <c r="BB89" s="3610"/>
      <c r="BC89" s="3610"/>
      <c r="BD89" s="3610"/>
      <c r="BE89" s="3610"/>
      <c r="BF89" s="1091"/>
      <c r="BG89" s="2785">
        <f>'CALCULS Eaux pluviales'!F160</f>
        <v>0</v>
      </c>
      <c r="BH89" s="2741"/>
      <c r="BI89" s="3611">
        <f>'CALCULS Eaux pluviales'!G178</f>
        <v>0</v>
      </c>
      <c r="BJ89" s="3611"/>
      <c r="BK89" s="3611"/>
      <c r="BL89" s="3611"/>
      <c r="BM89" s="3611"/>
      <c r="BN89" s="2721"/>
      <c r="BO89" s="69"/>
      <c r="BP89" s="1933"/>
      <c r="BQ89" s="64"/>
      <c r="BR89" s="75"/>
      <c r="BS89" s="75"/>
      <c r="BT89" s="82"/>
      <c r="BU89" s="75"/>
      <c r="BV89" s="82"/>
      <c r="BW89" s="75"/>
      <c r="BX89" s="75"/>
      <c r="BY89" s="75"/>
      <c r="BZ89" s="75"/>
      <c r="CA89" s="75"/>
      <c r="CB89" s="75"/>
      <c r="CC89" s="75"/>
      <c r="CD89" s="75"/>
      <c r="CE89" s="75"/>
      <c r="CF89" s="73"/>
      <c r="CG89" s="75"/>
      <c r="CH89" s="75"/>
      <c r="CI89" s="75"/>
      <c r="CJ89" s="75"/>
      <c r="CK89" s="69"/>
      <c r="CL89" s="1932"/>
      <c r="CM89" s="71"/>
    </row>
    <row r="90" spans="2:91" ht="6.75" customHeight="1">
      <c r="B90" s="1910"/>
      <c r="C90" s="50"/>
      <c r="D90" s="59"/>
      <c r="E90" s="59"/>
      <c r="F90" s="59"/>
      <c r="G90" s="59"/>
      <c r="H90" s="59"/>
      <c r="I90" s="59"/>
      <c r="J90" s="59"/>
      <c r="K90" s="59"/>
      <c r="L90" s="59"/>
      <c r="M90" s="59"/>
      <c r="N90" s="59"/>
      <c r="O90" s="59"/>
      <c r="P90" s="59"/>
      <c r="Q90" s="59"/>
      <c r="R90" s="59"/>
      <c r="S90" s="59"/>
      <c r="T90" s="59"/>
      <c r="U90" s="59"/>
      <c r="V90" s="59"/>
      <c r="W90" s="59"/>
      <c r="X90" s="59"/>
      <c r="Y90" s="59"/>
      <c r="Z90" s="55"/>
      <c r="AA90" s="59"/>
      <c r="AB90" s="55"/>
      <c r="AC90" s="59"/>
      <c r="AD90" s="59"/>
      <c r="AE90" s="59"/>
      <c r="AF90" s="55"/>
      <c r="AG90" s="120"/>
      <c r="AH90" s="1935"/>
      <c r="AI90" s="122"/>
      <c r="AJ90" s="59"/>
      <c r="AK90" s="59"/>
      <c r="AL90" s="418"/>
      <c r="AM90" s="59"/>
      <c r="AN90" s="59"/>
      <c r="AO90" s="59"/>
      <c r="AP90" s="59"/>
      <c r="AQ90" s="138"/>
      <c r="AR90" s="138"/>
      <c r="AS90" s="59"/>
      <c r="AT90" s="59"/>
      <c r="AU90" s="88"/>
      <c r="AV90" s="88"/>
      <c r="AW90" s="88"/>
      <c r="AX90" s="1100"/>
      <c r="AY90" s="2784"/>
      <c r="AZ90" s="1110"/>
      <c r="BA90" s="89"/>
      <c r="BB90" s="89"/>
      <c r="BC90" s="1095"/>
      <c r="BD90" s="89"/>
      <c r="BE90" s="1095"/>
      <c r="BF90" s="428"/>
      <c r="BG90" s="2784"/>
      <c r="BH90" s="2739"/>
      <c r="BI90" s="1105"/>
      <c r="BJ90" s="1105"/>
      <c r="BK90" s="1105"/>
      <c r="BL90" s="1105"/>
      <c r="BM90" s="1105"/>
      <c r="BN90" s="1104"/>
      <c r="BO90" s="61"/>
      <c r="BP90" s="1929"/>
      <c r="BQ90" s="50"/>
      <c r="BR90" s="59"/>
      <c r="BS90" s="59"/>
      <c r="BT90" s="55"/>
      <c r="BU90" s="59"/>
      <c r="BV90" s="55"/>
      <c r="BW90" s="59"/>
      <c r="BX90" s="59"/>
      <c r="BY90" s="59"/>
      <c r="BZ90" s="59"/>
      <c r="CA90" s="59"/>
      <c r="CB90" s="59"/>
      <c r="CC90" s="59"/>
      <c r="CD90" s="59"/>
      <c r="CE90" s="59"/>
      <c r="CF90" s="89"/>
      <c r="CG90" s="59"/>
      <c r="CH90" s="59"/>
      <c r="CI90" s="59"/>
      <c r="CJ90" s="59"/>
      <c r="CK90" s="61"/>
      <c r="CL90" s="1928"/>
      <c r="CM90" s="43"/>
    </row>
    <row r="91" spans="2:91" s="72" customFormat="1" ht="19.5" customHeight="1" thickBot="1">
      <c r="B91" s="1911"/>
      <c r="C91" s="64"/>
      <c r="D91" s="75"/>
      <c r="E91" s="75"/>
      <c r="F91" s="75"/>
      <c r="G91" s="75"/>
      <c r="H91" s="75"/>
      <c r="I91" s="75"/>
      <c r="J91" s="75"/>
      <c r="K91" s="75"/>
      <c r="L91" s="75"/>
      <c r="M91" s="75"/>
      <c r="N91" s="75"/>
      <c r="O91" s="75"/>
      <c r="P91" s="75"/>
      <c r="Q91" s="75"/>
      <c r="R91" s="75"/>
      <c r="S91" s="75"/>
      <c r="T91" s="75"/>
      <c r="U91" s="75"/>
      <c r="V91" s="75"/>
      <c r="W91" s="75"/>
      <c r="X91" s="75"/>
      <c r="Y91" s="75"/>
      <c r="Z91" s="82"/>
      <c r="AA91" s="75"/>
      <c r="AB91" s="82"/>
      <c r="AC91" s="75"/>
      <c r="AD91" s="75"/>
      <c r="AE91" s="75"/>
      <c r="AF91" s="82"/>
      <c r="AG91" s="84"/>
      <c r="AH91" s="1936"/>
      <c r="AI91" s="132"/>
      <c r="AJ91" s="75"/>
      <c r="AK91" s="145"/>
      <c r="AL91" s="423" t="s">
        <v>782</v>
      </c>
      <c r="AM91" s="146"/>
      <c r="AN91" s="146"/>
      <c r="AO91" s="146"/>
      <c r="AP91" s="146"/>
      <c r="AQ91" s="147"/>
      <c r="AR91" s="147"/>
      <c r="AS91" s="146"/>
      <c r="AT91" s="146"/>
      <c r="AU91" s="3699">
        <f>'CALCULS Eaux pluviales'!E179</f>
        <v>0</v>
      </c>
      <c r="AV91" s="3699"/>
      <c r="AW91" s="3699"/>
      <c r="AX91" s="3699"/>
      <c r="AY91" s="2786">
        <f>'CALCULS Eaux pluviales'!L178</f>
        <v>0</v>
      </c>
      <c r="AZ91" s="3699">
        <f>'CALCULS Eaux pluviales'!F179</f>
        <v>0</v>
      </c>
      <c r="BA91" s="3699"/>
      <c r="BB91" s="3699"/>
      <c r="BC91" s="3699"/>
      <c r="BD91" s="3699"/>
      <c r="BE91" s="3699"/>
      <c r="BF91" s="1092"/>
      <c r="BG91" s="2786">
        <f>'CALCULS Eaux pluviales'!F160</f>
        <v>0</v>
      </c>
      <c r="BH91" s="2742"/>
      <c r="BI91" s="3565">
        <f>'CALCULS Eaux pluviales'!G179</f>
        <v>0</v>
      </c>
      <c r="BJ91" s="3565"/>
      <c r="BK91" s="3565"/>
      <c r="BL91" s="3565"/>
      <c r="BM91" s="3565"/>
      <c r="BN91" s="2722"/>
      <c r="BO91" s="69"/>
      <c r="BP91" s="1933"/>
      <c r="BQ91" s="64"/>
      <c r="BR91" s="75"/>
      <c r="BS91" s="75"/>
      <c r="BT91" s="82"/>
      <c r="BU91" s="75"/>
      <c r="BV91" s="82"/>
      <c r="BW91" s="75"/>
      <c r="BX91" s="75"/>
      <c r="BY91" s="75"/>
      <c r="BZ91" s="75"/>
      <c r="CA91" s="75"/>
      <c r="CB91" s="75"/>
      <c r="CC91" s="75"/>
      <c r="CD91" s="75"/>
      <c r="CE91" s="75"/>
      <c r="CF91" s="73"/>
      <c r="CG91" s="75"/>
      <c r="CH91" s="75"/>
      <c r="CI91" s="75"/>
      <c r="CJ91" s="75"/>
      <c r="CK91" s="69"/>
      <c r="CL91" s="1932"/>
      <c r="CM91" s="71"/>
    </row>
    <row r="92" spans="2:91" ht="6.75" customHeight="1">
      <c r="B92" s="1910"/>
      <c r="C92" s="50"/>
      <c r="D92" s="59"/>
      <c r="E92" s="59"/>
      <c r="F92" s="59"/>
      <c r="G92" s="59"/>
      <c r="H92" s="59"/>
      <c r="I92" s="59"/>
      <c r="J92" s="59"/>
      <c r="K92" s="59"/>
      <c r="L92" s="59"/>
      <c r="M92" s="59"/>
      <c r="N92" s="59"/>
      <c r="O92" s="59"/>
      <c r="P92" s="59"/>
      <c r="Q92" s="59"/>
      <c r="R92" s="59"/>
      <c r="S92" s="59"/>
      <c r="T92" s="59"/>
      <c r="U92" s="59"/>
      <c r="V92" s="59"/>
      <c r="W92" s="59"/>
      <c r="X92" s="59"/>
      <c r="Y92" s="59"/>
      <c r="Z92" s="55"/>
      <c r="AA92" s="59"/>
      <c r="AB92" s="55"/>
      <c r="AC92" s="59"/>
      <c r="AD92" s="59"/>
      <c r="AE92" s="59"/>
      <c r="AF92" s="55"/>
      <c r="AG92" s="120"/>
      <c r="AH92" s="1935"/>
      <c r="AI92" s="122"/>
      <c r="AJ92" s="59"/>
      <c r="AK92" s="59"/>
      <c r="AL92" s="418"/>
      <c r="AM92" s="59"/>
      <c r="AN92" s="59"/>
      <c r="AO92" s="59"/>
      <c r="AP92" s="59"/>
      <c r="AQ92" s="138"/>
      <c r="AR92" s="138"/>
      <c r="AS92" s="59"/>
      <c r="AT92" s="59"/>
      <c r="AU92" s="88"/>
      <c r="AV92" s="88"/>
      <c r="AW92" s="88"/>
      <c r="AX92" s="1100"/>
      <c r="AY92" s="2784"/>
      <c r="AZ92" s="1110"/>
      <c r="BA92" s="89"/>
      <c r="BB92" s="89"/>
      <c r="BC92" s="1095"/>
      <c r="BD92" s="89"/>
      <c r="BE92" s="1095"/>
      <c r="BF92" s="428"/>
      <c r="BG92" s="2784"/>
      <c r="BH92" s="2739"/>
      <c r="BI92" s="1105"/>
      <c r="BJ92" s="1105"/>
      <c r="BK92" s="1105"/>
      <c r="BL92" s="1105"/>
      <c r="BM92" s="1105"/>
      <c r="BN92" s="1104"/>
      <c r="BO92" s="61"/>
      <c r="BP92" s="1929"/>
      <c r="BQ92" s="50"/>
      <c r="BR92" s="59"/>
      <c r="BS92" s="59"/>
      <c r="BT92" s="55"/>
      <c r="BU92" s="59"/>
      <c r="BV92" s="55"/>
      <c r="BW92" s="59"/>
      <c r="BX92" s="59"/>
      <c r="BY92" s="59"/>
      <c r="BZ92" s="59"/>
      <c r="CA92" s="59"/>
      <c r="CB92" s="59"/>
      <c r="CC92" s="59"/>
      <c r="CD92" s="59"/>
      <c r="CE92" s="59"/>
      <c r="CF92" s="89"/>
      <c r="CG92" s="59"/>
      <c r="CH92" s="59"/>
      <c r="CI92" s="59"/>
      <c r="CJ92" s="59"/>
      <c r="CK92" s="61"/>
      <c r="CL92" s="1928"/>
      <c r="CM92" s="43"/>
    </row>
    <row r="93" spans="2:91" s="72" customFormat="1" ht="19.5" customHeight="1" thickBot="1">
      <c r="B93" s="1911"/>
      <c r="C93" s="64"/>
      <c r="D93" s="75"/>
      <c r="E93" s="75"/>
      <c r="F93" s="75"/>
      <c r="G93" s="75"/>
      <c r="H93" s="75"/>
      <c r="I93" s="75"/>
      <c r="J93" s="75"/>
      <c r="K93" s="75"/>
      <c r="L93" s="75"/>
      <c r="M93" s="75"/>
      <c r="N93" s="75"/>
      <c r="O93" s="75"/>
      <c r="P93" s="75"/>
      <c r="Q93" s="75"/>
      <c r="R93" s="75"/>
      <c r="S93" s="75"/>
      <c r="T93" s="75"/>
      <c r="U93" s="75"/>
      <c r="V93" s="75"/>
      <c r="W93" s="75"/>
      <c r="X93" s="75"/>
      <c r="Y93" s="75"/>
      <c r="Z93" s="82"/>
      <c r="AA93" s="75"/>
      <c r="AB93" s="82"/>
      <c r="AC93" s="75"/>
      <c r="AD93" s="75"/>
      <c r="AE93" s="75"/>
      <c r="AF93" s="82"/>
      <c r="AG93" s="84"/>
      <c r="AH93" s="1936"/>
      <c r="AI93" s="132"/>
      <c r="AJ93" s="75"/>
      <c r="AK93" s="149"/>
      <c r="AL93" s="424" t="s">
        <v>783</v>
      </c>
      <c r="AM93" s="150"/>
      <c r="AN93" s="150"/>
      <c r="AO93" s="150"/>
      <c r="AP93" s="150"/>
      <c r="AQ93" s="151"/>
      <c r="AR93" s="151"/>
      <c r="AS93" s="150"/>
      <c r="AT93" s="150"/>
      <c r="AU93" s="3606">
        <f>'CALCULS Eaux pluviales'!E180</f>
        <v>0</v>
      </c>
      <c r="AV93" s="3606"/>
      <c r="AW93" s="3606"/>
      <c r="AX93" s="3606"/>
      <c r="AY93" s="2787">
        <f>'CALCULS Eaux pluviales'!L178</f>
        <v>0</v>
      </c>
      <c r="AZ93" s="3606">
        <f>'CALCULS Eaux pluviales'!F180</f>
        <v>0</v>
      </c>
      <c r="BA93" s="3606"/>
      <c r="BB93" s="3606"/>
      <c r="BC93" s="3606"/>
      <c r="BD93" s="3606"/>
      <c r="BE93" s="3606"/>
      <c r="BF93" s="1093"/>
      <c r="BG93" s="2787">
        <f>'CALCULS Eaux pluviales'!F160</f>
        <v>0</v>
      </c>
      <c r="BH93" s="2743"/>
      <c r="BI93" s="3572">
        <f>'CALCULS Eaux pluviales'!G180</f>
        <v>0</v>
      </c>
      <c r="BJ93" s="3572"/>
      <c r="BK93" s="3572"/>
      <c r="BL93" s="3572"/>
      <c r="BM93" s="3572"/>
      <c r="BN93" s="2723"/>
      <c r="BO93" s="69"/>
      <c r="BP93" s="1933"/>
      <c r="BQ93" s="64"/>
      <c r="BR93" s="75"/>
      <c r="BS93" s="75"/>
      <c r="BT93" s="82"/>
      <c r="BU93" s="75"/>
      <c r="BV93" s="82"/>
      <c r="BW93" s="75"/>
      <c r="BX93" s="75"/>
      <c r="BY93" s="75"/>
      <c r="BZ93" s="75"/>
      <c r="CA93" s="75"/>
      <c r="CB93" s="75"/>
      <c r="CC93" s="75"/>
      <c r="CD93" s="75"/>
      <c r="CE93" s="75"/>
      <c r="CF93" s="73"/>
      <c r="CG93" s="75"/>
      <c r="CH93" s="75"/>
      <c r="CI93" s="75"/>
      <c r="CJ93" s="75"/>
      <c r="CK93" s="69"/>
      <c r="CL93" s="1932"/>
      <c r="CM93" s="71"/>
    </row>
    <row r="94" spans="2:91" ht="9" customHeight="1">
      <c r="B94" s="1910"/>
      <c r="C94" s="50"/>
      <c r="D94" s="59"/>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5"/>
      <c r="AG94" s="120"/>
      <c r="AH94" s="1935"/>
      <c r="AI94" s="122"/>
      <c r="AJ94" s="59"/>
      <c r="AK94" s="59"/>
      <c r="AL94" s="425"/>
      <c r="AM94" s="59"/>
      <c r="AN94" s="59"/>
      <c r="AO94" s="59"/>
      <c r="AP94" s="59"/>
      <c r="AQ94" s="59"/>
      <c r="AR94" s="59"/>
      <c r="AS94" s="59"/>
      <c r="AT94" s="59"/>
      <c r="AU94" s="138"/>
      <c r="AV94" s="138"/>
      <c r="AW94" s="138"/>
      <c r="AX94" s="1101"/>
      <c r="AY94" s="2784"/>
      <c r="AZ94" s="1114"/>
      <c r="BA94" s="436"/>
      <c r="BB94" s="436"/>
      <c r="BC94" s="1102"/>
      <c r="BD94" s="436"/>
      <c r="BE94" s="1102"/>
      <c r="BF94" s="417"/>
      <c r="BG94" s="2789"/>
      <c r="BH94" s="2744"/>
      <c r="BI94" s="1105"/>
      <c r="BJ94" s="1105"/>
      <c r="BK94" s="1105"/>
      <c r="BL94" s="1105"/>
      <c r="BM94" s="1105"/>
      <c r="BN94" s="1105"/>
      <c r="BO94" s="61"/>
      <c r="BP94" s="1929"/>
      <c r="BQ94" s="50"/>
      <c r="BR94" s="59"/>
      <c r="BS94" s="59"/>
      <c r="BT94" s="59"/>
      <c r="BU94" s="59"/>
      <c r="BV94" s="59"/>
      <c r="BW94" s="59"/>
      <c r="BX94" s="59"/>
      <c r="BY94" s="59"/>
      <c r="BZ94" s="59"/>
      <c r="CA94" s="59"/>
      <c r="CB94" s="59"/>
      <c r="CC94" s="59"/>
      <c r="CD94" s="59"/>
      <c r="CE94" s="59"/>
      <c r="CF94" s="59"/>
      <c r="CG94" s="59"/>
      <c r="CH94" s="59"/>
      <c r="CI94" s="59"/>
      <c r="CJ94" s="59"/>
      <c r="CK94" s="61"/>
      <c r="CL94" s="1928"/>
      <c r="CM94" s="43"/>
    </row>
    <row r="95" spans="2:91" ht="9" customHeight="1">
      <c r="B95" s="1910"/>
      <c r="C95" s="50"/>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5"/>
      <c r="AG95" s="120"/>
      <c r="AH95" s="1935"/>
      <c r="AI95" s="122"/>
      <c r="AJ95" s="59"/>
      <c r="AK95" s="59"/>
      <c r="AL95" s="425"/>
      <c r="AM95" s="59"/>
      <c r="AN95" s="59"/>
      <c r="AO95" s="59"/>
      <c r="AP95" s="59"/>
      <c r="AQ95" s="59"/>
      <c r="AR95" s="59"/>
      <c r="AS95" s="59"/>
      <c r="AT95" s="59"/>
      <c r="AU95" s="138"/>
      <c r="AV95" s="138"/>
      <c r="AW95" s="138"/>
      <c r="AX95" s="1101"/>
      <c r="AY95" s="2784"/>
      <c r="AZ95" s="1114"/>
      <c r="BA95" s="436"/>
      <c r="BB95" s="436"/>
      <c r="BC95" s="1102"/>
      <c r="BD95" s="436"/>
      <c r="BE95" s="1102"/>
      <c r="BF95" s="417"/>
      <c r="BG95" s="2789"/>
      <c r="BH95" s="2744"/>
      <c r="BI95" s="1105"/>
      <c r="BJ95" s="1105"/>
      <c r="BK95" s="1105"/>
      <c r="BL95" s="1105"/>
      <c r="BM95" s="1105"/>
      <c r="BN95" s="1105"/>
      <c r="BO95" s="61"/>
      <c r="BP95" s="1929"/>
      <c r="BQ95" s="50"/>
      <c r="BR95" s="59"/>
      <c r="BS95" s="59"/>
      <c r="BT95" s="59"/>
      <c r="BU95" s="59"/>
      <c r="BV95" s="59"/>
      <c r="BW95" s="59"/>
      <c r="BX95" s="59"/>
      <c r="BY95" s="59"/>
      <c r="BZ95" s="59"/>
      <c r="CA95" s="59"/>
      <c r="CB95" s="59"/>
      <c r="CC95" s="59"/>
      <c r="CD95" s="59"/>
      <c r="CE95" s="59"/>
      <c r="CF95" s="59"/>
      <c r="CG95" s="59"/>
      <c r="CH95" s="59"/>
      <c r="CI95" s="59"/>
      <c r="CJ95" s="59"/>
      <c r="CK95" s="61"/>
      <c r="CL95" s="1928"/>
      <c r="CM95" s="43"/>
    </row>
    <row r="96" spans="2:91" s="72" customFormat="1" ht="19.5" customHeight="1" thickBot="1">
      <c r="B96" s="1911"/>
      <c r="C96" s="64"/>
      <c r="D96" s="75"/>
      <c r="E96" s="75"/>
      <c r="F96" s="75"/>
      <c r="G96" s="75"/>
      <c r="H96" s="75"/>
      <c r="I96" s="75"/>
      <c r="J96" s="75"/>
      <c r="K96" s="75"/>
      <c r="L96" s="75"/>
      <c r="M96" s="75"/>
      <c r="N96" s="75"/>
      <c r="O96" s="75"/>
      <c r="P96" s="75"/>
      <c r="Q96" s="75"/>
      <c r="R96" s="75"/>
      <c r="S96" s="75"/>
      <c r="T96" s="75"/>
      <c r="U96" s="75"/>
      <c r="V96" s="75"/>
      <c r="W96" s="75"/>
      <c r="X96" s="75"/>
      <c r="Y96" s="75"/>
      <c r="Z96" s="82"/>
      <c r="AA96" s="75"/>
      <c r="AB96" s="82"/>
      <c r="AC96" s="75"/>
      <c r="AD96" s="75"/>
      <c r="AE96" s="75"/>
      <c r="AF96" s="75"/>
      <c r="AG96" s="69"/>
      <c r="AH96" s="1937"/>
      <c r="AI96" s="64"/>
      <c r="AJ96" s="75"/>
      <c r="AK96" s="153"/>
      <c r="AL96" s="426" t="s">
        <v>467</v>
      </c>
      <c r="AM96" s="154"/>
      <c r="AN96" s="154"/>
      <c r="AO96" s="154"/>
      <c r="AP96" s="155"/>
      <c r="AQ96" s="154"/>
      <c r="AR96" s="154"/>
      <c r="AS96" s="154"/>
      <c r="AT96" s="154"/>
      <c r="AU96" s="3573">
        <f>'CALCULS Eaux pluviales'!E181</f>
        <v>0</v>
      </c>
      <c r="AV96" s="3573"/>
      <c r="AW96" s="3573"/>
      <c r="AX96" s="3573"/>
      <c r="AY96" s="2788">
        <f>'CALCULS Eaux pluviales'!H161</f>
        <v>0</v>
      </c>
      <c r="AZ96" s="3573">
        <f>'CALCULS Eaux pluviales'!F181</f>
        <v>0</v>
      </c>
      <c r="BA96" s="3573"/>
      <c r="BB96" s="3573"/>
      <c r="BC96" s="3573"/>
      <c r="BD96" s="3573"/>
      <c r="BE96" s="3573"/>
      <c r="BF96" s="1094"/>
      <c r="BG96" s="2788">
        <f>'CALCULS Eaux pluviales'!H159</f>
        <v>0</v>
      </c>
      <c r="BH96" s="2745"/>
      <c r="BI96" s="3608">
        <f>'CALCULS Eaux pluviales'!G181</f>
        <v>0</v>
      </c>
      <c r="BJ96" s="3608"/>
      <c r="BK96" s="3608"/>
      <c r="BL96" s="3608"/>
      <c r="BM96" s="3608"/>
      <c r="BN96" s="2724"/>
      <c r="BO96" s="69"/>
      <c r="BP96" s="1933"/>
      <c r="BQ96" s="64"/>
      <c r="BR96" s="3600" t="s">
        <v>2287</v>
      </c>
      <c r="BS96" s="3600"/>
      <c r="BT96" s="3600"/>
      <c r="BU96" s="3600"/>
      <c r="BV96" s="3600"/>
      <c r="BW96" s="3600"/>
      <c r="BX96" s="3600"/>
      <c r="BY96" s="3600"/>
      <c r="BZ96" s="3600"/>
      <c r="CA96" s="3600"/>
      <c r="CB96" s="3600"/>
      <c r="CC96" s="3600" t="s">
        <v>784</v>
      </c>
      <c r="CD96" s="3600"/>
      <c r="CE96" s="3600"/>
      <c r="CF96" s="3600"/>
      <c r="CG96" s="3600"/>
      <c r="CH96" s="3600"/>
      <c r="CI96" s="3600"/>
      <c r="CJ96" s="3600"/>
      <c r="CK96" s="3601"/>
      <c r="CL96" s="1932"/>
      <c r="CM96" s="71"/>
    </row>
    <row r="97" spans="2:91" ht="16.5" customHeight="1">
      <c r="B97" s="1910"/>
      <c r="C97" s="91"/>
      <c r="D97" s="92"/>
      <c r="E97" s="92"/>
      <c r="F97" s="92"/>
      <c r="G97" s="92"/>
      <c r="H97" s="92"/>
      <c r="I97" s="92"/>
      <c r="J97" s="92"/>
      <c r="K97" s="92"/>
      <c r="L97" s="92"/>
      <c r="M97" s="92"/>
      <c r="N97" s="92"/>
      <c r="O97" s="92"/>
      <c r="P97" s="92"/>
      <c r="Q97" s="92"/>
      <c r="R97" s="92"/>
      <c r="S97" s="92"/>
      <c r="T97" s="92"/>
      <c r="U97" s="92"/>
      <c r="V97" s="92"/>
      <c r="W97" s="92"/>
      <c r="X97" s="92"/>
      <c r="Y97" s="92"/>
      <c r="Z97" s="156"/>
      <c r="AA97" s="92"/>
      <c r="AB97" s="156"/>
      <c r="AC97" s="92"/>
      <c r="AD97" s="92"/>
      <c r="AE97" s="92"/>
      <c r="AF97" s="92"/>
      <c r="AG97" s="93"/>
      <c r="AH97" s="1934"/>
      <c r="AI97" s="91"/>
      <c r="AJ97" s="92"/>
      <c r="AK97" s="92"/>
      <c r="AL97" s="157"/>
      <c r="AM97" s="92"/>
      <c r="AN97" s="92"/>
      <c r="AO97" s="92"/>
      <c r="AP97" s="92"/>
      <c r="AQ97" s="92"/>
      <c r="AR97" s="92"/>
      <c r="AS97" s="92"/>
      <c r="AT97" s="92"/>
      <c r="AU97" s="158"/>
      <c r="AV97" s="158"/>
      <c r="AW97" s="158"/>
      <c r="AX97" s="159"/>
      <c r="AY97" s="159"/>
      <c r="AZ97" s="159"/>
      <c r="BA97" s="159"/>
      <c r="BB97" s="159"/>
      <c r="BC97" s="159"/>
      <c r="BD97" s="159"/>
      <c r="BE97" s="159"/>
      <c r="BF97" s="92"/>
      <c r="BG97" s="92"/>
      <c r="BH97" s="92"/>
      <c r="BI97" s="92"/>
      <c r="BJ97" s="92"/>
      <c r="BK97" s="92"/>
      <c r="BL97" s="92"/>
      <c r="BM97" s="92"/>
      <c r="BN97" s="92"/>
      <c r="BO97" s="93"/>
      <c r="BP97" s="1929"/>
      <c r="BQ97" s="50"/>
      <c r="BR97" s="3600"/>
      <c r="BS97" s="3600"/>
      <c r="BT97" s="3600"/>
      <c r="BU97" s="3600"/>
      <c r="BV97" s="3600"/>
      <c r="BW97" s="3600"/>
      <c r="BX97" s="3600"/>
      <c r="BY97" s="3600"/>
      <c r="BZ97" s="3600"/>
      <c r="CA97" s="3600"/>
      <c r="CB97" s="3600"/>
      <c r="CC97" s="3600"/>
      <c r="CD97" s="3600"/>
      <c r="CE97" s="3600"/>
      <c r="CF97" s="3600"/>
      <c r="CG97" s="3600"/>
      <c r="CH97" s="3600"/>
      <c r="CI97" s="3600"/>
      <c r="CJ97" s="3600"/>
      <c r="CK97" s="3601"/>
      <c r="CL97" s="1928"/>
      <c r="CM97" s="43"/>
    </row>
    <row r="98" spans="2:91" ht="10.5" customHeight="1">
      <c r="B98" s="1910"/>
      <c r="C98" s="1929"/>
      <c r="D98" s="1929"/>
      <c r="E98" s="1929"/>
      <c r="F98" s="1929"/>
      <c r="G98" s="1929"/>
      <c r="H98" s="1929"/>
      <c r="I98" s="1929"/>
      <c r="J98" s="1929"/>
      <c r="K98" s="1929"/>
      <c r="L98" s="1929"/>
      <c r="M98" s="1929"/>
      <c r="N98" s="1929"/>
      <c r="O98" s="1929"/>
      <c r="P98" s="1929"/>
      <c r="Q98" s="1929"/>
      <c r="R98" s="1929"/>
      <c r="S98" s="1929"/>
      <c r="T98" s="1929"/>
      <c r="U98" s="1929"/>
      <c r="V98" s="1929"/>
      <c r="W98" s="1929"/>
      <c r="X98" s="1929"/>
      <c r="Y98" s="1929"/>
      <c r="Z98" s="1938"/>
      <c r="AA98" s="1929"/>
      <c r="AB98" s="1938"/>
      <c r="AC98" s="1929"/>
      <c r="AD98" s="1929"/>
      <c r="AE98" s="1929"/>
      <c r="AF98" s="1929"/>
      <c r="AG98" s="1929"/>
      <c r="AH98" s="1929"/>
      <c r="AI98" s="1929"/>
      <c r="AJ98" s="1929"/>
      <c r="AK98" s="1929"/>
      <c r="AL98" s="1938"/>
      <c r="AM98" s="1929"/>
      <c r="AN98" s="1929"/>
      <c r="AO98" s="1929"/>
      <c r="AP98" s="1929"/>
      <c r="AQ98" s="1929"/>
      <c r="AR98" s="1929"/>
      <c r="AS98" s="1929"/>
      <c r="AT98" s="1929"/>
      <c r="AU98" s="1939"/>
      <c r="AV98" s="1939"/>
      <c r="AW98" s="1939"/>
      <c r="AX98" s="1940"/>
      <c r="AY98" s="1940"/>
      <c r="AZ98" s="1940"/>
      <c r="BA98" s="1940"/>
      <c r="BB98" s="1940"/>
      <c r="BC98" s="1940"/>
      <c r="BD98" s="1940"/>
      <c r="BE98" s="1940"/>
      <c r="BF98" s="1929"/>
      <c r="BG98" s="1929"/>
      <c r="BH98" s="1929"/>
      <c r="BI98" s="1929"/>
      <c r="BJ98" s="1929"/>
      <c r="BK98" s="1929"/>
      <c r="BL98" s="1929"/>
      <c r="BM98" s="1929"/>
      <c r="BN98" s="1929"/>
      <c r="BO98" s="1929"/>
      <c r="BP98" s="1928"/>
      <c r="BQ98" s="59"/>
      <c r="BR98" s="59"/>
      <c r="BS98" s="3759" t="s">
        <v>748</v>
      </c>
      <c r="BT98" s="3607" t="s">
        <v>31</v>
      </c>
      <c r="BU98" s="3607"/>
      <c r="BV98" s="3607"/>
      <c r="BW98" s="3607"/>
      <c r="BX98" s="3607"/>
      <c r="BY98" s="2475"/>
      <c r="BZ98" s="2475"/>
      <c r="CA98" s="2475"/>
      <c r="CC98" s="3760" t="s">
        <v>748</v>
      </c>
      <c r="CD98" s="3760"/>
      <c r="CE98" s="3603" t="s">
        <v>76</v>
      </c>
      <c r="CF98" s="3603"/>
      <c r="CG98" s="3603"/>
      <c r="CH98" s="3603"/>
      <c r="CI98" s="3603"/>
      <c r="CJ98" s="3603"/>
      <c r="CK98" s="3604"/>
      <c r="CL98" s="1928"/>
      <c r="CM98" s="43"/>
    </row>
    <row r="99" spans="2:91" ht="9" customHeight="1" thickBot="1">
      <c r="B99" s="1910"/>
      <c r="C99" s="113"/>
      <c r="D99" s="111"/>
      <c r="E99" s="111"/>
      <c r="F99" s="111"/>
      <c r="G99" s="111"/>
      <c r="H99" s="111"/>
      <c r="I99" s="111"/>
      <c r="J99" s="111"/>
      <c r="K99" s="111"/>
      <c r="L99" s="111"/>
      <c r="M99" s="111"/>
      <c r="N99" s="111"/>
      <c r="O99" s="111"/>
      <c r="P99" s="111"/>
      <c r="Q99" s="111"/>
      <c r="R99" s="111"/>
      <c r="S99" s="111"/>
      <c r="T99" s="111"/>
      <c r="U99" s="111"/>
      <c r="V99" s="111"/>
      <c r="W99" s="111"/>
      <c r="X99" s="111"/>
      <c r="Y99" s="111"/>
      <c r="Z99" s="163"/>
      <c r="AA99" s="111"/>
      <c r="AB99" s="163"/>
      <c r="AC99" s="111"/>
      <c r="AD99" s="111"/>
      <c r="AE99" s="111"/>
      <c r="AF99" s="111"/>
      <c r="AG99" s="111"/>
      <c r="AH99" s="111"/>
      <c r="AI99" s="111"/>
      <c r="AJ99" s="111"/>
      <c r="AK99" s="111"/>
      <c r="AL99" s="163"/>
      <c r="AM99" s="111"/>
      <c r="AN99" s="111"/>
      <c r="AO99" s="111"/>
      <c r="AP99" s="111"/>
      <c r="AQ99" s="111"/>
      <c r="AR99" s="111"/>
      <c r="AS99" s="111"/>
      <c r="AT99" s="111"/>
      <c r="AU99" s="164"/>
      <c r="AV99" s="164"/>
      <c r="AW99" s="164"/>
      <c r="AX99" s="165"/>
      <c r="AY99" s="165"/>
      <c r="AZ99" s="165"/>
      <c r="BA99" s="165"/>
      <c r="BB99" s="165"/>
      <c r="BC99" s="165"/>
      <c r="BD99" s="165"/>
      <c r="BE99" s="165"/>
      <c r="BF99" s="111"/>
      <c r="BG99" s="111"/>
      <c r="BH99" s="111"/>
      <c r="BI99" s="111"/>
      <c r="BJ99" s="111"/>
      <c r="BK99" s="111"/>
      <c r="BL99" s="111"/>
      <c r="BM99" s="111"/>
      <c r="BN99" s="111"/>
      <c r="BO99" s="112"/>
      <c r="BP99" s="1929"/>
      <c r="BQ99" s="50"/>
      <c r="BS99" s="3759"/>
      <c r="BT99" s="3607"/>
      <c r="BU99" s="3607"/>
      <c r="BV99" s="3607"/>
      <c r="BW99" s="3607"/>
      <c r="BX99" s="3607"/>
      <c r="BY99" s="2475"/>
      <c r="BZ99" s="2475"/>
      <c r="CA99" s="2475"/>
      <c r="CB99" s="2476"/>
      <c r="CC99" s="3760"/>
      <c r="CD99" s="3760"/>
      <c r="CE99" s="3603"/>
      <c r="CF99" s="3603"/>
      <c r="CG99" s="3603"/>
      <c r="CH99" s="3603"/>
      <c r="CI99" s="3603"/>
      <c r="CJ99" s="3603"/>
      <c r="CK99" s="3604"/>
      <c r="CL99" s="1928"/>
      <c r="CM99" s="43"/>
    </row>
    <row r="100" spans="2:91" s="72" customFormat="1" ht="16.5" customHeight="1" thickTop="1" thickBot="1">
      <c r="B100" s="1911"/>
      <c r="C100" s="166"/>
      <c r="D100" s="51" t="s">
        <v>785</v>
      </c>
      <c r="E100" s="51"/>
      <c r="F100" s="51"/>
      <c r="G100" s="51"/>
      <c r="H100" s="51"/>
      <c r="AF100" s="75"/>
      <c r="AG100" s="75"/>
      <c r="AH100" s="75"/>
      <c r="AI100" s="75"/>
      <c r="AJ100" s="75"/>
      <c r="AK100" s="62"/>
      <c r="AL100" s="167"/>
      <c r="AM100" s="167"/>
      <c r="AN100" s="168"/>
      <c r="AO100" s="168"/>
      <c r="AP100" s="168"/>
      <c r="AQ100" s="168"/>
      <c r="AR100" s="168"/>
      <c r="AS100" s="168"/>
      <c r="AT100" s="168"/>
      <c r="AU100" s="168"/>
      <c r="AV100" s="168"/>
      <c r="AW100" s="168"/>
      <c r="AX100" s="168"/>
      <c r="AY100" s="168"/>
      <c r="AZ100" s="168"/>
      <c r="BA100" s="168"/>
      <c r="BB100" s="168"/>
      <c r="BC100" s="168"/>
      <c r="BD100" s="168"/>
      <c r="BE100" s="168"/>
      <c r="BF100" s="168"/>
      <c r="BG100" s="168"/>
      <c r="BH100" s="168"/>
      <c r="BI100" s="168"/>
      <c r="BJ100" s="168"/>
      <c r="BK100" s="168"/>
      <c r="BL100" s="168"/>
      <c r="BM100" s="168"/>
      <c r="BN100" s="75"/>
      <c r="BO100" s="169"/>
      <c r="BP100" s="1933"/>
      <c r="BQ100" s="64"/>
      <c r="BR100" s="429"/>
      <c r="BS100" s="2823" t="s">
        <v>748</v>
      </c>
      <c r="BT100" s="2478" t="s">
        <v>75</v>
      </c>
      <c r="BU100" s="2466"/>
      <c r="BV100" s="2466"/>
      <c r="BW100" s="2466"/>
      <c r="BX100" s="2466"/>
      <c r="BY100" s="2466"/>
      <c r="BZ100" s="2466"/>
      <c r="CA100" s="2466"/>
      <c r="CB100" s="2466"/>
      <c r="CD100" s="2478"/>
      <c r="CE100" s="3603"/>
      <c r="CF100" s="3603"/>
      <c r="CG100" s="3603"/>
      <c r="CH100" s="3603"/>
      <c r="CI100" s="3603"/>
      <c r="CJ100" s="3603"/>
      <c r="CK100" s="3604"/>
      <c r="CL100" s="1932"/>
      <c r="CM100" s="71"/>
    </row>
    <row r="101" spans="2:91" ht="6.75" customHeight="1" thickTop="1">
      <c r="B101" s="1910"/>
      <c r="C101" s="115"/>
      <c r="D101" s="59"/>
      <c r="E101" s="59"/>
      <c r="F101" s="59"/>
      <c r="G101" s="59"/>
      <c r="H101" s="59"/>
      <c r="I101" s="59"/>
      <c r="J101" s="59"/>
      <c r="K101" s="59"/>
      <c r="L101" s="59"/>
      <c r="M101" s="59"/>
      <c r="N101" s="59"/>
      <c r="O101" s="59"/>
      <c r="P101" s="59"/>
      <c r="Q101" s="59"/>
      <c r="R101" s="59"/>
      <c r="S101" s="59"/>
      <c r="T101" s="59"/>
      <c r="U101" s="59"/>
      <c r="V101" s="59"/>
      <c r="W101" s="59"/>
      <c r="X101" s="59"/>
      <c r="Y101" s="59"/>
      <c r="Z101" s="55"/>
      <c r="AA101" s="59"/>
      <c r="AB101" s="55"/>
      <c r="AC101" s="59"/>
      <c r="AD101" s="59"/>
      <c r="AE101" s="59"/>
      <c r="AF101" s="59"/>
      <c r="AG101" s="59"/>
      <c r="AH101" s="59"/>
      <c r="AI101" s="59"/>
      <c r="AJ101" s="59"/>
      <c r="AK101" s="59"/>
      <c r="AL101" s="55"/>
      <c r="AM101" s="59"/>
      <c r="AN101" s="59"/>
      <c r="AO101" s="59"/>
      <c r="AP101" s="59"/>
      <c r="AQ101" s="59"/>
      <c r="AR101" s="59"/>
      <c r="AS101" s="59"/>
      <c r="AT101" s="59"/>
      <c r="AU101" s="89"/>
      <c r="AV101" s="89"/>
      <c r="AW101" s="89"/>
      <c r="AX101" s="138"/>
      <c r="AY101" s="138"/>
      <c r="AZ101" s="138"/>
      <c r="BA101" s="138"/>
      <c r="BB101" s="138"/>
      <c r="BC101" s="138"/>
      <c r="BD101" s="138"/>
      <c r="BE101" s="138"/>
      <c r="BF101" s="59"/>
      <c r="BG101" s="59"/>
      <c r="BH101" s="59"/>
      <c r="BI101" s="59"/>
      <c r="BJ101" s="59"/>
      <c r="BK101" s="59"/>
      <c r="BL101" s="59"/>
      <c r="BM101" s="59"/>
      <c r="BN101" s="59"/>
      <c r="BO101" s="114"/>
      <c r="BP101" s="1929"/>
      <c r="BQ101" s="50"/>
      <c r="BR101" s="59"/>
      <c r="BS101" s="59"/>
      <c r="BT101" s="2466"/>
      <c r="BU101" s="2466"/>
      <c r="BV101" s="2466"/>
      <c r="BW101" s="2466"/>
      <c r="BX101" s="2466"/>
      <c r="BY101" s="2466"/>
      <c r="BZ101" s="2466"/>
      <c r="CA101" s="2466"/>
      <c r="CB101" s="2466"/>
      <c r="CC101" s="2466"/>
      <c r="CD101" s="2466"/>
      <c r="CE101" s="2466"/>
      <c r="CF101" s="2466"/>
      <c r="CG101" s="2466"/>
      <c r="CH101" s="2466"/>
      <c r="CI101" s="2466"/>
      <c r="CK101" s="61"/>
      <c r="CL101" s="1928"/>
      <c r="CM101" s="43"/>
    </row>
    <row r="102" spans="2:91" ht="16.5" customHeight="1">
      <c r="B102" s="1910"/>
      <c r="C102" s="115"/>
      <c r="D102" s="1949" t="s">
        <v>842</v>
      </c>
      <c r="E102" s="1968"/>
      <c r="F102" s="1968"/>
      <c r="G102" s="1968"/>
      <c r="H102" s="1968"/>
      <c r="I102" s="1960"/>
      <c r="J102" s="1960"/>
      <c r="K102" s="1961"/>
      <c r="L102" s="1962"/>
      <c r="M102" s="1961"/>
      <c r="N102" s="1963"/>
      <c r="O102" s="1961"/>
      <c r="P102" s="1964"/>
      <c r="Q102" s="1961"/>
      <c r="R102" s="1964"/>
      <c r="S102" s="1961"/>
      <c r="T102" s="1964"/>
      <c r="U102" s="1961"/>
      <c r="V102" s="1964"/>
      <c r="W102" s="1964"/>
      <c r="X102" s="1965"/>
      <c r="Y102" s="1966"/>
      <c r="Z102" s="1966"/>
      <c r="AA102" s="1966"/>
      <c r="AB102" s="1966"/>
      <c r="AC102" s="1966"/>
      <c r="AD102" s="1966"/>
      <c r="AE102" s="1966"/>
      <c r="AF102" s="2243" t="str">
        <f>IF(('FORMULAIRE PGA Eaux pluviales'!$H$120='MENU DÉROULANT'!$C$57),"(Aucun actif)","")</f>
        <v/>
      </c>
      <c r="AG102" s="1967"/>
      <c r="AH102" s="59"/>
      <c r="AI102" s="1949" t="s">
        <v>843</v>
      </c>
      <c r="AJ102" s="1960"/>
      <c r="AK102" s="1960"/>
      <c r="AL102" s="1961"/>
      <c r="AM102" s="1962"/>
      <c r="AN102" s="1961"/>
      <c r="AO102" s="1963"/>
      <c r="AP102" s="1961"/>
      <c r="AQ102" s="1964"/>
      <c r="AR102" s="1961"/>
      <c r="AS102" s="1964"/>
      <c r="AT102" s="1961"/>
      <c r="AU102" s="2242" t="str">
        <f>IF(('FORMULAIRE PGA Eaux pluviales'!M73='MENU DÉROULANT'!C66),"(Non applicable)","")</f>
        <v/>
      </c>
      <c r="AV102" s="1964"/>
      <c r="AW102" s="1964"/>
      <c r="AX102" s="1961"/>
      <c r="AY102" s="1961"/>
      <c r="AZ102" s="1961"/>
      <c r="BA102" s="1964"/>
      <c r="BB102" s="1964"/>
      <c r="BC102" s="1964"/>
      <c r="BD102" s="1965"/>
      <c r="BE102" s="1966"/>
      <c r="BF102" s="1966"/>
      <c r="BG102" s="1966"/>
      <c r="BH102" s="1966"/>
      <c r="BI102" s="1966"/>
      <c r="BJ102" s="1966"/>
      <c r="BK102" s="1966"/>
      <c r="BL102" s="1966"/>
      <c r="BM102" s="2243" t="str">
        <f>IF(('FORMULAIRE PGA Eaux pluviales'!$H$81='MENU DÉROULANT'!$F$57),"(Aucun actif)","")</f>
        <v/>
      </c>
      <c r="BN102" s="1967"/>
      <c r="BO102" s="114"/>
      <c r="BP102" s="1929"/>
      <c r="BQ102" s="50"/>
      <c r="BR102" s="2478" t="s">
        <v>49</v>
      </c>
      <c r="BT102" s="2466"/>
      <c r="BU102" s="2466"/>
      <c r="BV102" s="2466"/>
      <c r="BW102" s="2466"/>
      <c r="BX102" s="2466"/>
      <c r="BY102" s="2466"/>
      <c r="BZ102" s="2466"/>
      <c r="CA102" s="2466"/>
      <c r="CB102" s="2466"/>
      <c r="CC102" s="2466"/>
      <c r="CD102" s="2466"/>
      <c r="CE102" s="2466"/>
      <c r="CF102" s="2466"/>
      <c r="CG102" s="2466"/>
      <c r="CH102" s="2466"/>
      <c r="CI102" s="2466"/>
      <c r="CJ102" s="3598"/>
      <c r="CK102" s="3599"/>
      <c r="CL102" s="1928"/>
      <c r="CM102" s="43"/>
    </row>
    <row r="103" spans="2:91" ht="10.5" customHeight="1">
      <c r="B103" s="1910"/>
      <c r="C103" s="115"/>
      <c r="D103" s="1059"/>
      <c r="E103" s="1055"/>
      <c r="F103" s="1055"/>
      <c r="G103" s="1055"/>
      <c r="H103" s="1055"/>
      <c r="I103" s="1055"/>
      <c r="J103" s="1055"/>
      <c r="K103" s="1055"/>
      <c r="L103" s="1055"/>
      <c r="M103" s="1055"/>
      <c r="N103" s="1055"/>
      <c r="O103" s="1055"/>
      <c r="P103" s="1055"/>
      <c r="Q103" s="1055"/>
      <c r="R103" s="1055"/>
      <c r="S103" s="1055"/>
      <c r="T103" s="1055"/>
      <c r="U103" s="1055"/>
      <c r="V103" s="1055"/>
      <c r="W103" s="1055"/>
      <c r="X103" s="1055"/>
      <c r="Y103" s="1055"/>
      <c r="Z103" s="1055"/>
      <c r="AA103" s="46"/>
      <c r="AB103" s="460"/>
      <c r="AC103" s="46"/>
      <c r="AD103" s="46"/>
      <c r="AE103" s="46"/>
      <c r="AF103" s="46"/>
      <c r="AG103" s="47"/>
      <c r="AH103" s="59"/>
      <c r="AI103" s="45"/>
      <c r="AJ103" s="46"/>
      <c r="AK103" s="46"/>
      <c r="AL103" s="1055"/>
      <c r="AM103" s="1055"/>
      <c r="AN103" s="1055"/>
      <c r="AO103" s="1055"/>
      <c r="AP103" s="1055"/>
      <c r="AQ103" s="1055"/>
      <c r="AR103" s="1055"/>
      <c r="AS103" s="1055"/>
      <c r="AT103" s="1055"/>
      <c r="AU103" s="1055"/>
      <c r="AV103" s="1055"/>
      <c r="AW103" s="1055"/>
      <c r="AX103" s="1055"/>
      <c r="AY103" s="1055"/>
      <c r="AZ103" s="1055"/>
      <c r="BA103" s="1055"/>
      <c r="BB103" s="1055"/>
      <c r="BC103" s="1055"/>
      <c r="BD103" s="1055"/>
      <c r="BE103" s="1055"/>
      <c r="BF103" s="1055"/>
      <c r="BG103" s="1055"/>
      <c r="BH103" s="1055"/>
      <c r="BI103" s="1055"/>
      <c r="BJ103" s="46"/>
      <c r="BK103" s="46"/>
      <c r="BL103" s="46"/>
      <c r="BM103" s="46"/>
      <c r="BN103" s="47"/>
      <c r="BO103" s="114"/>
      <c r="BP103" s="1929"/>
      <c r="BQ103" s="50"/>
      <c r="BR103" s="55"/>
      <c r="BS103" s="2479" t="s">
        <v>748</v>
      </c>
      <c r="BT103" s="2480" t="s">
        <v>77</v>
      </c>
      <c r="BU103" s="2466"/>
      <c r="BV103" s="2466"/>
      <c r="BW103" s="2466"/>
      <c r="BX103" s="2466"/>
      <c r="BY103" s="2466"/>
      <c r="BZ103" s="2466"/>
      <c r="CA103" s="2466"/>
      <c r="CB103" s="2466"/>
      <c r="CC103" s="2466"/>
      <c r="CD103" s="2466"/>
      <c r="CE103" s="2466"/>
      <c r="CF103" s="2466"/>
      <c r="CG103" s="2466"/>
      <c r="CH103" s="2466"/>
      <c r="CI103" s="2466"/>
      <c r="CK103" s="61"/>
      <c r="CL103" s="1928"/>
      <c r="CM103" s="43"/>
    </row>
    <row r="104" spans="2:91" ht="18" customHeight="1">
      <c r="B104" s="1910"/>
      <c r="C104" s="115"/>
      <c r="D104" s="3648">
        <f>'CALCULS Eaux pluviales'!O198</f>
        <v>0</v>
      </c>
      <c r="E104" s="3649"/>
      <c r="F104" s="3649"/>
      <c r="G104" s="3649"/>
      <c r="H104" s="3649"/>
      <c r="I104" s="1693" t="s">
        <v>786</v>
      </c>
      <c r="J104" s="3570">
        <f>'CALCULS Eaux pluviales'!P198</f>
        <v>0</v>
      </c>
      <c r="K104" s="3570"/>
      <c r="L104" s="3570"/>
      <c r="M104" s="3570"/>
      <c r="N104" s="432" t="s">
        <v>4045</v>
      </c>
      <c r="O104" s="433"/>
      <c r="P104" s="1057"/>
      <c r="Q104" s="1057"/>
      <c r="R104" s="1056"/>
      <c r="S104" s="1056"/>
      <c r="T104" s="1056"/>
      <c r="U104" s="433"/>
      <c r="V104" s="433"/>
      <c r="W104" s="433"/>
      <c r="X104" s="433"/>
      <c r="Y104" s="433"/>
      <c r="Z104" s="433"/>
      <c r="AA104" s="1057"/>
      <c r="AB104" s="1057"/>
      <c r="AC104" s="1057"/>
      <c r="AD104" s="3593">
        <f>'CALCULS Eaux pluviales'!D202</f>
        <v>0</v>
      </c>
      <c r="AE104" s="3593"/>
      <c r="AF104" s="3593"/>
      <c r="AG104" s="3594"/>
      <c r="AH104" s="59"/>
      <c r="AI104" s="50"/>
      <c r="AJ104" s="3696">
        <f>'CALCULS Eaux pluviales'!O215</f>
        <v>0</v>
      </c>
      <c r="AK104" s="3696"/>
      <c r="AL104" s="3696"/>
      <c r="AM104" s="3696"/>
      <c r="AN104" s="3696"/>
      <c r="AO104" s="3696"/>
      <c r="AP104" s="3696"/>
      <c r="AQ104" s="3696"/>
      <c r="AR104" s="3697" t="s">
        <v>786</v>
      </c>
      <c r="AS104" s="3697"/>
      <c r="AT104" s="3697"/>
      <c r="AU104" s="3570">
        <f>'CALCULS Eaux pluviales'!P215</f>
        <v>0</v>
      </c>
      <c r="AV104" s="3570"/>
      <c r="AW104" s="3570"/>
      <c r="AX104" s="432" t="s">
        <v>4045</v>
      </c>
      <c r="AY104" s="432"/>
      <c r="AZ104" s="432"/>
      <c r="BA104" s="1056"/>
      <c r="BB104" s="1056"/>
      <c r="BC104" s="1056"/>
      <c r="BD104" s="433"/>
      <c r="BE104" s="433"/>
      <c r="BF104" s="433"/>
      <c r="BG104" s="1057"/>
      <c r="BH104" s="1057"/>
      <c r="BI104" s="1057"/>
      <c r="BJ104" s="1057"/>
      <c r="BK104" s="3593">
        <f>'CALCULS Eaux pluviales'!D219</f>
        <v>0</v>
      </c>
      <c r="BL104" s="3593"/>
      <c r="BM104" s="3593"/>
      <c r="BN104" s="3594"/>
      <c r="BO104" s="114"/>
      <c r="BP104" s="1929"/>
      <c r="BQ104" s="50"/>
      <c r="BR104" s="55"/>
      <c r="BS104" s="2481" t="s">
        <v>748</v>
      </c>
      <c r="BT104" s="3595" t="s">
        <v>788</v>
      </c>
      <c r="BU104" s="3595"/>
      <c r="BV104" s="3595"/>
      <c r="BW104" s="3595"/>
      <c r="BX104" s="3595"/>
      <c r="BY104" s="3595"/>
      <c r="BZ104" s="3595"/>
      <c r="CA104" s="3595"/>
      <c r="CB104" s="3595"/>
      <c r="CC104" s="3595"/>
      <c r="CD104" s="3595"/>
      <c r="CE104" s="3595"/>
      <c r="CF104" s="3595"/>
      <c r="CG104" s="3595"/>
      <c r="CH104" s="3595"/>
      <c r="CI104" s="3595"/>
      <c r="CJ104" s="3595"/>
      <c r="CK104" s="3605"/>
      <c r="CL104" s="1928"/>
      <c r="CM104" s="43"/>
    </row>
    <row r="105" spans="2:91" ht="10.5" customHeight="1" thickBot="1">
      <c r="B105" s="1910"/>
      <c r="C105" s="115"/>
      <c r="D105" s="1060"/>
      <c r="E105" s="430"/>
      <c r="F105" s="430"/>
      <c r="G105" s="430"/>
      <c r="H105" s="430"/>
      <c r="I105" s="431"/>
      <c r="J105" s="1056"/>
      <c r="K105" s="433"/>
      <c r="L105" s="433"/>
      <c r="M105" s="433"/>
      <c r="N105" s="433"/>
      <c r="O105" s="433"/>
      <c r="P105" s="433"/>
      <c r="Q105" s="433"/>
      <c r="R105" s="1056"/>
      <c r="S105" s="1056"/>
      <c r="T105" s="1056"/>
      <c r="U105" s="433"/>
      <c r="V105" s="433"/>
      <c r="W105" s="433"/>
      <c r="X105" s="433"/>
      <c r="Y105" s="434"/>
      <c r="Z105" s="434"/>
      <c r="AA105" s="1057"/>
      <c r="AB105" s="1057"/>
      <c r="AC105" s="1057"/>
      <c r="AD105" s="1057"/>
      <c r="AE105" s="59"/>
      <c r="AF105" s="59"/>
      <c r="AG105" s="61"/>
      <c r="AH105" s="59"/>
      <c r="AI105" s="50"/>
      <c r="AJ105" s="416"/>
      <c r="AK105" s="416"/>
      <c r="AL105" s="430"/>
      <c r="AM105" s="431"/>
      <c r="AN105" s="1056"/>
      <c r="AO105" s="433"/>
      <c r="AP105" s="433"/>
      <c r="AQ105" s="433"/>
      <c r="AR105" s="433"/>
      <c r="AS105" s="433"/>
      <c r="AT105" s="433"/>
      <c r="AU105" s="433"/>
      <c r="AV105" s="433"/>
      <c r="AW105" s="433"/>
      <c r="AX105" s="1056"/>
      <c r="AY105" s="1056"/>
      <c r="AZ105" s="1056"/>
      <c r="BA105" s="1056"/>
      <c r="BB105" s="1056"/>
      <c r="BC105" s="1056"/>
      <c r="BD105" s="433"/>
      <c r="BE105" s="433"/>
      <c r="BF105" s="433"/>
      <c r="BG105" s="434"/>
      <c r="BH105" s="434"/>
      <c r="BI105" s="434"/>
      <c r="BJ105" s="1057"/>
      <c r="BK105" s="416"/>
      <c r="BL105" s="59"/>
      <c r="BM105" s="59"/>
      <c r="BN105" s="61"/>
      <c r="BO105" s="114"/>
      <c r="BP105" s="1929"/>
      <c r="BQ105" s="50"/>
      <c r="BR105" s="55"/>
      <c r="BS105" s="55"/>
      <c r="BT105" s="3595"/>
      <c r="BU105" s="3595"/>
      <c r="BV105" s="3595"/>
      <c r="BW105" s="3595"/>
      <c r="BX105" s="3595"/>
      <c r="BY105" s="3595"/>
      <c r="BZ105" s="3595"/>
      <c r="CA105" s="3595"/>
      <c r="CB105" s="3595"/>
      <c r="CC105" s="3595"/>
      <c r="CD105" s="3595"/>
      <c r="CE105" s="3595"/>
      <c r="CF105" s="3595"/>
      <c r="CG105" s="3595"/>
      <c r="CH105" s="3595"/>
      <c r="CI105" s="3595"/>
      <c r="CJ105" s="3595"/>
      <c r="CK105" s="3605"/>
      <c r="CL105" s="1928"/>
      <c r="CM105" s="43"/>
    </row>
    <row r="106" spans="2:91" ht="16.5" customHeight="1" thickTop="1">
      <c r="B106" s="1910"/>
      <c r="C106" s="115"/>
      <c r="D106" s="2503" t="s">
        <v>789</v>
      </c>
      <c r="E106" s="2424"/>
      <c r="F106" s="2424"/>
      <c r="G106" s="2424"/>
      <c r="H106" s="2424"/>
      <c r="I106" s="1057"/>
      <c r="J106" s="1057"/>
      <c r="K106" s="1057"/>
      <c r="L106" s="1057"/>
      <c r="M106" s="1057"/>
      <c r="N106" s="1057"/>
      <c r="O106" s="1057"/>
      <c r="P106" s="1057"/>
      <c r="Q106" s="1057"/>
      <c r="R106" s="1057"/>
      <c r="S106" s="1057"/>
      <c r="T106" s="1057"/>
      <c r="U106" s="1057"/>
      <c r="V106" s="1057"/>
      <c r="W106" s="1057"/>
      <c r="X106" s="1057"/>
      <c r="Y106" s="1057"/>
      <c r="Z106" s="1057"/>
      <c r="AA106" s="1057"/>
      <c r="AB106" s="1057"/>
      <c r="AC106" s="1057"/>
      <c r="AD106" s="1057"/>
      <c r="AE106" s="59"/>
      <c r="AF106" s="59"/>
      <c r="AG106" s="61"/>
      <c r="AH106" s="59"/>
      <c r="AI106" s="50"/>
      <c r="AJ106" s="2504" t="s">
        <v>789</v>
      </c>
      <c r="AK106" s="416"/>
      <c r="AL106" s="1058"/>
      <c r="AM106" s="1057"/>
      <c r="AN106" s="1057"/>
      <c r="AO106" s="1057"/>
      <c r="AP106" s="1057"/>
      <c r="AQ106" s="1057"/>
      <c r="AR106" s="1057"/>
      <c r="AS106" s="1057"/>
      <c r="AT106" s="1057"/>
      <c r="AU106" s="1057"/>
      <c r="AV106" s="1057"/>
      <c r="AW106" s="1057"/>
      <c r="AX106" s="1057"/>
      <c r="AY106" s="1057"/>
      <c r="AZ106" s="1057"/>
      <c r="BA106" s="1057"/>
      <c r="BB106" s="1057"/>
      <c r="BC106" s="1057"/>
      <c r="BD106" s="1057"/>
      <c r="BE106" s="1057"/>
      <c r="BF106" s="1057"/>
      <c r="BG106" s="1057"/>
      <c r="BH106" s="1057"/>
      <c r="BI106" s="1057"/>
      <c r="BJ106" s="1057"/>
      <c r="BK106" s="416"/>
      <c r="BL106" s="59"/>
      <c r="BM106" s="59"/>
      <c r="BN106" s="61"/>
      <c r="BO106" s="114"/>
      <c r="BP106" s="1929"/>
      <c r="BQ106" s="50"/>
      <c r="BR106" s="2482"/>
      <c r="BS106" s="59"/>
      <c r="BT106" s="2466"/>
      <c r="BU106" s="2466"/>
      <c r="BV106" s="2466"/>
      <c r="BW106" s="2466"/>
      <c r="BY106" s="2466"/>
      <c r="BZ106" s="2466"/>
      <c r="CA106" s="2466"/>
      <c r="CF106" s="2483" t="s">
        <v>31</v>
      </c>
      <c r="CG106" s="2466"/>
      <c r="CJ106" s="2484" t="s">
        <v>32</v>
      </c>
      <c r="CK106" s="2485"/>
      <c r="CL106" s="1928"/>
      <c r="CM106" s="43"/>
    </row>
    <row r="107" spans="2:91" ht="5.25" customHeight="1">
      <c r="B107" s="1910"/>
      <c r="C107" s="115"/>
      <c r="D107" s="50"/>
      <c r="E107" s="59"/>
      <c r="F107" s="59"/>
      <c r="G107" s="59"/>
      <c r="H107" s="59"/>
      <c r="I107" s="59"/>
      <c r="J107" s="59"/>
      <c r="K107" s="59"/>
      <c r="L107" s="59"/>
      <c r="M107" s="59"/>
      <c r="N107" s="59"/>
      <c r="O107" s="59"/>
      <c r="P107" s="59"/>
      <c r="Q107" s="59"/>
      <c r="R107" s="59"/>
      <c r="S107" s="59"/>
      <c r="T107" s="59"/>
      <c r="U107" s="59"/>
      <c r="V107" s="59"/>
      <c r="W107" s="59"/>
      <c r="X107" s="59"/>
      <c r="Y107" s="59"/>
      <c r="Z107" s="55"/>
      <c r="AA107" s="59"/>
      <c r="AB107" s="55"/>
      <c r="AC107" s="59"/>
      <c r="AD107" s="59"/>
      <c r="AE107" s="59"/>
      <c r="AF107" s="59"/>
      <c r="AG107" s="61"/>
      <c r="AH107" s="59"/>
      <c r="AI107" s="50"/>
      <c r="AJ107" s="59"/>
      <c r="AK107" s="59"/>
      <c r="AL107" s="55"/>
      <c r="AM107" s="59"/>
      <c r="AN107" s="59"/>
      <c r="AO107" s="59"/>
      <c r="AP107" s="59"/>
      <c r="AQ107" s="59"/>
      <c r="AR107" s="59"/>
      <c r="AS107" s="59"/>
      <c r="AT107" s="59"/>
      <c r="AU107" s="89"/>
      <c r="AV107" s="89"/>
      <c r="AW107" s="89"/>
      <c r="AX107" s="138"/>
      <c r="AY107" s="138"/>
      <c r="AZ107" s="138"/>
      <c r="BA107" s="138"/>
      <c r="BB107" s="138"/>
      <c r="BC107" s="138"/>
      <c r="BD107" s="138"/>
      <c r="BE107" s="138"/>
      <c r="BF107" s="59"/>
      <c r="BG107" s="59"/>
      <c r="BH107" s="59"/>
      <c r="BI107" s="59"/>
      <c r="BJ107" s="59"/>
      <c r="BK107" s="59"/>
      <c r="BL107" s="59"/>
      <c r="BM107" s="59"/>
      <c r="BN107" s="61"/>
      <c r="BO107" s="114"/>
      <c r="BP107" s="1929"/>
      <c r="BQ107" s="50"/>
      <c r="BR107" s="2486"/>
      <c r="BS107" s="3595" t="s">
        <v>4043</v>
      </c>
      <c r="BT107" s="3595"/>
      <c r="BU107" s="3595"/>
      <c r="BV107" s="3595"/>
      <c r="BW107" s="3595"/>
      <c r="BX107" s="3595"/>
      <c r="BY107" s="2466"/>
      <c r="BZ107" s="2466"/>
      <c r="CA107" s="2466"/>
      <c r="CB107" s="2466"/>
      <c r="CC107" s="2466"/>
      <c r="CD107" s="2466"/>
      <c r="CE107" s="2466"/>
      <c r="CF107" s="2466"/>
      <c r="CG107" s="2466"/>
      <c r="CH107" s="2466"/>
      <c r="CI107" s="2466"/>
      <c r="CJ107" s="59"/>
      <c r="CK107" s="61"/>
      <c r="CL107" s="1928"/>
      <c r="CM107" s="43"/>
    </row>
    <row r="108" spans="2:91" ht="22.5" customHeight="1" thickBot="1">
      <c r="B108" s="1910"/>
      <c r="C108" s="115"/>
      <c r="D108" s="50"/>
      <c r="E108" s="59"/>
      <c r="F108" s="59"/>
      <c r="G108" s="59"/>
      <c r="H108" s="59"/>
      <c r="I108" s="59"/>
      <c r="J108" s="59"/>
      <c r="K108" s="59"/>
      <c r="L108" s="59"/>
      <c r="M108" s="59"/>
      <c r="N108" s="59"/>
      <c r="O108" s="59"/>
      <c r="P108" s="59"/>
      <c r="Q108" s="59"/>
      <c r="R108" s="59"/>
      <c r="S108" s="59"/>
      <c r="T108" s="59"/>
      <c r="U108" s="59"/>
      <c r="V108" s="59"/>
      <c r="W108" s="59"/>
      <c r="X108" s="59"/>
      <c r="Y108" s="59"/>
      <c r="Z108" s="55"/>
      <c r="AA108" s="59"/>
      <c r="AB108" s="55"/>
      <c r="AC108" s="59"/>
      <c r="AD108" s="59"/>
      <c r="AE108" s="59"/>
      <c r="AF108" s="59"/>
      <c r="AG108" s="61"/>
      <c r="AH108" s="59"/>
      <c r="AI108" s="50"/>
      <c r="AJ108" s="59"/>
      <c r="AK108" s="59"/>
      <c r="AL108" s="55"/>
      <c r="AM108" s="59"/>
      <c r="AN108" s="59"/>
      <c r="AO108" s="59"/>
      <c r="AP108" s="59"/>
      <c r="AQ108" s="59"/>
      <c r="AR108" s="59"/>
      <c r="AS108" s="59"/>
      <c r="AT108" s="59"/>
      <c r="AU108" s="89"/>
      <c r="AV108" s="89"/>
      <c r="AW108" s="89"/>
      <c r="AX108" s="138"/>
      <c r="AY108" s="138"/>
      <c r="AZ108" s="138"/>
      <c r="BA108" s="138"/>
      <c r="BB108" s="138"/>
      <c r="BC108" s="138"/>
      <c r="BD108" s="138"/>
      <c r="BE108" s="138"/>
      <c r="BF108" s="59"/>
      <c r="BG108" s="59"/>
      <c r="BH108" s="59"/>
      <c r="BI108" s="59"/>
      <c r="BJ108" s="59"/>
      <c r="BK108" s="59"/>
      <c r="BL108" s="59"/>
      <c r="BM108" s="59"/>
      <c r="BN108" s="61"/>
      <c r="BO108" s="114"/>
      <c r="BP108" s="1929"/>
      <c r="BQ108" s="50"/>
      <c r="BR108" s="2487"/>
      <c r="BS108" s="3596"/>
      <c r="BT108" s="3596"/>
      <c r="BU108" s="3596"/>
      <c r="BV108" s="3596"/>
      <c r="BW108" s="3596"/>
      <c r="BX108" s="3596"/>
      <c r="BY108" s="2488"/>
      <c r="BZ108" s="2523">
        <f>'CALCULS Eaux pluviales'!M253</f>
        <v>0</v>
      </c>
      <c r="CA108" s="2489"/>
      <c r="CB108" s="3590">
        <f>'CALCULS Eaux pluviales'!N253</f>
        <v>0</v>
      </c>
      <c r="CC108" s="3590"/>
      <c r="CD108" s="3590"/>
      <c r="CE108" s="3590"/>
      <c r="CF108" s="3590"/>
      <c r="CG108" s="3588">
        <f>'CALCULS Eaux pluviales'!O253</f>
        <v>0</v>
      </c>
      <c r="CH108" s="3588"/>
      <c r="CI108" s="3588"/>
      <c r="CJ108" s="3588"/>
      <c r="CK108" s="61"/>
      <c r="CL108" s="1928"/>
      <c r="CM108" s="43"/>
    </row>
    <row r="109" spans="2:91" ht="5.25" customHeight="1">
      <c r="B109" s="1910"/>
      <c r="C109" s="115"/>
      <c r="D109" s="50"/>
      <c r="E109" s="59"/>
      <c r="F109" s="59"/>
      <c r="G109" s="59"/>
      <c r="H109" s="59"/>
      <c r="I109" s="59"/>
      <c r="J109" s="59"/>
      <c r="K109" s="59"/>
      <c r="L109" s="59"/>
      <c r="M109" s="59"/>
      <c r="N109" s="59"/>
      <c r="O109" s="59"/>
      <c r="P109" s="59"/>
      <c r="Q109" s="59"/>
      <c r="R109" s="59"/>
      <c r="S109" s="59"/>
      <c r="T109" s="59"/>
      <c r="U109" s="59"/>
      <c r="V109" s="59"/>
      <c r="W109" s="59"/>
      <c r="X109" s="59"/>
      <c r="Y109" s="59"/>
      <c r="Z109" s="55"/>
      <c r="AA109" s="59"/>
      <c r="AB109" s="55"/>
      <c r="AC109" s="59"/>
      <c r="AD109" s="59"/>
      <c r="AE109" s="59"/>
      <c r="AF109" s="59"/>
      <c r="AG109" s="61"/>
      <c r="AH109" s="59"/>
      <c r="AI109" s="50"/>
      <c r="AJ109" s="59"/>
      <c r="AK109" s="59"/>
      <c r="AL109" s="55"/>
      <c r="AM109" s="59"/>
      <c r="AN109" s="59"/>
      <c r="AO109" s="59"/>
      <c r="AP109" s="59"/>
      <c r="AQ109" s="59"/>
      <c r="AR109" s="59"/>
      <c r="AS109" s="59"/>
      <c r="AT109" s="59"/>
      <c r="AU109" s="89"/>
      <c r="AV109" s="89"/>
      <c r="AW109" s="89"/>
      <c r="AX109" s="138"/>
      <c r="AY109" s="138"/>
      <c r="AZ109" s="138"/>
      <c r="BA109" s="138"/>
      <c r="BB109" s="138"/>
      <c r="BC109" s="138"/>
      <c r="BD109" s="138"/>
      <c r="BE109" s="138"/>
      <c r="BF109" s="59"/>
      <c r="BG109" s="59"/>
      <c r="BH109" s="59"/>
      <c r="BI109" s="59"/>
      <c r="BJ109" s="59"/>
      <c r="BK109" s="59"/>
      <c r="BL109" s="59"/>
      <c r="BM109" s="59"/>
      <c r="BN109" s="61"/>
      <c r="BO109" s="114"/>
      <c r="BP109" s="1929"/>
      <c r="BQ109" s="50"/>
      <c r="BR109" s="55"/>
      <c r="BS109" s="55"/>
      <c r="CB109" s="2014"/>
      <c r="CC109" s="2014"/>
      <c r="CD109" s="2014"/>
      <c r="CE109" s="2014"/>
      <c r="CF109" s="2014"/>
      <c r="CG109" s="2525"/>
      <c r="CH109" s="2525"/>
      <c r="CI109" s="2525"/>
      <c r="CJ109" s="2525"/>
      <c r="CK109" s="61"/>
      <c r="CL109" s="1928"/>
      <c r="CM109" s="43"/>
    </row>
    <row r="110" spans="2:91" ht="5.25" customHeight="1">
      <c r="B110" s="1910"/>
      <c r="C110" s="115"/>
      <c r="D110" s="50"/>
      <c r="E110" s="59"/>
      <c r="F110" s="59"/>
      <c r="G110" s="59"/>
      <c r="H110" s="59"/>
      <c r="I110" s="59"/>
      <c r="J110" s="59"/>
      <c r="K110" s="59"/>
      <c r="L110" s="59"/>
      <c r="M110" s="59"/>
      <c r="N110" s="59"/>
      <c r="O110" s="59"/>
      <c r="P110" s="59"/>
      <c r="Q110" s="59"/>
      <c r="R110" s="59"/>
      <c r="S110" s="59"/>
      <c r="T110" s="59"/>
      <c r="U110" s="59"/>
      <c r="V110" s="59"/>
      <c r="W110" s="59"/>
      <c r="X110" s="59"/>
      <c r="Y110" s="59"/>
      <c r="Z110" s="55"/>
      <c r="AA110" s="59"/>
      <c r="AB110" s="55"/>
      <c r="AC110" s="59"/>
      <c r="AD110" s="59"/>
      <c r="AE110" s="59"/>
      <c r="AF110" s="59"/>
      <c r="AG110" s="61"/>
      <c r="AH110" s="59"/>
      <c r="AI110" s="50"/>
      <c r="AJ110" s="59"/>
      <c r="AK110" s="59"/>
      <c r="AL110" s="55"/>
      <c r="AM110" s="59"/>
      <c r="AN110" s="59"/>
      <c r="AO110" s="59"/>
      <c r="AP110" s="59"/>
      <c r="AQ110" s="59"/>
      <c r="AR110" s="59"/>
      <c r="AS110" s="59"/>
      <c r="AT110" s="59"/>
      <c r="AU110" s="89"/>
      <c r="AV110" s="89"/>
      <c r="AW110" s="89"/>
      <c r="AX110" s="138"/>
      <c r="AY110" s="138"/>
      <c r="AZ110" s="138"/>
      <c r="BA110" s="138"/>
      <c r="BB110" s="138"/>
      <c r="BC110" s="138"/>
      <c r="BD110" s="138"/>
      <c r="BE110" s="138"/>
      <c r="BF110" s="59"/>
      <c r="BG110" s="59"/>
      <c r="BH110" s="59"/>
      <c r="BI110" s="59"/>
      <c r="BJ110" s="59"/>
      <c r="BK110" s="59"/>
      <c r="BL110" s="59"/>
      <c r="BM110" s="59"/>
      <c r="BN110" s="61"/>
      <c r="BO110" s="114"/>
      <c r="BP110" s="1929"/>
      <c r="BQ110" s="50"/>
      <c r="BR110" s="2490"/>
      <c r="BS110" s="3595" t="s">
        <v>790</v>
      </c>
      <c r="BT110" s="3595"/>
      <c r="BU110" s="3595"/>
      <c r="BV110" s="3595"/>
      <c r="BW110" s="3595"/>
      <c r="BX110" s="3595"/>
      <c r="BY110" s="2466"/>
      <c r="BZ110" s="2466"/>
      <c r="CA110" s="2466"/>
      <c r="CB110" s="2527"/>
      <c r="CC110" s="2527"/>
      <c r="CD110" s="2527"/>
      <c r="CE110" s="2527"/>
      <c r="CF110" s="2527"/>
      <c r="CG110" s="2526"/>
      <c r="CH110" s="2526"/>
      <c r="CI110" s="2526"/>
      <c r="CJ110" s="2526"/>
      <c r="CK110" s="61"/>
      <c r="CL110" s="1928"/>
      <c r="CM110" s="43"/>
    </row>
    <row r="111" spans="2:91" ht="23.25" customHeight="1" thickBot="1">
      <c r="B111" s="1910"/>
      <c r="C111" s="115"/>
      <c r="D111" s="2818" t="s">
        <v>748</v>
      </c>
      <c r="E111" s="2811" t="s">
        <v>101</v>
      </c>
      <c r="F111" s="2811"/>
      <c r="G111" s="2817" t="s">
        <v>748</v>
      </c>
      <c r="H111" s="2812" t="s">
        <v>102</v>
      </c>
      <c r="I111" s="2812"/>
      <c r="J111" s="2812"/>
      <c r="K111" s="59"/>
      <c r="L111" s="2814" t="s">
        <v>748</v>
      </c>
      <c r="M111" s="59"/>
      <c r="N111" s="2812" t="s">
        <v>103</v>
      </c>
      <c r="O111" s="2812"/>
      <c r="P111" s="2812"/>
      <c r="Q111" s="2812"/>
      <c r="R111" s="2812"/>
      <c r="S111" s="2812"/>
      <c r="T111" s="2812"/>
      <c r="U111" s="59"/>
      <c r="V111" s="2815" t="s">
        <v>748</v>
      </c>
      <c r="W111" s="2812" t="s">
        <v>104</v>
      </c>
      <c r="X111" s="2812"/>
      <c r="Y111" s="2812"/>
      <c r="Z111" s="2816" t="s">
        <v>748</v>
      </c>
      <c r="AA111" s="59"/>
      <c r="AB111" s="2812" t="s">
        <v>105</v>
      </c>
      <c r="AC111" s="2812"/>
      <c r="AD111" s="2812"/>
      <c r="AE111" s="2812"/>
      <c r="AF111" s="2812"/>
      <c r="AG111" s="61"/>
      <c r="AH111" s="59"/>
      <c r="AI111" s="50"/>
      <c r="AJ111" s="2820" t="s">
        <v>748</v>
      </c>
      <c r="AK111" s="2811" t="s">
        <v>101</v>
      </c>
      <c r="AL111" s="2811"/>
      <c r="AM111" s="2811"/>
      <c r="AN111" s="2811"/>
      <c r="AO111" s="2811"/>
      <c r="AP111" s="2819" t="s">
        <v>748</v>
      </c>
      <c r="AQ111" s="2811" t="s">
        <v>102</v>
      </c>
      <c r="AR111" s="2811"/>
      <c r="AS111" s="2811"/>
      <c r="AT111" s="2811"/>
      <c r="AU111" s="3645" t="s">
        <v>748</v>
      </c>
      <c r="AV111" s="3645"/>
      <c r="AW111" s="2812" t="s">
        <v>103</v>
      </c>
      <c r="AX111" s="2812"/>
      <c r="AY111" s="2812"/>
      <c r="AZ111" s="3646" t="s">
        <v>748</v>
      </c>
      <c r="BA111" s="3646"/>
      <c r="BB111" s="2812" t="s">
        <v>104</v>
      </c>
      <c r="BC111" s="2812"/>
      <c r="BD111" s="2812"/>
      <c r="BE111" s="2812"/>
      <c r="BF111" s="59"/>
      <c r="BG111" s="3647" t="s">
        <v>748</v>
      </c>
      <c r="BH111" s="3647"/>
      <c r="BI111" s="2812" t="s">
        <v>105</v>
      </c>
      <c r="BJ111" s="2812"/>
      <c r="BK111" s="2812"/>
      <c r="BL111" s="2812"/>
      <c r="BM111" s="2812"/>
      <c r="BN111" s="61"/>
      <c r="BO111" s="114"/>
      <c r="BP111" s="1929"/>
      <c r="BQ111" s="50"/>
      <c r="BR111" s="2491"/>
      <c r="BS111" s="3597"/>
      <c r="BT111" s="3597"/>
      <c r="BU111" s="3597"/>
      <c r="BV111" s="3597"/>
      <c r="BW111" s="3597"/>
      <c r="BX111" s="3597"/>
      <c r="BY111" s="2492"/>
      <c r="BZ111" s="2524">
        <f>'CALCULS Eaux pluviales'!M255</f>
        <v>0</v>
      </c>
      <c r="CA111" s="2492"/>
      <c r="CB111" s="3589">
        <f>'CALCULS Eaux pluviales'!N255</f>
        <v>0</v>
      </c>
      <c r="CC111" s="3589"/>
      <c r="CD111" s="3589"/>
      <c r="CE111" s="3589"/>
      <c r="CF111" s="3589"/>
      <c r="CG111" s="3587">
        <f>'CALCULS Eaux pluviales'!O255</f>
        <v>0</v>
      </c>
      <c r="CH111" s="3587"/>
      <c r="CI111" s="3587"/>
      <c r="CJ111" s="3587"/>
      <c r="CK111" s="2485"/>
      <c r="CL111" s="1928"/>
      <c r="CM111" s="43"/>
    </row>
    <row r="112" spans="2:91" ht="4.5" customHeight="1">
      <c r="B112" s="1910"/>
      <c r="C112" s="115"/>
      <c r="D112" s="458"/>
      <c r="E112" s="3634">
        <f>'CALCULS Eaux pluviales'!O193</f>
        <v>0</v>
      </c>
      <c r="F112" s="3634"/>
      <c r="G112" s="3634"/>
      <c r="H112" s="3634">
        <f>'CALCULS Eaux pluviales'!O194</f>
        <v>0</v>
      </c>
      <c r="I112" s="3634"/>
      <c r="J112" s="3634"/>
      <c r="K112" s="3634"/>
      <c r="L112" s="3634"/>
      <c r="M112" s="2835"/>
      <c r="N112" s="3634">
        <f>'CALCULS Eaux pluviales'!O195</f>
        <v>0</v>
      </c>
      <c r="O112" s="3634"/>
      <c r="P112" s="3634"/>
      <c r="Q112" s="3634"/>
      <c r="R112" s="3634"/>
      <c r="S112" s="3634"/>
      <c r="T112" s="3634"/>
      <c r="U112" s="3634"/>
      <c r="V112" s="3634"/>
      <c r="W112" s="3634">
        <f>'CALCULS Eaux pluviales'!O196</f>
        <v>0</v>
      </c>
      <c r="X112" s="3634"/>
      <c r="Y112" s="3634"/>
      <c r="Z112" s="3634"/>
      <c r="AA112" s="2835"/>
      <c r="AB112" s="3634">
        <f>'CALCULS Eaux pluviales'!O197</f>
        <v>0</v>
      </c>
      <c r="AC112" s="3634"/>
      <c r="AD112" s="3634"/>
      <c r="AE112" s="3634"/>
      <c r="AF112" s="3634"/>
      <c r="AG112" s="3635"/>
      <c r="AH112" s="59"/>
      <c r="AI112" s="50"/>
      <c r="AK112" s="3634">
        <f>'CALCULS Eaux pluviales'!O210</f>
        <v>0</v>
      </c>
      <c r="AL112" s="3634"/>
      <c r="AM112" s="3634"/>
      <c r="AN112" s="3634"/>
      <c r="AO112" s="3634"/>
      <c r="AP112" s="3634"/>
      <c r="AQ112" s="3634">
        <f>'CALCULS Eaux pluviales'!O211</f>
        <v>0</v>
      </c>
      <c r="AR112" s="3634"/>
      <c r="AS112" s="3634"/>
      <c r="AT112" s="3634"/>
      <c r="AU112" s="3634"/>
      <c r="AV112" s="3634"/>
      <c r="AW112" s="3634">
        <f>'CALCULS Eaux pluviales'!O212</f>
        <v>0</v>
      </c>
      <c r="AX112" s="3634"/>
      <c r="AY112" s="3634"/>
      <c r="AZ112" s="3634"/>
      <c r="BA112" s="3634"/>
      <c r="BB112" s="3634">
        <f>'CALCULS Eaux pluviales'!O213</f>
        <v>0</v>
      </c>
      <c r="BC112" s="3634"/>
      <c r="BD112" s="3634"/>
      <c r="BE112" s="3634"/>
      <c r="BF112" s="3634"/>
      <c r="BG112" s="3634"/>
      <c r="BH112" s="3634"/>
      <c r="BI112" s="3634">
        <f>'CALCULS Eaux pluviales'!O214</f>
        <v>0</v>
      </c>
      <c r="BJ112" s="3634"/>
      <c r="BK112" s="3634"/>
      <c r="BL112" s="3634"/>
      <c r="BM112" s="3634"/>
      <c r="BN112" s="3635"/>
      <c r="BO112" s="114"/>
      <c r="BP112" s="1929"/>
      <c r="BQ112" s="50"/>
      <c r="BR112" s="55"/>
      <c r="BS112" s="55"/>
      <c r="BT112" s="2466"/>
      <c r="BU112" s="2466"/>
      <c r="BV112" s="2466"/>
      <c r="BW112" s="2466"/>
      <c r="BX112" s="2466"/>
      <c r="BY112" s="2466"/>
      <c r="BZ112" s="2466"/>
      <c r="CA112" s="2466"/>
      <c r="CB112" s="2527"/>
      <c r="CC112" s="2527"/>
      <c r="CD112" s="2527"/>
      <c r="CE112" s="2527"/>
      <c r="CF112" s="2527"/>
      <c r="CG112" s="2526"/>
      <c r="CH112" s="2526"/>
      <c r="CI112" s="2526"/>
      <c r="CJ112" s="2526"/>
      <c r="CK112" s="61"/>
      <c r="CL112" s="1928"/>
      <c r="CM112" s="43"/>
    </row>
    <row r="113" spans="2:91" ht="9.75" customHeight="1">
      <c r="B113" s="1910"/>
      <c r="C113" s="115"/>
      <c r="D113" s="2810"/>
      <c r="E113" s="3634"/>
      <c r="F113" s="3634"/>
      <c r="G113" s="3634"/>
      <c r="H113" s="3634"/>
      <c r="I113" s="3634"/>
      <c r="J113" s="3634"/>
      <c r="K113" s="3634"/>
      <c r="L113" s="3634"/>
      <c r="M113" s="2808"/>
      <c r="N113" s="3634"/>
      <c r="O113" s="3634"/>
      <c r="P113" s="3634"/>
      <c r="Q113" s="3634"/>
      <c r="R113" s="3634"/>
      <c r="S113" s="3634"/>
      <c r="T113" s="3634"/>
      <c r="U113" s="3634"/>
      <c r="V113" s="3634"/>
      <c r="W113" s="3634"/>
      <c r="X113" s="3634"/>
      <c r="Y113" s="3634"/>
      <c r="Z113" s="3634"/>
      <c r="AA113" s="2808"/>
      <c r="AB113" s="3634"/>
      <c r="AC113" s="3634"/>
      <c r="AD113" s="3634"/>
      <c r="AE113" s="3634"/>
      <c r="AF113" s="3634"/>
      <c r="AG113" s="3635"/>
      <c r="AH113" s="59"/>
      <c r="AI113" s="50"/>
      <c r="AJ113" s="2813"/>
      <c r="AK113" s="3634"/>
      <c r="AL113" s="3634"/>
      <c r="AM113" s="3634"/>
      <c r="AN113" s="3634"/>
      <c r="AO113" s="3634"/>
      <c r="AP113" s="3634"/>
      <c r="AQ113" s="3634"/>
      <c r="AR113" s="3634"/>
      <c r="AS113" s="3634"/>
      <c r="AT113" s="3634"/>
      <c r="AU113" s="3634"/>
      <c r="AV113" s="3634"/>
      <c r="AW113" s="3634"/>
      <c r="AX113" s="3634"/>
      <c r="AY113" s="3634"/>
      <c r="AZ113" s="3634"/>
      <c r="BA113" s="3634"/>
      <c r="BB113" s="3634"/>
      <c r="BC113" s="3634"/>
      <c r="BD113" s="3634"/>
      <c r="BE113" s="3634"/>
      <c r="BF113" s="3634"/>
      <c r="BG113" s="3634"/>
      <c r="BH113" s="3634"/>
      <c r="BI113" s="3634"/>
      <c r="BJ113" s="3634"/>
      <c r="BK113" s="3634"/>
      <c r="BL113" s="3634"/>
      <c r="BM113" s="3634"/>
      <c r="BN113" s="3635"/>
      <c r="BO113" s="114"/>
      <c r="BP113" s="1929"/>
      <c r="BQ113" s="50"/>
      <c r="BR113" s="2493"/>
      <c r="BS113" s="3595" t="s">
        <v>791</v>
      </c>
      <c r="BT113" s="3595"/>
      <c r="BU113" s="3595"/>
      <c r="BV113" s="3595"/>
      <c r="BW113" s="3595"/>
      <c r="BX113" s="3595"/>
      <c r="BY113" s="2466"/>
      <c r="BZ113" s="3583">
        <f>'CALCULS Eaux pluviales'!M257</f>
        <v>0</v>
      </c>
      <c r="CA113" s="2466"/>
      <c r="CB113" s="3642">
        <f>'CALCULS Eaux pluviales'!N257</f>
        <v>0</v>
      </c>
      <c r="CC113" s="3642"/>
      <c r="CD113" s="3642"/>
      <c r="CE113" s="3642"/>
      <c r="CF113" s="3642"/>
      <c r="CG113" s="3636">
        <f>'CALCULS Eaux pluviales'!O257</f>
        <v>0</v>
      </c>
      <c r="CH113" s="3636"/>
      <c r="CI113" s="3636"/>
      <c r="CJ113" s="3636"/>
      <c r="CK113" s="61"/>
      <c r="CL113" s="1928"/>
      <c r="CM113" s="43"/>
    </row>
    <row r="114" spans="2:91" ht="15.75" customHeight="1">
      <c r="B114" s="1910"/>
      <c r="C114" s="115"/>
      <c r="D114" s="50"/>
      <c r="E114" s="3585" t="str">
        <f>'CALCULS Eaux pluviales'!P193</f>
        <v/>
      </c>
      <c r="F114" s="3585"/>
      <c r="G114" s="3585"/>
      <c r="H114" s="3585" t="str">
        <f>'CALCULS Eaux pluviales'!P194</f>
        <v/>
      </c>
      <c r="I114" s="3585"/>
      <c r="J114" s="3585"/>
      <c r="K114" s="3585"/>
      <c r="L114" s="3585"/>
      <c r="M114" s="2821"/>
      <c r="N114" s="3585" t="str">
        <f>'CALCULS Eaux pluviales'!P195</f>
        <v/>
      </c>
      <c r="O114" s="3585"/>
      <c r="P114" s="3585"/>
      <c r="Q114" s="3585"/>
      <c r="R114" s="3585"/>
      <c r="S114" s="3585"/>
      <c r="T114" s="3585"/>
      <c r="U114" s="3585"/>
      <c r="V114" s="3585"/>
      <c r="W114" s="3585" t="str">
        <f>'CALCULS Eaux pluviales'!P196</f>
        <v/>
      </c>
      <c r="X114" s="3585"/>
      <c r="Y114" s="3585"/>
      <c r="Z114" s="3585"/>
      <c r="AA114" s="2821"/>
      <c r="AB114" s="3585" t="str">
        <f>'CALCULS Eaux pluviales'!P197</f>
        <v/>
      </c>
      <c r="AC114" s="3585"/>
      <c r="AD114" s="3585"/>
      <c r="AE114" s="3585"/>
      <c r="AF114" s="3585"/>
      <c r="AG114" s="3586"/>
      <c r="AH114" s="59"/>
      <c r="AI114" s="50"/>
      <c r="AJ114" s="59"/>
      <c r="AK114" s="3585" t="str">
        <f>'CALCULS Eaux pluviales'!P210</f>
        <v/>
      </c>
      <c r="AL114" s="3585"/>
      <c r="AM114" s="3585"/>
      <c r="AN114" s="3585"/>
      <c r="AO114" s="3585"/>
      <c r="AP114" s="3585"/>
      <c r="AQ114" s="3585" t="str">
        <f>'CALCULS Eaux pluviales'!P211</f>
        <v/>
      </c>
      <c r="AR114" s="3585"/>
      <c r="AS114" s="3585"/>
      <c r="AT114" s="3585"/>
      <c r="AU114" s="3585"/>
      <c r="AV114" s="3585"/>
      <c r="AW114" s="3585" t="str">
        <f>'CALCULS Eaux pluviales'!P212</f>
        <v/>
      </c>
      <c r="AX114" s="3585"/>
      <c r="AY114" s="3585"/>
      <c r="AZ114" s="2822"/>
      <c r="BA114" s="2822"/>
      <c r="BB114" s="3585" t="str">
        <f>'CALCULS Eaux pluviales'!P213</f>
        <v/>
      </c>
      <c r="BC114" s="3585"/>
      <c r="BD114" s="3585"/>
      <c r="BE114" s="3585"/>
      <c r="BF114" s="3585"/>
      <c r="BG114" s="3585"/>
      <c r="BH114" s="2829"/>
      <c r="BI114" s="3585" t="str">
        <f>'CALCULS Eaux pluviales'!P214</f>
        <v/>
      </c>
      <c r="BJ114" s="3585"/>
      <c r="BK114" s="3585"/>
      <c r="BL114" s="3585"/>
      <c r="BM114" s="3585"/>
      <c r="BN114" s="3586"/>
      <c r="BO114" s="114"/>
      <c r="BP114" s="1929"/>
      <c r="BQ114" s="50"/>
      <c r="BR114" s="2493"/>
      <c r="BS114" s="3595"/>
      <c r="BT114" s="3595"/>
      <c r="BU114" s="3595"/>
      <c r="BV114" s="3595"/>
      <c r="BW114" s="3595"/>
      <c r="BX114" s="3595"/>
      <c r="BY114" s="2466"/>
      <c r="BZ114" s="3583"/>
      <c r="CA114" s="2466"/>
      <c r="CB114" s="3642"/>
      <c r="CC114" s="3642"/>
      <c r="CD114" s="3642"/>
      <c r="CE114" s="3642"/>
      <c r="CF114" s="3642"/>
      <c r="CG114" s="3636"/>
      <c r="CH114" s="3636"/>
      <c r="CI114" s="3636"/>
      <c r="CJ114" s="3636"/>
      <c r="CK114" s="61"/>
      <c r="CL114" s="1928"/>
      <c r="CM114" s="43"/>
    </row>
    <row r="115" spans="2:91" ht="5.25" customHeight="1" thickBot="1">
      <c r="B115" s="1910"/>
      <c r="C115" s="115"/>
      <c r="D115" s="91"/>
      <c r="E115" s="92"/>
      <c r="F115" s="92"/>
      <c r="G115" s="92"/>
      <c r="H115" s="92"/>
      <c r="I115" s="92"/>
      <c r="J115" s="92"/>
      <c r="K115" s="92"/>
      <c r="L115" s="92"/>
      <c r="M115" s="92"/>
      <c r="N115" s="92"/>
      <c r="O115" s="92"/>
      <c r="P115" s="92"/>
      <c r="Q115" s="92"/>
      <c r="R115" s="92"/>
      <c r="S115" s="92"/>
      <c r="T115" s="92"/>
      <c r="U115" s="92"/>
      <c r="V115" s="92"/>
      <c r="W115" s="92"/>
      <c r="X115" s="92"/>
      <c r="Y115" s="92"/>
      <c r="Z115" s="156"/>
      <c r="AA115" s="92"/>
      <c r="AB115" s="156"/>
      <c r="AC115" s="92"/>
      <c r="AD115" s="92"/>
      <c r="AE115" s="92"/>
      <c r="AF115" s="92"/>
      <c r="AG115" s="93"/>
      <c r="AH115" s="59"/>
      <c r="AI115" s="91"/>
      <c r="AJ115" s="92"/>
      <c r="AK115" s="92"/>
      <c r="AL115" s="156"/>
      <c r="AM115" s="92"/>
      <c r="AN115" s="92"/>
      <c r="AO115" s="92"/>
      <c r="AP115" s="92"/>
      <c r="AQ115" s="92"/>
      <c r="AR115" s="92"/>
      <c r="AS115" s="92"/>
      <c r="AT115" s="92"/>
      <c r="AU115" s="158"/>
      <c r="AV115" s="158"/>
      <c r="AW115" s="158"/>
      <c r="AX115" s="159"/>
      <c r="AY115" s="159"/>
      <c r="AZ115" s="159"/>
      <c r="BA115" s="159"/>
      <c r="BB115" s="159"/>
      <c r="BC115" s="159"/>
      <c r="BD115" s="159"/>
      <c r="BE115" s="159"/>
      <c r="BF115" s="92"/>
      <c r="BG115" s="92"/>
      <c r="BH115" s="92"/>
      <c r="BI115" s="92"/>
      <c r="BJ115" s="92"/>
      <c r="BK115" s="92"/>
      <c r="BL115" s="92"/>
      <c r="BM115" s="92"/>
      <c r="BN115" s="93"/>
      <c r="BO115" s="114"/>
      <c r="BP115" s="1929"/>
      <c r="BQ115" s="50"/>
      <c r="BR115" s="2494"/>
      <c r="BS115" s="3644"/>
      <c r="BT115" s="3644"/>
      <c r="BU115" s="3644"/>
      <c r="BV115" s="3644"/>
      <c r="BW115" s="3644"/>
      <c r="BX115" s="3644"/>
      <c r="BY115" s="2495"/>
      <c r="BZ115" s="3584"/>
      <c r="CA115" s="2495"/>
      <c r="CB115" s="3643"/>
      <c r="CC115" s="3643"/>
      <c r="CD115" s="3643"/>
      <c r="CE115" s="3643"/>
      <c r="CF115" s="3643"/>
      <c r="CG115" s="3637"/>
      <c r="CH115" s="3637"/>
      <c r="CI115" s="3637"/>
      <c r="CJ115" s="3637"/>
      <c r="CK115" s="2485"/>
      <c r="CL115" s="1928"/>
      <c r="CM115" s="43"/>
    </row>
    <row r="116" spans="2:91" ht="12" customHeight="1">
      <c r="B116" s="1910"/>
      <c r="C116" s="118"/>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70"/>
      <c r="AA116" s="116"/>
      <c r="AB116" s="170"/>
      <c r="AC116" s="116"/>
      <c r="AD116" s="116"/>
      <c r="AE116" s="116"/>
      <c r="AF116" s="116"/>
      <c r="AG116" s="116"/>
      <c r="AH116" s="116"/>
      <c r="AI116" s="116"/>
      <c r="AJ116" s="116"/>
      <c r="AK116" s="116"/>
      <c r="AL116" s="170"/>
      <c r="AM116" s="116"/>
      <c r="AN116" s="116"/>
      <c r="AO116" s="116"/>
      <c r="AP116" s="116"/>
      <c r="AQ116" s="116"/>
      <c r="AR116" s="116"/>
      <c r="AS116" s="116"/>
      <c r="AT116" s="116"/>
      <c r="AU116" s="171"/>
      <c r="AV116" s="171" t="s">
        <v>552</v>
      </c>
      <c r="AW116" s="171"/>
      <c r="AX116" s="172"/>
      <c r="AY116" s="172"/>
      <c r="AZ116" s="172"/>
      <c r="BA116" s="172"/>
      <c r="BB116" s="172"/>
      <c r="BC116" s="172"/>
      <c r="BD116" s="172"/>
      <c r="BE116" s="172"/>
      <c r="BF116" s="116"/>
      <c r="BG116" s="116"/>
      <c r="BH116" s="116"/>
      <c r="BI116" s="116"/>
      <c r="BJ116" s="116"/>
      <c r="BK116" s="116"/>
      <c r="BL116" s="116"/>
      <c r="BM116" s="116"/>
      <c r="BN116" s="116"/>
      <c r="BO116" s="117"/>
      <c r="BP116" s="1929"/>
      <c r="BQ116" s="91"/>
      <c r="BR116" s="92"/>
      <c r="BS116" s="92"/>
      <c r="BT116" s="156"/>
      <c r="BU116" s="92"/>
      <c r="BV116" s="156"/>
      <c r="BW116" s="92"/>
      <c r="BX116" s="92"/>
      <c r="BY116" s="92"/>
      <c r="BZ116" s="92"/>
      <c r="CA116" s="92"/>
      <c r="CB116" s="92"/>
      <c r="CC116" s="92"/>
      <c r="CD116" s="92"/>
      <c r="CE116" s="92"/>
      <c r="CF116" s="158"/>
      <c r="CG116" s="92"/>
      <c r="CH116" s="92"/>
      <c r="CI116" s="92"/>
      <c r="CJ116" s="92"/>
      <c r="CK116" s="93"/>
      <c r="CL116" s="1928"/>
      <c r="CM116" s="43"/>
    </row>
    <row r="117" spans="2:91" ht="13.5" customHeight="1">
      <c r="B117" s="1912"/>
      <c r="C117" s="1919"/>
      <c r="D117" s="1919"/>
      <c r="E117" s="1919"/>
      <c r="F117" s="1919"/>
      <c r="G117" s="1919"/>
      <c r="H117" s="1919"/>
      <c r="I117" s="1919"/>
      <c r="J117" s="1919"/>
      <c r="K117" s="1919"/>
      <c r="L117" s="1919"/>
      <c r="M117" s="1919"/>
      <c r="N117" s="1919"/>
      <c r="O117" s="1919"/>
      <c r="P117" s="1919"/>
      <c r="Q117" s="1919"/>
      <c r="R117" s="1919"/>
      <c r="S117" s="1919"/>
      <c r="T117" s="1919"/>
      <c r="U117" s="1919"/>
      <c r="V117" s="1919"/>
      <c r="W117" s="1919"/>
      <c r="X117" s="1919"/>
      <c r="Y117" s="1919"/>
      <c r="Z117" s="1919"/>
      <c r="AA117" s="1919"/>
      <c r="AB117" s="1919"/>
      <c r="AC117" s="1919"/>
      <c r="AD117" s="1919"/>
      <c r="AE117" s="1919"/>
      <c r="AF117" s="1919"/>
      <c r="AG117" s="1919"/>
      <c r="AH117" s="1919"/>
      <c r="AI117" s="1919"/>
      <c r="AJ117" s="1919"/>
      <c r="AK117" s="1919"/>
      <c r="AL117" s="1919"/>
      <c r="AM117" s="1919"/>
      <c r="AN117" s="1919"/>
      <c r="AO117" s="1919"/>
      <c r="AP117" s="1919"/>
      <c r="AQ117" s="1919"/>
      <c r="AR117" s="1919"/>
      <c r="AS117" s="1919"/>
      <c r="AT117" s="1919"/>
      <c r="AU117" s="1919"/>
      <c r="AV117" s="1919"/>
      <c r="AW117" s="1919"/>
      <c r="AX117" s="1919"/>
      <c r="AY117" s="1919"/>
      <c r="AZ117" s="1919"/>
      <c r="BA117" s="1919"/>
      <c r="BB117" s="1919"/>
      <c r="BC117" s="1919"/>
      <c r="BD117" s="1919"/>
      <c r="BE117" s="1919"/>
      <c r="BF117" s="1919"/>
      <c r="BG117" s="1919"/>
      <c r="BH117" s="1919"/>
      <c r="BI117" s="1919"/>
      <c r="BJ117" s="1919"/>
      <c r="BK117" s="1919"/>
      <c r="BL117" s="1919"/>
      <c r="BM117" s="1919"/>
      <c r="BN117" s="1919"/>
      <c r="BO117" s="1919"/>
      <c r="BP117" s="1919"/>
      <c r="BQ117" s="1919"/>
      <c r="BR117" s="1919"/>
      <c r="BS117" s="1919"/>
      <c r="BT117" s="1919"/>
      <c r="BU117" s="1919"/>
      <c r="BV117" s="1919"/>
      <c r="BW117" s="1919"/>
      <c r="BX117" s="1919"/>
      <c r="BY117" s="1919"/>
      <c r="BZ117" s="1919"/>
      <c r="CA117" s="1919"/>
      <c r="CB117" s="1919"/>
      <c r="CC117" s="1919"/>
      <c r="CD117" s="1919"/>
      <c r="CE117" s="1919"/>
      <c r="CF117" s="1919"/>
      <c r="CG117" s="1919"/>
      <c r="CH117" s="1919"/>
      <c r="CI117" s="1919"/>
      <c r="CJ117" s="1919"/>
      <c r="CK117" s="1919"/>
      <c r="CL117" s="1923"/>
      <c r="CM117" s="43"/>
    </row>
    <row r="118" spans="2:91" ht="9.75" customHeight="1">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c r="AS118" s="59"/>
      <c r="AT118" s="59"/>
      <c r="AU118" s="59"/>
      <c r="AV118" s="59"/>
      <c r="AW118" s="59"/>
      <c r="AX118" s="59"/>
      <c r="AY118" s="59"/>
      <c r="AZ118" s="59"/>
      <c r="BA118" s="59"/>
      <c r="BB118" s="59"/>
      <c r="BC118" s="59"/>
      <c r="BD118" s="59"/>
      <c r="BE118" s="59"/>
      <c r="BF118" s="59"/>
      <c r="BG118" s="59"/>
      <c r="BH118" s="59"/>
      <c r="BI118" s="59"/>
      <c r="BJ118" s="59"/>
      <c r="BK118" s="59"/>
      <c r="BL118" s="59"/>
      <c r="BM118" s="59"/>
      <c r="BN118" s="59"/>
      <c r="BO118" s="59"/>
      <c r="BP118" s="59"/>
      <c r="BQ118" s="59"/>
      <c r="BR118" s="59"/>
      <c r="BS118" s="59"/>
      <c r="BT118" s="59"/>
      <c r="BU118" s="59"/>
      <c r="BV118" s="59"/>
      <c r="BW118" s="59"/>
      <c r="BX118" s="59"/>
      <c r="BY118" s="59"/>
      <c r="BZ118" s="59"/>
      <c r="CA118" s="59"/>
      <c r="CB118" s="59"/>
      <c r="CC118" s="59"/>
      <c r="CD118" s="59"/>
      <c r="CE118" s="59"/>
      <c r="CF118" s="59"/>
      <c r="CG118" s="59"/>
      <c r="CH118" s="59"/>
      <c r="CI118" s="59"/>
      <c r="CJ118" s="59"/>
      <c r="CK118" s="59"/>
      <c r="CL118" s="59"/>
      <c r="CM118" s="59"/>
    </row>
    <row r="119" spans="2:91" ht="22.5" customHeight="1">
      <c r="B119" s="1904"/>
      <c r="C119" s="1905" t="s">
        <v>513</v>
      </c>
      <c r="D119" s="1906"/>
      <c r="E119" s="1906"/>
      <c r="F119" s="1906"/>
      <c r="G119" s="1906"/>
      <c r="H119" s="1906"/>
      <c r="I119" s="1906"/>
      <c r="J119" s="1906"/>
      <c r="K119" s="1906"/>
      <c r="L119" s="1906"/>
      <c r="M119" s="1906"/>
      <c r="N119" s="1906"/>
      <c r="O119" s="1906"/>
      <c r="P119" s="1906"/>
      <c r="Q119" s="1906"/>
      <c r="R119" s="1906"/>
      <c r="S119" s="1906"/>
      <c r="T119" s="1906"/>
      <c r="U119" s="1906"/>
      <c r="V119" s="1906"/>
      <c r="W119" s="1906"/>
      <c r="X119" s="1906"/>
      <c r="Y119" s="1906"/>
      <c r="Z119" s="1906"/>
      <c r="AA119" s="1906"/>
      <c r="AB119" s="1906"/>
      <c r="AC119" s="1906"/>
      <c r="AD119" s="1906"/>
      <c r="AE119" s="1906"/>
      <c r="AF119" s="1906"/>
      <c r="AG119" s="1906"/>
      <c r="AH119" s="1906"/>
      <c r="AI119" s="1906"/>
      <c r="AJ119" s="1906"/>
      <c r="AK119" s="1906"/>
      <c r="AL119" s="1906"/>
      <c r="AM119" s="1906"/>
      <c r="AN119" s="1906"/>
      <c r="AO119" s="1906"/>
      <c r="AP119" s="1906"/>
      <c r="AQ119" s="1906"/>
      <c r="AR119" s="1906"/>
      <c r="AS119" s="1906"/>
      <c r="AT119" s="1906"/>
      <c r="AU119" s="1907"/>
      <c r="AV119" s="1907"/>
      <c r="AW119" s="1907"/>
      <c r="AX119" s="1906"/>
      <c r="AY119" s="1906"/>
      <c r="AZ119" s="1906"/>
      <c r="BA119" s="1906"/>
      <c r="BB119" s="1906"/>
      <c r="BC119" s="1906"/>
      <c r="BD119" s="1906"/>
      <c r="BE119" s="1906"/>
      <c r="BF119" s="1906"/>
      <c r="BG119" s="1906"/>
      <c r="BH119" s="1906"/>
      <c r="BI119" s="1906"/>
      <c r="BJ119" s="1906"/>
      <c r="BK119" s="1906"/>
      <c r="BL119" s="1906"/>
      <c r="BM119" s="1906"/>
      <c r="BN119" s="1906"/>
      <c r="BO119" s="1906"/>
      <c r="BP119" s="1906"/>
      <c r="BQ119" s="1906"/>
      <c r="BR119" s="1906"/>
      <c r="BS119" s="1906"/>
      <c r="BT119" s="1906"/>
      <c r="BU119" s="1906"/>
      <c r="BV119" s="1906"/>
      <c r="BW119" s="1906"/>
      <c r="BX119" s="1906"/>
      <c r="BY119" s="1906"/>
      <c r="BZ119" s="1906"/>
      <c r="CA119" s="1906"/>
      <c r="CB119" s="1906"/>
      <c r="CC119" s="1906"/>
      <c r="CD119" s="1906"/>
      <c r="CE119" s="1906"/>
      <c r="CF119" s="1904"/>
      <c r="CG119" s="1904"/>
      <c r="CH119" s="1908"/>
      <c r="CI119" s="1904"/>
      <c r="CJ119" s="3755"/>
      <c r="CK119" s="3755"/>
      <c r="CL119" s="1906"/>
    </row>
    <row r="120" spans="2:91" ht="6.75" customHeight="1"/>
    <row r="121" spans="2:91" ht="14.25" customHeight="1">
      <c r="B121" s="1909"/>
      <c r="C121" s="1913"/>
      <c r="D121" s="1913"/>
      <c r="E121" s="1913"/>
      <c r="F121" s="1913"/>
      <c r="G121" s="1913"/>
      <c r="H121" s="1913"/>
      <c r="I121" s="1913"/>
      <c r="J121" s="1913"/>
      <c r="K121" s="1913"/>
      <c r="L121" s="1913"/>
      <c r="M121" s="1913"/>
      <c r="N121" s="1913"/>
      <c r="O121" s="1913"/>
      <c r="P121" s="1913"/>
      <c r="Q121" s="1913"/>
      <c r="R121" s="1913"/>
      <c r="S121" s="1913"/>
      <c r="T121" s="1913"/>
      <c r="U121" s="1913"/>
      <c r="V121" s="1913"/>
      <c r="W121" s="1913"/>
      <c r="X121" s="1913"/>
      <c r="Y121" s="1913"/>
      <c r="Z121" s="1913"/>
      <c r="AA121" s="1913"/>
      <c r="AB121" s="1913"/>
      <c r="AC121" s="1913"/>
      <c r="AD121" s="1913"/>
      <c r="AE121" s="1913"/>
      <c r="AF121" s="1913"/>
      <c r="AG121" s="1913"/>
      <c r="AH121" s="1913"/>
      <c r="AI121" s="1913"/>
      <c r="AJ121" s="1913"/>
      <c r="AK121" s="1913"/>
      <c r="AL121" s="1913"/>
      <c r="AM121" s="1913"/>
      <c r="AN121" s="1913"/>
      <c r="AO121" s="1913"/>
      <c r="AP121" s="1913"/>
      <c r="AQ121" s="1913"/>
      <c r="AR121" s="1913"/>
      <c r="AS121" s="1913"/>
      <c r="AT121" s="1913"/>
      <c r="AU121" s="1913"/>
      <c r="AV121" s="1913"/>
      <c r="AW121" s="1913"/>
      <c r="AX121" s="1913"/>
      <c r="AY121" s="1913"/>
      <c r="AZ121" s="1913"/>
      <c r="BA121" s="1913"/>
      <c r="BB121" s="1913"/>
      <c r="BC121" s="1913"/>
      <c r="BD121" s="1913"/>
      <c r="BE121" s="1913"/>
      <c r="BF121" s="1913"/>
      <c r="BG121" s="1913"/>
      <c r="BH121" s="1913"/>
      <c r="BI121" s="1913"/>
      <c r="BJ121" s="1913"/>
      <c r="BK121" s="1913"/>
      <c r="BL121" s="1913"/>
      <c r="BM121" s="1913"/>
      <c r="BN121" s="1913"/>
      <c r="BO121" s="1913"/>
      <c r="BP121" s="1913"/>
      <c r="BQ121" s="1913"/>
      <c r="BR121" s="1913"/>
      <c r="BS121" s="1913"/>
      <c r="BT121" s="1913"/>
      <c r="BU121" s="1913"/>
      <c r="BV121" s="1913"/>
      <c r="BW121" s="1913"/>
      <c r="BX121" s="1913"/>
      <c r="BY121" s="1913"/>
      <c r="BZ121" s="1913"/>
      <c r="CA121" s="1913"/>
      <c r="CB121" s="1913"/>
      <c r="CC121" s="1913"/>
      <c r="CD121" s="1913"/>
      <c r="CE121" s="1913"/>
      <c r="CF121" s="1913"/>
      <c r="CG121" s="1913"/>
      <c r="CH121" s="1913"/>
      <c r="CI121" s="1913"/>
      <c r="CJ121" s="1913"/>
      <c r="CK121" s="1913"/>
      <c r="CL121" s="1920"/>
      <c r="CM121" s="43"/>
    </row>
    <row r="122" spans="2:91" ht="9.75" customHeight="1">
      <c r="B122" s="1910"/>
      <c r="C122" s="45"/>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7"/>
      <c r="AB122" s="1929"/>
      <c r="AC122" s="45"/>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7"/>
      <c r="BE122" s="1931"/>
      <c r="BF122" s="113"/>
      <c r="BG122" s="111"/>
      <c r="BH122" s="111"/>
      <c r="BI122" s="111"/>
      <c r="BJ122" s="46"/>
      <c r="BK122" s="46"/>
      <c r="BL122" s="46"/>
      <c r="BM122" s="46"/>
      <c r="BN122" s="46"/>
      <c r="BO122" s="46"/>
      <c r="BP122" s="46"/>
      <c r="BQ122" s="46"/>
      <c r="BR122" s="46"/>
      <c r="BS122" s="46"/>
      <c r="BT122" s="46"/>
      <c r="BU122" s="46"/>
      <c r="BV122" s="46"/>
      <c r="BW122" s="46"/>
      <c r="BX122" s="46"/>
      <c r="BY122" s="46"/>
      <c r="BZ122" s="46"/>
      <c r="CA122" s="46"/>
      <c r="CB122" s="46"/>
      <c r="CC122" s="46"/>
      <c r="CD122" s="46"/>
      <c r="CE122" s="46"/>
      <c r="CF122" s="46"/>
      <c r="CG122" s="46"/>
      <c r="CH122" s="46"/>
      <c r="CI122" s="46"/>
      <c r="CJ122" s="46"/>
      <c r="CK122" s="47"/>
      <c r="CL122" s="1928"/>
      <c r="CM122" s="43"/>
    </row>
    <row r="123" spans="2:91" ht="18" customHeight="1">
      <c r="B123" s="1910"/>
      <c r="C123" s="445" t="s">
        <v>792</v>
      </c>
      <c r="D123" s="203"/>
      <c r="E123" s="203"/>
      <c r="F123" s="203"/>
      <c r="G123" s="203"/>
      <c r="H123" s="203"/>
      <c r="I123" s="59"/>
      <c r="J123" s="59"/>
      <c r="K123" s="59"/>
      <c r="L123" s="59"/>
      <c r="M123" s="59"/>
      <c r="N123" s="59"/>
      <c r="O123" s="59"/>
      <c r="P123" s="59"/>
      <c r="Q123" s="59"/>
      <c r="R123" s="59"/>
      <c r="S123" s="59"/>
      <c r="T123" s="59"/>
      <c r="U123" s="59"/>
      <c r="V123" s="59"/>
      <c r="W123" s="59"/>
      <c r="X123" s="59"/>
      <c r="Y123" s="3639">
        <f>'CALCULS Eaux pluviales'!O276</f>
        <v>0</v>
      </c>
      <c r="Z123" s="3639"/>
      <c r="AA123" s="61"/>
      <c r="AB123" s="1929"/>
      <c r="AC123" s="50"/>
      <c r="AD123" s="532" t="s">
        <v>793</v>
      </c>
      <c r="AE123" s="59"/>
      <c r="AG123" s="59"/>
      <c r="AH123" s="59"/>
      <c r="AI123" s="59"/>
      <c r="AJ123" s="59"/>
      <c r="AK123" s="59"/>
      <c r="AL123" s="59"/>
      <c r="AM123" s="59"/>
      <c r="AN123" s="59"/>
      <c r="AO123" s="59"/>
      <c r="AP123" s="59"/>
      <c r="AQ123" s="59"/>
      <c r="AR123" s="59"/>
      <c r="AS123" s="59"/>
      <c r="AT123" s="59"/>
      <c r="AU123" s="59"/>
      <c r="AV123" s="59"/>
      <c r="AW123" s="59"/>
      <c r="AX123" s="59"/>
      <c r="AY123" s="59"/>
      <c r="AZ123" s="59"/>
      <c r="BA123" s="3640">
        <f>'CALCULS Eaux pluviales'!O295</f>
        <v>0</v>
      </c>
      <c r="BB123" s="3640"/>
      <c r="BC123" s="3640"/>
      <c r="BD123" s="61"/>
      <c r="BE123" s="1931"/>
      <c r="BF123" s="115"/>
      <c r="BG123" s="532" t="s">
        <v>794</v>
      </c>
      <c r="BH123" s="59"/>
      <c r="BJ123" s="59"/>
      <c r="BL123" s="59"/>
      <c r="BN123" s="59"/>
      <c r="BO123" s="59"/>
      <c r="BP123" s="59"/>
      <c r="BQ123" s="59"/>
      <c r="BR123" s="59"/>
      <c r="BS123" s="59"/>
      <c r="BT123" s="59"/>
      <c r="BU123" s="59"/>
      <c r="BV123" s="59"/>
      <c r="BW123" s="59"/>
      <c r="BX123" s="59"/>
      <c r="BY123" s="59"/>
      <c r="BZ123" s="59"/>
      <c r="CA123" s="59"/>
      <c r="CB123" s="59"/>
      <c r="CC123" s="59"/>
      <c r="CD123" s="59"/>
      <c r="CE123" s="59"/>
      <c r="CF123" s="59"/>
      <c r="CG123" s="59"/>
      <c r="CH123" s="59"/>
      <c r="CI123" s="59"/>
      <c r="CJ123" s="3640">
        <f>'CALCULS Eaux pluviales'!O314</f>
        <v>0</v>
      </c>
      <c r="CK123" s="3641"/>
      <c r="CL123" s="1928"/>
      <c r="CM123" s="43"/>
    </row>
    <row r="124" spans="2:91" ht="3.75" customHeight="1">
      <c r="B124" s="1910"/>
      <c r="C124" s="174"/>
      <c r="I124" s="59"/>
      <c r="J124" s="59"/>
      <c r="K124" s="59"/>
      <c r="L124" s="59"/>
      <c r="M124" s="59"/>
      <c r="N124" s="59"/>
      <c r="O124" s="59"/>
      <c r="P124" s="59"/>
      <c r="Q124" s="59"/>
      <c r="R124" s="59"/>
      <c r="S124" s="59"/>
      <c r="T124" s="59"/>
      <c r="U124" s="59"/>
      <c r="V124" s="59"/>
      <c r="W124" s="59"/>
      <c r="X124" s="59"/>
      <c r="Y124" s="59"/>
      <c r="Z124" s="59"/>
      <c r="AA124" s="61"/>
      <c r="AB124" s="1929"/>
      <c r="AC124" s="50"/>
      <c r="AD124" s="125"/>
      <c r="AE124" s="59"/>
      <c r="AG124" s="59"/>
      <c r="AH124" s="59"/>
      <c r="AI124" s="59"/>
      <c r="AJ124" s="59"/>
      <c r="AK124" s="59"/>
      <c r="AL124" s="59"/>
      <c r="AM124" s="59"/>
      <c r="AN124" s="59"/>
      <c r="AO124" s="59"/>
      <c r="AP124" s="59"/>
      <c r="AQ124" s="59"/>
      <c r="AR124" s="59"/>
      <c r="AS124" s="59"/>
      <c r="AT124" s="59"/>
      <c r="AU124" s="59"/>
      <c r="AV124" s="59"/>
      <c r="AW124" s="59"/>
      <c r="AX124" s="59"/>
      <c r="AY124" s="59"/>
      <c r="AZ124" s="59"/>
      <c r="BA124" s="59"/>
      <c r="BB124" s="59"/>
      <c r="BC124" s="59"/>
      <c r="BD124" s="61"/>
      <c r="BE124" s="1931"/>
      <c r="BF124" s="115"/>
      <c r="BG124" s="125"/>
      <c r="BH124" s="59"/>
      <c r="BJ124" s="59"/>
      <c r="BL124" s="59"/>
      <c r="BN124" s="59"/>
      <c r="BO124" s="59"/>
      <c r="BP124" s="59"/>
      <c r="BQ124" s="59"/>
      <c r="BR124" s="59"/>
      <c r="BS124" s="59"/>
      <c r="BT124" s="59"/>
      <c r="BU124" s="59"/>
      <c r="BV124" s="59"/>
      <c r="BW124" s="59"/>
      <c r="BX124" s="59"/>
      <c r="BY124" s="59"/>
      <c r="BZ124" s="59"/>
      <c r="CA124" s="59"/>
      <c r="CB124" s="59"/>
      <c r="CC124" s="59"/>
      <c r="CD124" s="59"/>
      <c r="CE124" s="59"/>
      <c r="CF124" s="59"/>
      <c r="CG124" s="59"/>
      <c r="CH124" s="59"/>
      <c r="CI124" s="59"/>
      <c r="CJ124" s="59"/>
      <c r="CK124" s="61"/>
      <c r="CL124" s="1928"/>
      <c r="CM124" s="43"/>
    </row>
    <row r="125" spans="2:91" ht="15.75" customHeight="1">
      <c r="B125" s="1910"/>
      <c r="C125" s="174"/>
      <c r="D125" s="3650" t="s">
        <v>795</v>
      </c>
      <c r="E125" s="3650"/>
      <c r="F125" s="3650"/>
      <c r="G125" s="3650"/>
      <c r="H125" s="3650"/>
      <c r="I125" s="3650"/>
      <c r="J125" s="3650"/>
      <c r="K125" s="3650"/>
      <c r="L125" s="3650"/>
      <c r="M125" s="3650"/>
      <c r="N125" s="3650"/>
      <c r="O125" s="3650"/>
      <c r="P125" s="3650"/>
      <c r="Q125" s="3650"/>
      <c r="R125" s="3650"/>
      <c r="S125" s="3650"/>
      <c r="T125" s="3650"/>
      <c r="U125" s="3650"/>
      <c r="V125" s="3650"/>
      <c r="W125" s="3650"/>
      <c r="X125" s="3650"/>
      <c r="Y125" s="3650"/>
      <c r="Z125" s="59"/>
      <c r="AA125" s="61"/>
      <c r="AB125" s="1929"/>
      <c r="AC125" s="50"/>
      <c r="AD125" s="125"/>
      <c r="AE125" s="3650" t="s">
        <v>795</v>
      </c>
      <c r="AF125" s="3650"/>
      <c r="AG125" s="3650"/>
      <c r="AH125" s="3650"/>
      <c r="AI125" s="3650"/>
      <c r="AJ125" s="3650"/>
      <c r="AK125" s="3650"/>
      <c r="AL125" s="3650"/>
      <c r="AM125" s="3650"/>
      <c r="AN125" s="3650"/>
      <c r="AO125" s="3650"/>
      <c r="AP125" s="3650"/>
      <c r="AQ125" s="3650"/>
      <c r="AR125" s="3650"/>
      <c r="AS125" s="3650"/>
      <c r="AT125" s="3650"/>
      <c r="AU125" s="3650"/>
      <c r="AV125" s="3650"/>
      <c r="AW125" s="3650"/>
      <c r="AX125" s="3650"/>
      <c r="AY125" s="3650"/>
      <c r="AZ125" s="3650"/>
      <c r="BA125" s="3650"/>
      <c r="BB125" s="3650"/>
      <c r="BC125" s="59"/>
      <c r="BD125" s="61"/>
      <c r="BE125" s="1931"/>
      <c r="BF125" s="115"/>
      <c r="BG125" s="125"/>
      <c r="BH125" s="3650" t="s">
        <v>795</v>
      </c>
      <c r="BI125" s="3650"/>
      <c r="BJ125" s="3650"/>
      <c r="BK125" s="3650"/>
      <c r="BL125" s="3650"/>
      <c r="BM125" s="3650"/>
      <c r="BN125" s="3650"/>
      <c r="BO125" s="3650"/>
      <c r="BP125" s="3650"/>
      <c r="BQ125" s="3650"/>
      <c r="BR125" s="3650"/>
      <c r="BS125" s="3650"/>
      <c r="BT125" s="3650"/>
      <c r="BU125" s="3650"/>
      <c r="BV125" s="3650"/>
      <c r="BW125" s="3650"/>
      <c r="BX125" s="3650"/>
      <c r="BY125" s="3650"/>
      <c r="BZ125" s="3650"/>
      <c r="CA125" s="3650"/>
      <c r="CB125" s="3650"/>
      <c r="CC125" s="3650"/>
      <c r="CD125" s="3650"/>
      <c r="CE125" s="3650"/>
      <c r="CF125" s="3650"/>
      <c r="CG125" s="3650"/>
      <c r="CH125" s="3650"/>
      <c r="CI125" s="3650"/>
      <c r="CJ125" s="3650"/>
      <c r="CK125" s="61"/>
      <c r="CL125" s="1928"/>
      <c r="CM125" s="43"/>
    </row>
    <row r="126" spans="2:91" ht="102.75" customHeight="1">
      <c r="B126" s="1910"/>
      <c r="C126" s="50"/>
      <c r="D126" s="59"/>
      <c r="E126" s="59"/>
      <c r="F126" s="59"/>
      <c r="G126" s="59"/>
      <c r="H126" s="59"/>
      <c r="I126" s="59"/>
      <c r="J126" s="59"/>
      <c r="K126" s="59"/>
      <c r="L126" s="59"/>
      <c r="M126" s="59"/>
      <c r="N126" s="59"/>
      <c r="O126" s="59"/>
      <c r="P126" s="59"/>
      <c r="Q126" s="59"/>
      <c r="R126" s="59"/>
      <c r="S126" s="59"/>
      <c r="T126" s="59"/>
      <c r="U126" s="59"/>
      <c r="V126" s="59"/>
      <c r="W126" s="59"/>
      <c r="X126" s="59"/>
      <c r="Y126" s="59"/>
      <c r="Z126" s="59"/>
      <c r="AA126" s="61"/>
      <c r="AB126" s="1929"/>
      <c r="AC126" s="50"/>
      <c r="AD126" s="59"/>
      <c r="AE126" s="59"/>
      <c r="AF126" s="59"/>
      <c r="AG126" s="59"/>
      <c r="AH126" s="59"/>
      <c r="AI126" s="59"/>
      <c r="AJ126" s="59"/>
      <c r="AK126" s="59"/>
      <c r="AL126" s="59"/>
      <c r="AM126" s="59"/>
      <c r="AN126" s="59"/>
      <c r="AO126" s="59"/>
      <c r="AP126" s="59"/>
      <c r="AQ126" s="59"/>
      <c r="AR126" s="59"/>
      <c r="AS126" s="59"/>
      <c r="AT126" s="59"/>
      <c r="AU126" s="59"/>
      <c r="AV126" s="59"/>
      <c r="AW126" s="59"/>
      <c r="AX126" s="59"/>
      <c r="AY126" s="59"/>
      <c r="AZ126" s="59"/>
      <c r="BA126" s="59"/>
      <c r="BB126" s="59"/>
      <c r="BC126" s="59"/>
      <c r="BD126" s="61"/>
      <c r="BE126" s="1931"/>
      <c r="BF126" s="115"/>
      <c r="BG126" s="59"/>
      <c r="BH126" s="59"/>
      <c r="BI126" s="59"/>
      <c r="BJ126" s="59"/>
      <c r="BK126" s="59"/>
      <c r="BL126" s="59"/>
      <c r="BM126" s="59"/>
      <c r="BN126" s="59"/>
      <c r="BO126" s="59"/>
      <c r="BP126" s="59"/>
      <c r="BQ126" s="59"/>
      <c r="BR126" s="59"/>
      <c r="BS126" s="59"/>
      <c r="BT126" s="59"/>
      <c r="BU126" s="59"/>
      <c r="BV126" s="59"/>
      <c r="BW126" s="59"/>
      <c r="BX126" s="59"/>
      <c r="BY126" s="59"/>
      <c r="BZ126" s="59"/>
      <c r="CA126" s="59"/>
      <c r="CB126" s="59"/>
      <c r="CC126" s="59"/>
      <c r="CD126" s="59"/>
      <c r="CE126" s="59"/>
      <c r="CF126" s="59"/>
      <c r="CG126" s="59"/>
      <c r="CH126" s="59"/>
      <c r="CI126" s="59"/>
      <c r="CJ126" s="59"/>
      <c r="CK126" s="61"/>
      <c r="CL126" s="1928"/>
      <c r="CM126" s="43"/>
    </row>
    <row r="127" spans="2:91" ht="28.5" customHeight="1">
      <c r="B127" s="1910"/>
      <c r="C127" s="50"/>
      <c r="D127" s="46"/>
      <c r="E127" s="46"/>
      <c r="F127" s="46"/>
      <c r="G127" s="46"/>
      <c r="H127" s="46"/>
      <c r="I127" s="46"/>
      <c r="J127" s="46"/>
      <c r="K127" s="46"/>
      <c r="L127" s="46"/>
      <c r="M127" s="46"/>
      <c r="N127" s="46"/>
      <c r="O127" s="46"/>
      <c r="P127" s="46"/>
      <c r="Q127" s="46"/>
      <c r="R127" s="46"/>
      <c r="S127" s="46"/>
      <c r="T127" s="46"/>
      <c r="U127" s="46"/>
      <c r="V127" s="46"/>
      <c r="W127" s="46"/>
      <c r="X127" s="46"/>
      <c r="Y127" s="46"/>
      <c r="Z127" s="59"/>
      <c r="AA127" s="61"/>
      <c r="AB127" s="1929"/>
      <c r="AC127" s="50"/>
      <c r="AD127" s="59"/>
      <c r="AE127" s="59"/>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59"/>
      <c r="BD127" s="61"/>
      <c r="BE127" s="1931"/>
      <c r="BF127" s="115"/>
      <c r="BG127" s="59"/>
      <c r="BH127" s="59"/>
      <c r="BI127" s="46"/>
      <c r="BJ127" s="46"/>
      <c r="BK127" s="46"/>
      <c r="BL127" s="46"/>
      <c r="BM127" s="46"/>
      <c r="BN127" s="46"/>
      <c r="BO127" s="46"/>
      <c r="BP127" s="46"/>
      <c r="BQ127" s="46"/>
      <c r="BR127" s="46"/>
      <c r="BS127" s="46"/>
      <c r="BT127" s="46"/>
      <c r="BU127" s="46"/>
      <c r="BV127" s="46"/>
      <c r="BW127" s="46"/>
      <c r="BX127" s="46"/>
      <c r="BY127" s="46"/>
      <c r="BZ127" s="46"/>
      <c r="CA127" s="46"/>
      <c r="CB127" s="46"/>
      <c r="CC127" s="46"/>
      <c r="CD127" s="46"/>
      <c r="CE127" s="46"/>
      <c r="CF127" s="46"/>
      <c r="CG127" s="46"/>
      <c r="CH127" s="46"/>
      <c r="CI127" s="46"/>
      <c r="CJ127" s="46"/>
      <c r="CK127" s="61"/>
      <c r="CL127" s="1928"/>
      <c r="CM127" s="43"/>
    </row>
    <row r="128" spans="2:91" ht="20.25" customHeight="1">
      <c r="B128" s="1910"/>
      <c r="C128" s="50"/>
      <c r="D128" s="92"/>
      <c r="E128" s="92"/>
      <c r="F128" s="92"/>
      <c r="G128" s="92"/>
      <c r="H128" s="2797" t="str">
        <f>IF(('FORMULAIRE PGA Eaux pluviales'!$H$120='MENU DÉROULANT'!$C$57),"(Aucun actif)","")</f>
        <v/>
      </c>
      <c r="I128" s="92"/>
      <c r="J128" s="92"/>
      <c r="K128" s="92"/>
      <c r="L128" s="2529" t="s">
        <v>107</v>
      </c>
      <c r="M128" s="91"/>
      <c r="N128" s="2793" t="s">
        <v>844</v>
      </c>
      <c r="O128" s="92"/>
      <c r="P128" s="92"/>
      <c r="Q128" s="92"/>
      <c r="R128" s="92"/>
      <c r="S128" s="92"/>
      <c r="T128" s="92"/>
      <c r="U128" s="92"/>
      <c r="V128" s="2796" t="str">
        <f>IF(('FORMULAIRE PGA Eaux pluviales'!$M$73='MENU DÉROULANT'!$C$66),"(Non applicable)",IF(('FORMULAIRE PGA Eaux pluviales'!$H$81='MENU DÉROULANT'!$F$57),"(Aucun actif)",""))</f>
        <v/>
      </c>
      <c r="W128" s="92"/>
      <c r="X128" s="92"/>
      <c r="Y128" s="92"/>
      <c r="Z128" s="59"/>
      <c r="AA128" s="61"/>
      <c r="AB128" s="1929"/>
      <c r="AC128" s="50"/>
      <c r="AD128" s="59"/>
      <c r="AE128" s="92"/>
      <c r="AF128" s="92"/>
      <c r="AG128" s="92"/>
      <c r="AH128" s="92"/>
      <c r="AI128" s="157"/>
      <c r="AJ128" s="157"/>
      <c r="AK128" s="157"/>
      <c r="AL128" s="157"/>
      <c r="AM128" s="2797" t="str">
        <f>IF(('FORMULAIRE PGA Eaux pluviales'!$H$120='MENU DÉROULANT'!$C$57),"(Aucun actif)","")</f>
        <v/>
      </c>
      <c r="AN128" s="92"/>
      <c r="AO128" s="92"/>
      <c r="AP128" s="92"/>
      <c r="AQ128" s="92"/>
      <c r="AR128" s="157"/>
      <c r="AS128" s="2529" t="s">
        <v>107</v>
      </c>
      <c r="AT128" s="91"/>
      <c r="AU128" s="2793" t="s">
        <v>108</v>
      </c>
      <c r="AV128" s="157"/>
      <c r="AW128" s="92"/>
      <c r="AX128" s="92"/>
      <c r="AY128" s="2796" t="str">
        <f>IF(('FORMULAIRE PGA Eaux pluviales'!$M$73='MENU DÉROULANT'!$C$66),"(Non applicable)",IF(('FORMULAIRE PGA Eaux pluviales'!$H$81='MENU DÉROULANT'!$F$57),"(Aucun actif)",""))</f>
        <v/>
      </c>
      <c r="AZ128" s="92"/>
      <c r="BA128" s="92"/>
      <c r="BB128" s="92"/>
      <c r="BC128" s="59"/>
      <c r="BD128" s="61"/>
      <c r="BE128" s="1931"/>
      <c r="BF128" s="115"/>
      <c r="BG128" s="59"/>
      <c r="BH128" s="92"/>
      <c r="BI128" s="92"/>
      <c r="BJ128" s="92"/>
      <c r="BK128" s="92"/>
      <c r="BL128" s="157"/>
      <c r="BM128" s="157"/>
      <c r="BN128" s="157"/>
      <c r="BO128" s="157"/>
      <c r="BP128" s="2797" t="str">
        <f>IF(('FORMULAIRE PGA Eaux pluviales'!$H$120='MENU DÉROULANT'!$C$57),"(Aucun actif)","")</f>
        <v/>
      </c>
      <c r="BQ128" s="92"/>
      <c r="BR128" s="92"/>
      <c r="BS128" s="92"/>
      <c r="BT128" s="92"/>
      <c r="BU128" s="2529" t="s">
        <v>107</v>
      </c>
      <c r="BV128" s="91"/>
      <c r="BW128" s="2794" t="s">
        <v>108</v>
      </c>
      <c r="BX128" s="2793"/>
      <c r="BY128" s="157"/>
      <c r="BZ128" s="92"/>
      <c r="CA128" s="92"/>
      <c r="CB128" s="92"/>
      <c r="CC128" s="2796" t="str">
        <f>IF(('FORMULAIRE PGA Eaux pluviales'!$M$73='MENU DÉROULANT'!$C$66),"(Non applicable)",IF(('FORMULAIRE PGA Eaux pluviales'!$H$81='MENU DÉROULANT'!$F$57),"(Aucun actif)",""))</f>
        <v/>
      </c>
      <c r="CD128" s="92"/>
      <c r="CE128" s="92"/>
      <c r="CF128" s="92"/>
      <c r="CG128" s="92"/>
      <c r="CH128" s="92"/>
      <c r="CI128" s="92"/>
      <c r="CJ128" s="92"/>
      <c r="CK128" s="61"/>
      <c r="CL128" s="1928"/>
      <c r="CM128" s="43"/>
    </row>
    <row r="129" spans="2:91" ht="6" customHeight="1">
      <c r="B129" s="1910"/>
      <c r="C129" s="50"/>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61"/>
      <c r="AB129" s="1929"/>
      <c r="AC129" s="50"/>
      <c r="AD129" s="59"/>
      <c r="AE129" s="59"/>
      <c r="AF129" s="59"/>
      <c r="AG129" s="59"/>
      <c r="AH129" s="59"/>
      <c r="AI129" s="59"/>
      <c r="AJ129" s="59"/>
      <c r="AK129" s="59"/>
      <c r="AL129" s="59"/>
      <c r="AM129" s="59"/>
      <c r="AN129" s="59"/>
      <c r="AO129" s="59"/>
      <c r="AP129" s="59"/>
      <c r="AQ129" s="59"/>
      <c r="AR129" s="59"/>
      <c r="AS129" s="59"/>
      <c r="AT129" s="59"/>
      <c r="AU129" s="59"/>
      <c r="AV129" s="59"/>
      <c r="AW129" s="59"/>
      <c r="AX129" s="59"/>
      <c r="AY129" s="59"/>
      <c r="AZ129" s="59"/>
      <c r="BA129" s="59"/>
      <c r="BB129" s="59"/>
      <c r="BC129" s="59"/>
      <c r="BD129" s="61"/>
      <c r="BE129" s="1931"/>
      <c r="BF129" s="115"/>
      <c r="BG129" s="59"/>
      <c r="BH129" s="59"/>
      <c r="BI129" s="59"/>
      <c r="BJ129" s="59"/>
      <c r="BK129" s="59"/>
      <c r="BL129" s="59"/>
      <c r="BM129" s="59"/>
      <c r="BN129" s="59"/>
      <c r="BO129" s="59"/>
      <c r="BP129" s="59"/>
      <c r="BQ129" s="59"/>
      <c r="BR129" s="59"/>
      <c r="BS129" s="59"/>
      <c r="BT129" s="59"/>
      <c r="BU129" s="59"/>
      <c r="BV129" s="59"/>
      <c r="BW129" s="59"/>
      <c r="BX129" s="59"/>
      <c r="BY129" s="59"/>
      <c r="BZ129" s="59"/>
      <c r="CA129" s="59"/>
      <c r="CB129" s="59"/>
      <c r="CC129" s="59"/>
      <c r="CD129" s="59"/>
      <c r="CE129" s="59"/>
      <c r="CF129" s="59"/>
      <c r="CG129" s="59"/>
      <c r="CH129" s="59"/>
      <c r="CI129" s="59"/>
      <c r="CJ129" s="59"/>
      <c r="CK129" s="61"/>
      <c r="CL129" s="1928"/>
      <c r="CM129" s="43"/>
    </row>
    <row r="130" spans="2:91" ht="21.75" customHeight="1">
      <c r="B130" s="1910"/>
      <c r="C130" s="64"/>
      <c r="I130" s="436"/>
      <c r="J130" s="90"/>
      <c r="K130" s="59"/>
      <c r="M130" s="59"/>
      <c r="N130" s="59"/>
      <c r="O130" s="59"/>
      <c r="S130" s="75"/>
      <c r="T130" s="1141" t="s">
        <v>475</v>
      </c>
      <c r="V130" s="3633" t="str">
        <f>'CALCULS Eaux pluviales'!N271</f>
        <v/>
      </c>
      <c r="W130" s="3633"/>
      <c r="X130" s="3633"/>
      <c r="Y130" s="2837">
        <f>'CALCULS Eaux pluviales'!O276</f>
        <v>0</v>
      </c>
      <c r="AA130" s="1163"/>
      <c r="AB130" s="1929"/>
      <c r="AC130" s="50"/>
      <c r="AE130" s="59"/>
      <c r="AF130" s="59"/>
      <c r="AG130" s="59"/>
      <c r="AH130" s="59"/>
      <c r="AI130" s="59"/>
      <c r="AJ130" s="59"/>
      <c r="AK130" s="59"/>
      <c r="AL130" s="59"/>
      <c r="AM130" s="59"/>
      <c r="AN130" s="59"/>
      <c r="AO130" s="59"/>
      <c r="AP130" s="59"/>
      <c r="AQ130" s="59"/>
      <c r="AR130" s="59"/>
      <c r="AS130" s="59"/>
      <c r="AT130" s="59"/>
      <c r="AX130" s="1141" t="s">
        <v>480</v>
      </c>
      <c r="AY130" s="3633" t="str">
        <f>'CALCULS Eaux pluviales'!N290</f>
        <v/>
      </c>
      <c r="AZ130" s="3633"/>
      <c r="BA130" s="3651">
        <f>'CALCULS Eaux pluviales'!O295</f>
        <v>0</v>
      </c>
      <c r="BB130" s="3651"/>
      <c r="BC130" s="1162"/>
      <c r="BD130" s="61"/>
      <c r="BE130" s="1929"/>
      <c r="BF130" s="175"/>
      <c r="BH130" s="59"/>
      <c r="BI130" s="59"/>
      <c r="BJ130" s="59"/>
      <c r="BK130" s="59"/>
      <c r="BL130" s="59"/>
      <c r="BM130" s="59"/>
      <c r="BN130" s="59"/>
      <c r="BO130" s="59"/>
      <c r="BP130" s="59"/>
      <c r="BQ130" s="59"/>
      <c r="BR130" s="59"/>
      <c r="BS130" s="59"/>
      <c r="BT130" s="59"/>
      <c r="BU130" s="59"/>
      <c r="BV130" s="59"/>
      <c r="BW130" s="59"/>
      <c r="BX130" s="59"/>
      <c r="BY130" s="59"/>
      <c r="BZ130" s="59"/>
      <c r="CA130" s="59"/>
      <c r="CC130" s="1141" t="s">
        <v>483</v>
      </c>
      <c r="CD130" s="3633" t="str">
        <f>'CALCULS Eaux pluviales'!N309</f>
        <v/>
      </c>
      <c r="CE130" s="3633"/>
      <c r="CF130" s="3633"/>
      <c r="CG130" s="3633"/>
      <c r="CH130" s="3651">
        <f>'CALCULS Eaux pluviales'!O314</f>
        <v>0</v>
      </c>
      <c r="CI130" s="3651"/>
      <c r="CJ130" s="3651"/>
      <c r="CK130" s="1161"/>
      <c r="CL130" s="1928"/>
      <c r="CM130" s="43"/>
    </row>
    <row r="131" spans="2:91" ht="15" customHeight="1">
      <c r="B131" s="1910"/>
      <c r="C131" s="64"/>
      <c r="D131" s="435"/>
      <c r="E131" s="435"/>
      <c r="F131" s="435"/>
      <c r="G131" s="435"/>
      <c r="H131" s="435"/>
      <c r="I131" s="436"/>
      <c r="J131" s="90"/>
      <c r="K131" s="59"/>
      <c r="M131" s="59"/>
      <c r="N131" s="59"/>
      <c r="O131" s="59"/>
      <c r="P131" s="1127"/>
      <c r="Q131" s="1127"/>
      <c r="R131" s="1127"/>
      <c r="S131" s="59"/>
      <c r="T131" s="1141" t="s">
        <v>476</v>
      </c>
      <c r="V131" s="3633" t="str">
        <f>'CALCULS Eaux pluviales'!N272</f>
        <v/>
      </c>
      <c r="W131" s="3633"/>
      <c r="X131" s="3633"/>
      <c r="Y131" s="2836">
        <f>'CALCULS Eaux pluviales'!N276</f>
        <v>0</v>
      </c>
      <c r="AA131" s="1163"/>
      <c r="AB131" s="1929"/>
      <c r="AC131" s="50"/>
      <c r="AD131" s="437"/>
      <c r="AE131" s="59"/>
      <c r="AF131" s="59"/>
      <c r="AG131" s="59"/>
      <c r="AH131" s="59"/>
      <c r="AI131" s="59"/>
      <c r="AJ131" s="59"/>
      <c r="AK131" s="59"/>
      <c r="AL131" s="59"/>
      <c r="AM131" s="59"/>
      <c r="AN131" s="59"/>
      <c r="AO131" s="59"/>
      <c r="AP131" s="59"/>
      <c r="AQ131" s="59"/>
      <c r="AR131" s="59"/>
      <c r="AS131" s="59"/>
      <c r="AT131" s="59"/>
      <c r="AU131" s="1127"/>
      <c r="AV131" s="1127"/>
      <c r="AW131" s="1127"/>
      <c r="AX131" s="1141" t="s">
        <v>481</v>
      </c>
      <c r="AY131" s="3633" t="str">
        <f>'CALCULS Eaux pluviales'!N291</f>
        <v/>
      </c>
      <c r="AZ131" s="3633"/>
      <c r="BA131" s="3638">
        <f>'CALCULS Eaux pluviales'!N295</f>
        <v>0</v>
      </c>
      <c r="BB131" s="3638"/>
      <c r="BC131" s="1162"/>
      <c r="BD131" s="61"/>
      <c r="BE131" s="1929"/>
      <c r="BF131" s="175"/>
      <c r="BG131" s="437"/>
      <c r="BH131" s="59"/>
      <c r="BI131" s="59"/>
      <c r="BJ131" s="59"/>
      <c r="BK131" s="59"/>
      <c r="BL131" s="59"/>
      <c r="BM131" s="59"/>
      <c r="BN131" s="59"/>
      <c r="BO131" s="59"/>
      <c r="BP131" s="59"/>
      <c r="BQ131" s="59"/>
      <c r="BR131" s="59"/>
      <c r="BS131" s="59"/>
      <c r="BT131" s="59"/>
      <c r="BU131" s="59"/>
      <c r="BV131" s="59"/>
      <c r="BW131" s="59"/>
      <c r="BX131" s="59"/>
      <c r="BY131" s="59"/>
      <c r="BZ131" s="59"/>
      <c r="CA131" s="59"/>
      <c r="CB131" s="1127"/>
      <c r="CC131" s="1141" t="s">
        <v>484</v>
      </c>
      <c r="CD131" s="3633" t="str">
        <f>'CALCULS Eaux pluviales'!N310</f>
        <v/>
      </c>
      <c r="CE131" s="3633"/>
      <c r="CF131" s="3633"/>
      <c r="CG131" s="3633"/>
      <c r="CH131" s="3638">
        <f>'CALCULS Eaux pluviales'!N314</f>
        <v>0</v>
      </c>
      <c r="CI131" s="3638"/>
      <c r="CJ131" s="3638"/>
      <c r="CK131" s="1161"/>
      <c r="CL131" s="1928"/>
      <c r="CM131" s="43"/>
    </row>
    <row r="132" spans="2:91" ht="10.5" customHeight="1">
      <c r="B132" s="1910"/>
      <c r="C132" s="91"/>
      <c r="D132" s="105"/>
      <c r="E132" s="105"/>
      <c r="F132" s="105"/>
      <c r="G132" s="105"/>
      <c r="H132" s="105"/>
      <c r="I132" s="92"/>
      <c r="J132" s="92"/>
      <c r="K132" s="92"/>
      <c r="L132" s="92"/>
      <c r="M132" s="92"/>
      <c r="N132" s="92"/>
      <c r="O132" s="92"/>
      <c r="P132" s="92"/>
      <c r="Q132" s="92"/>
      <c r="R132" s="92"/>
      <c r="S132" s="92"/>
      <c r="T132" s="92"/>
      <c r="U132" s="92"/>
      <c r="V132" s="92"/>
      <c r="W132" s="92"/>
      <c r="X132" s="92"/>
      <c r="Y132" s="92"/>
      <c r="Z132" s="92"/>
      <c r="AA132" s="93"/>
      <c r="AB132" s="1929"/>
      <c r="AC132" s="91"/>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3"/>
      <c r="BE132" s="1929"/>
      <c r="BF132" s="91"/>
      <c r="BG132" s="92"/>
      <c r="BH132" s="92"/>
      <c r="BI132" s="92"/>
      <c r="BJ132" s="92"/>
      <c r="BK132" s="92"/>
      <c r="BL132" s="92"/>
      <c r="BM132" s="92"/>
      <c r="BN132" s="92"/>
      <c r="BO132" s="92"/>
      <c r="BP132" s="92"/>
      <c r="BQ132" s="92"/>
      <c r="BR132" s="92"/>
      <c r="BS132" s="92"/>
      <c r="BT132" s="92"/>
      <c r="BU132" s="92"/>
      <c r="BV132" s="92"/>
      <c r="BW132" s="92"/>
      <c r="BX132" s="92"/>
      <c r="BY132" s="92"/>
      <c r="BZ132" s="92"/>
      <c r="CA132" s="92"/>
      <c r="CB132" s="92"/>
      <c r="CC132" s="92"/>
      <c r="CD132" s="92"/>
      <c r="CE132" s="92"/>
      <c r="CF132" s="92"/>
      <c r="CG132" s="92"/>
      <c r="CH132" s="92"/>
      <c r="CI132" s="92"/>
      <c r="CJ132" s="92"/>
      <c r="CK132" s="93"/>
      <c r="CL132" s="1928"/>
      <c r="CM132" s="43"/>
    </row>
    <row r="133" spans="2:91" ht="12.75" customHeight="1">
      <c r="B133" s="1912"/>
      <c r="C133" s="1919"/>
      <c r="D133" s="1919"/>
      <c r="E133" s="1919"/>
      <c r="F133" s="1919"/>
      <c r="G133" s="1919"/>
      <c r="H133" s="1919"/>
      <c r="I133" s="1919"/>
      <c r="J133" s="1919"/>
      <c r="K133" s="1919"/>
      <c r="L133" s="1919"/>
      <c r="M133" s="1919"/>
      <c r="N133" s="1919"/>
      <c r="O133" s="1919"/>
      <c r="P133" s="1919"/>
      <c r="Q133" s="1919"/>
      <c r="R133" s="1919"/>
      <c r="S133" s="1919"/>
      <c r="T133" s="1919"/>
      <c r="U133" s="1919"/>
      <c r="V133" s="1919"/>
      <c r="W133" s="1919"/>
      <c r="X133" s="1919"/>
      <c r="Y133" s="1919"/>
      <c r="Z133" s="1919"/>
      <c r="AA133" s="1919"/>
      <c r="AB133" s="1919"/>
      <c r="AC133" s="1919"/>
      <c r="AD133" s="1919"/>
      <c r="AE133" s="1919"/>
      <c r="AF133" s="1919"/>
      <c r="AG133" s="1919"/>
      <c r="AH133" s="1919"/>
      <c r="AI133" s="1919"/>
      <c r="AJ133" s="1919"/>
      <c r="AK133" s="1919"/>
      <c r="AL133" s="1919"/>
      <c r="AM133" s="1919"/>
      <c r="AN133" s="1919"/>
      <c r="AO133" s="1919"/>
      <c r="AP133" s="1919"/>
      <c r="AQ133" s="1919"/>
      <c r="AR133" s="1919"/>
      <c r="AS133" s="1919"/>
      <c r="AT133" s="1919"/>
      <c r="AU133" s="1919"/>
      <c r="AV133" s="1919"/>
      <c r="AW133" s="1919"/>
      <c r="AX133" s="1919"/>
      <c r="AY133" s="1919"/>
      <c r="AZ133" s="1919"/>
      <c r="BA133" s="1919"/>
      <c r="BB133" s="1919"/>
      <c r="BC133" s="1919"/>
      <c r="BD133" s="1919"/>
      <c r="BE133" s="1919"/>
      <c r="BF133" s="1919"/>
      <c r="BG133" s="1919"/>
      <c r="BH133" s="1919"/>
      <c r="BI133" s="1919"/>
      <c r="BJ133" s="1919"/>
      <c r="BK133" s="1919"/>
      <c r="BL133" s="1919"/>
      <c r="BM133" s="1919"/>
      <c r="BN133" s="1919"/>
      <c r="BO133" s="1919"/>
      <c r="BP133" s="1919"/>
      <c r="BQ133" s="1919"/>
      <c r="BR133" s="1919"/>
      <c r="BS133" s="1919"/>
      <c r="BT133" s="1919"/>
      <c r="BU133" s="1919"/>
      <c r="BV133" s="1919"/>
      <c r="BW133" s="1919"/>
      <c r="BX133" s="1919"/>
      <c r="BY133" s="1919"/>
      <c r="BZ133" s="1919"/>
      <c r="CA133" s="1919"/>
      <c r="CB133" s="1919"/>
      <c r="CC133" s="1919"/>
      <c r="CD133" s="1919"/>
      <c r="CE133" s="1919"/>
      <c r="CF133" s="1919"/>
      <c r="CG133" s="1919"/>
      <c r="CH133" s="1919"/>
      <c r="CI133" s="1919"/>
      <c r="CJ133" s="1919"/>
      <c r="CK133" s="1919"/>
      <c r="CL133" s="1923"/>
      <c r="CM133" s="43"/>
    </row>
    <row r="134" spans="2:91" ht="9.75" customHeight="1">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c r="AS134" s="59"/>
      <c r="AT134" s="59"/>
      <c r="AU134" s="59"/>
      <c r="AV134" s="59"/>
      <c r="AW134" s="59"/>
      <c r="AX134" s="59"/>
      <c r="AY134" s="59"/>
      <c r="AZ134" s="59"/>
      <c r="BA134" s="59"/>
      <c r="BB134" s="59"/>
      <c r="BC134" s="59"/>
      <c r="BD134" s="59"/>
      <c r="BE134" s="59"/>
      <c r="BF134" s="59"/>
      <c r="BG134" s="59"/>
      <c r="BH134" s="59"/>
      <c r="BI134" s="59"/>
      <c r="BJ134" s="59"/>
      <c r="BK134" s="59"/>
      <c r="BL134" s="59"/>
      <c r="BM134" s="59"/>
      <c r="BN134" s="59"/>
      <c r="BO134" s="59"/>
      <c r="BP134" s="59"/>
      <c r="BQ134" s="59"/>
      <c r="BR134" s="59"/>
      <c r="BS134" s="59"/>
      <c r="BT134" s="59"/>
      <c r="BU134" s="59"/>
      <c r="BV134" s="59"/>
      <c r="BW134" s="59"/>
      <c r="BX134" s="59"/>
      <c r="BY134" s="59"/>
      <c r="BZ134" s="59"/>
      <c r="CA134" s="59"/>
      <c r="CB134" s="59"/>
      <c r="CC134" s="59"/>
      <c r="CD134" s="59"/>
      <c r="CE134" s="59"/>
      <c r="CF134" s="59"/>
      <c r="CG134" s="59"/>
      <c r="CH134" s="59"/>
      <c r="CI134" s="59"/>
      <c r="CJ134" s="59"/>
      <c r="CK134" s="59"/>
      <c r="CL134" s="59"/>
      <c r="CM134" s="59"/>
    </row>
    <row r="135" spans="2:91" ht="22.5" customHeight="1">
      <c r="B135" s="1904"/>
      <c r="C135" s="1905" t="s">
        <v>798</v>
      </c>
      <c r="D135" s="1906"/>
      <c r="E135" s="1906"/>
      <c r="F135" s="1906"/>
      <c r="G135" s="1906"/>
      <c r="H135" s="1906"/>
      <c r="I135" s="1906"/>
      <c r="J135" s="1906"/>
      <c r="K135" s="1906"/>
      <c r="L135" s="1906"/>
      <c r="M135" s="1906"/>
      <c r="N135" s="1906"/>
      <c r="O135" s="1906"/>
      <c r="P135" s="1906"/>
      <c r="Q135" s="1906"/>
      <c r="R135" s="1906"/>
      <c r="S135" s="1906"/>
      <c r="T135" s="1906"/>
      <c r="U135" s="1906"/>
      <c r="V135" s="1906"/>
      <c r="W135" s="1906"/>
      <c r="X135" s="1906"/>
      <c r="Y135" s="1906"/>
      <c r="Z135" s="1906"/>
      <c r="AA135" s="1906"/>
      <c r="AB135" s="1906"/>
      <c r="AC135" s="1906"/>
      <c r="AD135" s="1906"/>
      <c r="AE135" s="1906"/>
      <c r="AF135" s="1906"/>
      <c r="AG135" s="1906"/>
      <c r="AH135" s="1906"/>
      <c r="AI135" s="1906"/>
      <c r="AJ135" s="1906"/>
      <c r="AK135" s="1906"/>
      <c r="AL135" s="1906"/>
      <c r="AM135" s="1906"/>
      <c r="AN135" s="1908"/>
      <c r="AO135" s="1904"/>
      <c r="AP135" s="3755"/>
      <c r="AQ135" s="3755"/>
      <c r="AR135" s="1906"/>
      <c r="AS135" s="176"/>
      <c r="AT135" s="1906"/>
      <c r="AU135" s="1905" t="s">
        <v>799</v>
      </c>
      <c r="AV135" s="1907"/>
      <c r="AW135" s="1907"/>
      <c r="AX135" s="1906"/>
      <c r="AY135" s="1906"/>
      <c r="AZ135" s="1906"/>
      <c r="BA135" s="1906"/>
      <c r="BB135" s="1906"/>
      <c r="BC135" s="1906"/>
      <c r="BD135" s="1906"/>
      <c r="BE135" s="1906"/>
      <c r="BF135" s="1906"/>
      <c r="BG135" s="1906"/>
      <c r="BH135" s="1906"/>
      <c r="BI135" s="1906"/>
      <c r="BJ135" s="1906"/>
      <c r="BK135" s="1906"/>
      <c r="BL135" s="1906"/>
      <c r="BM135" s="1906"/>
      <c r="BN135" s="1906"/>
      <c r="BO135" s="1906"/>
      <c r="BP135" s="1906"/>
      <c r="BQ135" s="1906"/>
      <c r="BR135" s="1906"/>
      <c r="BS135" s="1906"/>
      <c r="BT135" s="1906"/>
      <c r="BU135" s="1906"/>
      <c r="BV135" s="1906"/>
      <c r="BW135" s="1906"/>
      <c r="BX135" s="1906"/>
      <c r="BY135" s="1906"/>
      <c r="BZ135" s="1906"/>
      <c r="CA135" s="1906"/>
      <c r="CB135" s="1906"/>
      <c r="CC135" s="1906"/>
      <c r="CD135" s="1906"/>
      <c r="CE135" s="1906"/>
      <c r="CF135" s="1906"/>
      <c r="CG135" s="1906"/>
      <c r="CH135" s="1908"/>
      <c r="CI135" s="1904"/>
      <c r="CJ135" s="3755"/>
      <c r="CK135" s="3755"/>
      <c r="CL135" s="1906"/>
    </row>
    <row r="136" spans="2:91" ht="6.75" customHeight="1"/>
    <row r="137" spans="2:91" ht="9.75" customHeight="1">
      <c r="B137" s="1909"/>
      <c r="C137" s="1913"/>
      <c r="D137" s="1913"/>
      <c r="E137" s="1913"/>
      <c r="F137" s="1913"/>
      <c r="G137" s="1913"/>
      <c r="H137" s="1913"/>
      <c r="I137" s="1913"/>
      <c r="J137" s="1913"/>
      <c r="K137" s="1913"/>
      <c r="L137" s="1913"/>
      <c r="M137" s="1913"/>
      <c r="N137" s="1913"/>
      <c r="O137" s="1913"/>
      <c r="P137" s="1913"/>
      <c r="Q137" s="1913"/>
      <c r="R137" s="1913"/>
      <c r="S137" s="1913"/>
      <c r="T137" s="1913"/>
      <c r="U137" s="1913"/>
      <c r="V137" s="1913"/>
      <c r="W137" s="1913"/>
      <c r="X137" s="1913"/>
      <c r="Y137" s="1913"/>
      <c r="Z137" s="1913"/>
      <c r="AA137" s="1913"/>
      <c r="AB137" s="1913"/>
      <c r="AC137" s="1913"/>
      <c r="AD137" s="1913"/>
      <c r="AE137" s="1913"/>
      <c r="AF137" s="1913"/>
      <c r="AG137" s="1913"/>
      <c r="AH137" s="1913"/>
      <c r="AI137" s="1913"/>
      <c r="AJ137" s="1913"/>
      <c r="AK137" s="1913"/>
      <c r="AL137" s="1913"/>
      <c r="AM137" s="1913"/>
      <c r="AN137" s="1913"/>
      <c r="AO137" s="1913"/>
      <c r="AP137" s="1913"/>
      <c r="AQ137" s="1913"/>
      <c r="AR137" s="1913"/>
      <c r="AS137" s="177"/>
      <c r="AT137" s="1913"/>
      <c r="AU137" s="1913"/>
      <c r="AV137" s="1913"/>
      <c r="AW137" s="1913"/>
      <c r="AX137" s="1913"/>
      <c r="AY137" s="1913"/>
      <c r="AZ137" s="1913"/>
      <c r="BA137" s="1913"/>
      <c r="BB137" s="1913"/>
      <c r="BC137" s="1913"/>
      <c r="BD137" s="1913"/>
      <c r="BE137" s="1913"/>
      <c r="BF137" s="1913"/>
      <c r="BG137" s="1913"/>
      <c r="BH137" s="1913"/>
      <c r="BI137" s="1913"/>
      <c r="BJ137" s="1913"/>
      <c r="BK137" s="1913"/>
      <c r="BL137" s="1913"/>
      <c r="BM137" s="1913"/>
      <c r="BN137" s="1913"/>
      <c r="BO137" s="1913"/>
      <c r="BP137" s="1913"/>
      <c r="BQ137" s="1913"/>
      <c r="BR137" s="1913"/>
      <c r="BS137" s="1913"/>
      <c r="BT137" s="1913"/>
      <c r="BU137" s="1913"/>
      <c r="BV137" s="1913"/>
      <c r="BW137" s="1913"/>
      <c r="BX137" s="1913"/>
      <c r="BY137" s="1913"/>
      <c r="BZ137" s="1913"/>
      <c r="CA137" s="1913"/>
      <c r="CB137" s="1913"/>
      <c r="CC137" s="1913"/>
      <c r="CD137" s="1913"/>
      <c r="CE137" s="1913"/>
      <c r="CF137" s="1913"/>
      <c r="CG137" s="1913"/>
      <c r="CH137" s="1913"/>
      <c r="CI137" s="1913"/>
      <c r="CJ137" s="1913"/>
      <c r="CK137" s="1913"/>
      <c r="CL137" s="1920"/>
      <c r="CM137" s="43"/>
    </row>
    <row r="138" spans="2:91" ht="9.75" customHeight="1">
      <c r="B138" s="1910"/>
      <c r="C138" s="45"/>
      <c r="D138" s="46"/>
      <c r="E138" s="46"/>
      <c r="F138" s="46"/>
      <c r="G138" s="46"/>
      <c r="H138" s="46"/>
      <c r="I138" s="178"/>
      <c r="J138" s="178"/>
      <c r="K138" s="178"/>
      <c r="L138" s="178"/>
      <c r="M138" s="178"/>
      <c r="N138" s="178"/>
      <c r="O138" s="178"/>
      <c r="P138" s="178"/>
      <c r="Q138" s="178"/>
      <c r="R138" s="178"/>
      <c r="S138" s="178"/>
      <c r="T138" s="178"/>
      <c r="U138" s="178"/>
      <c r="V138" s="178"/>
      <c r="W138" s="178"/>
      <c r="X138" s="46"/>
      <c r="Y138" s="46"/>
      <c r="Z138" s="46"/>
      <c r="AA138" s="46"/>
      <c r="AB138" s="46"/>
      <c r="AC138" s="46"/>
      <c r="AD138" s="46"/>
      <c r="AE138" s="46"/>
      <c r="AF138" s="46"/>
      <c r="AG138" s="46"/>
      <c r="AH138" s="46"/>
      <c r="AI138" s="46"/>
      <c r="AJ138" s="46"/>
      <c r="AK138" s="46"/>
      <c r="AL138" s="46"/>
      <c r="AM138" s="178"/>
      <c r="AN138" s="46"/>
      <c r="AO138" s="46"/>
      <c r="AP138" s="46"/>
      <c r="AQ138" s="47"/>
      <c r="AR138" s="1929"/>
      <c r="AS138" s="177"/>
      <c r="AT138" s="1929"/>
      <c r="AU138" s="45"/>
      <c r="AV138" s="46"/>
      <c r="AW138" s="46"/>
      <c r="AX138" s="46"/>
      <c r="AY138" s="46"/>
      <c r="AZ138" s="46"/>
      <c r="BA138" s="178"/>
      <c r="BB138" s="178"/>
      <c r="BC138" s="178"/>
      <c r="BD138" s="178"/>
      <c r="BE138" s="178"/>
      <c r="BF138" s="178"/>
      <c r="BG138" s="178"/>
      <c r="BH138" s="178"/>
      <c r="BI138" s="178"/>
      <c r="BJ138" s="178"/>
      <c r="BK138" s="178"/>
      <c r="BL138" s="178"/>
      <c r="BM138" s="178"/>
      <c r="BN138" s="178"/>
      <c r="BO138" s="178"/>
      <c r="BP138" s="178"/>
      <c r="BQ138" s="46"/>
      <c r="BR138" s="46"/>
      <c r="BS138" s="46"/>
      <c r="BT138" s="46"/>
      <c r="BU138" s="46"/>
      <c r="BV138" s="46"/>
      <c r="BW138" s="46"/>
      <c r="BX138" s="46"/>
      <c r="BY138" s="46"/>
      <c r="BZ138" s="46"/>
      <c r="CA138" s="46"/>
      <c r="CB138" s="46"/>
      <c r="CC138" s="46"/>
      <c r="CD138" s="46"/>
      <c r="CE138" s="46"/>
      <c r="CF138" s="46"/>
      <c r="CG138" s="178"/>
      <c r="CH138" s="46"/>
      <c r="CI138" s="46"/>
      <c r="CJ138" s="46"/>
      <c r="CK138" s="47"/>
      <c r="CL138" s="1928"/>
      <c r="CM138" s="43"/>
    </row>
    <row r="139" spans="2:91" ht="18" customHeight="1">
      <c r="B139" s="1910"/>
      <c r="C139" s="50"/>
      <c r="D139" s="179" t="s">
        <v>800</v>
      </c>
      <c r="E139" s="179"/>
      <c r="F139" s="179"/>
      <c r="G139" s="179"/>
      <c r="H139" s="179"/>
      <c r="I139" s="180"/>
      <c r="J139" s="180"/>
      <c r="K139" s="180"/>
      <c r="L139" s="180"/>
      <c r="M139" s="180"/>
      <c r="N139" s="180"/>
      <c r="O139" s="180"/>
      <c r="P139" s="180"/>
      <c r="Q139" s="180"/>
      <c r="R139" s="180"/>
      <c r="S139" s="180"/>
      <c r="T139" s="180"/>
      <c r="U139" s="180"/>
      <c r="V139" s="180"/>
      <c r="W139" s="180"/>
      <c r="X139" s="59"/>
      <c r="Y139" s="59"/>
      <c r="Z139" s="59"/>
      <c r="AA139" s="59"/>
      <c r="AB139" s="59"/>
      <c r="AC139" s="59"/>
      <c r="AD139" s="59"/>
      <c r="AE139" s="59"/>
      <c r="AF139" s="181"/>
      <c r="AG139" s="59"/>
      <c r="AH139" s="181"/>
      <c r="AI139" s="59"/>
      <c r="AJ139" s="59"/>
      <c r="AK139" s="59"/>
      <c r="AL139" s="138"/>
      <c r="AM139" s="3652"/>
      <c r="AN139" s="3652"/>
      <c r="AO139" s="59"/>
      <c r="AP139" s="59"/>
      <c r="AQ139" s="61"/>
      <c r="AR139" s="1929"/>
      <c r="AS139" s="177"/>
      <c r="AT139" s="1929"/>
      <c r="AU139" s="50"/>
      <c r="AV139" s="179" t="s">
        <v>801</v>
      </c>
      <c r="AW139" s="179"/>
      <c r="BA139" s="180"/>
      <c r="BB139" s="180"/>
      <c r="BC139" s="180"/>
      <c r="BD139" s="180"/>
      <c r="BE139" s="180"/>
      <c r="BF139" s="180"/>
      <c r="BG139" s="180"/>
      <c r="BH139" s="180"/>
      <c r="BI139" s="180"/>
      <c r="BJ139" s="180"/>
      <c r="BK139" s="180"/>
      <c r="BL139" s="180"/>
      <c r="BM139" s="180"/>
      <c r="BN139" s="180"/>
      <c r="BO139" s="180"/>
      <c r="BP139" s="180"/>
      <c r="BQ139" s="59"/>
      <c r="BR139" s="59"/>
      <c r="BS139" s="59"/>
      <c r="BT139" s="59"/>
      <c r="BU139" s="59"/>
      <c r="BV139" s="59"/>
      <c r="BW139" s="59"/>
      <c r="BX139" s="59"/>
      <c r="BY139" s="59"/>
      <c r="BZ139" s="59"/>
      <c r="CA139" s="59"/>
      <c r="CB139" s="59"/>
      <c r="CC139" s="59"/>
      <c r="CD139" s="59"/>
      <c r="CE139" s="59"/>
      <c r="CF139" s="59"/>
      <c r="CG139" s="180"/>
      <c r="CH139" s="59"/>
      <c r="CI139" s="59"/>
      <c r="CJ139" s="59"/>
      <c r="CK139" s="61"/>
      <c r="CL139" s="1928"/>
      <c r="CM139" s="43"/>
    </row>
    <row r="140" spans="2:91" ht="6.75" customHeight="1">
      <c r="B140" s="1910"/>
      <c r="C140" s="50"/>
      <c r="D140" s="182"/>
      <c r="E140" s="182"/>
      <c r="F140" s="182"/>
      <c r="G140" s="182"/>
      <c r="H140" s="182"/>
      <c r="I140" s="180"/>
      <c r="J140" s="180"/>
      <c r="K140" s="180"/>
      <c r="L140" s="180"/>
      <c r="M140" s="180"/>
      <c r="N140" s="180"/>
      <c r="O140" s="180"/>
      <c r="P140" s="180"/>
      <c r="Q140" s="180"/>
      <c r="R140" s="180"/>
      <c r="S140" s="180"/>
      <c r="T140" s="180"/>
      <c r="U140" s="180"/>
      <c r="V140" s="180"/>
      <c r="W140" s="180"/>
      <c r="X140" s="59"/>
      <c r="Y140" s="59"/>
      <c r="Z140" s="59"/>
      <c r="AA140" s="59"/>
      <c r="AB140" s="59"/>
      <c r="AC140" s="59"/>
      <c r="AD140" s="59"/>
      <c r="AE140" s="59"/>
      <c r="AF140" s="59"/>
      <c r="AG140" s="59"/>
      <c r="AH140" s="59"/>
      <c r="AI140" s="59"/>
      <c r="AJ140" s="59"/>
      <c r="AK140" s="59"/>
      <c r="AL140" s="59"/>
      <c r="AM140" s="180"/>
      <c r="AN140" s="59"/>
      <c r="AO140" s="59"/>
      <c r="AP140" s="59"/>
      <c r="AQ140" s="61"/>
      <c r="AR140" s="1929"/>
      <c r="AS140" s="177"/>
      <c r="AT140" s="1929"/>
      <c r="AU140" s="50"/>
      <c r="AV140" s="59"/>
      <c r="AW140" s="59"/>
      <c r="AX140" s="182"/>
      <c r="AY140" s="182"/>
      <c r="AZ140" s="182"/>
      <c r="BA140" s="180"/>
      <c r="BB140" s="180"/>
      <c r="BC140" s="180"/>
      <c r="BD140" s="180"/>
      <c r="BE140" s="180"/>
      <c r="BF140" s="180"/>
      <c r="BG140" s="180"/>
      <c r="BH140" s="180"/>
      <c r="BI140" s="180"/>
      <c r="BJ140" s="180"/>
      <c r="BK140" s="180"/>
      <c r="BL140" s="180"/>
      <c r="BM140" s="180"/>
      <c r="BN140" s="180"/>
      <c r="BO140" s="180"/>
      <c r="BP140" s="180"/>
      <c r="BQ140" s="59"/>
      <c r="BR140" s="59"/>
      <c r="BS140" s="59"/>
      <c r="BT140" s="59"/>
      <c r="BU140" s="59"/>
      <c r="BV140" s="59"/>
      <c r="BW140" s="59"/>
      <c r="BX140" s="59"/>
      <c r="BY140" s="59"/>
      <c r="BZ140" s="59"/>
      <c r="CA140" s="59"/>
      <c r="CB140" s="59"/>
      <c r="CC140" s="59"/>
      <c r="CD140" s="59"/>
      <c r="CE140" s="59"/>
      <c r="CF140" s="59"/>
      <c r="CG140" s="180"/>
      <c r="CH140" s="59"/>
      <c r="CI140" s="59"/>
      <c r="CJ140" s="59"/>
      <c r="CK140" s="61"/>
      <c r="CL140" s="1928"/>
      <c r="CM140" s="43"/>
    </row>
    <row r="141" spans="2:91" ht="15" customHeight="1">
      <c r="B141" s="1910"/>
      <c r="C141" s="50"/>
      <c r="D141" s="182"/>
      <c r="E141" s="182"/>
      <c r="F141" s="182"/>
      <c r="G141" s="182"/>
      <c r="H141" s="182"/>
      <c r="J141" s="1949" t="s">
        <v>107</v>
      </c>
      <c r="K141" s="1968"/>
      <c r="L141" s="1968"/>
      <c r="M141" s="1968"/>
      <c r="N141" s="1968"/>
      <c r="O141" s="1968"/>
      <c r="P141" s="1968"/>
      <c r="Q141" s="1968"/>
      <c r="R141" s="1968"/>
      <c r="S141" s="1968"/>
      <c r="T141" s="1968"/>
      <c r="U141" s="1968"/>
      <c r="V141" s="1968"/>
      <c r="W141" s="2243" t="str">
        <f>IF(('FORMULAIRE PGA Eaux pluviales'!$H$120='MENU DÉROULANT'!$C$57),"(Aucun actif)","")</f>
        <v/>
      </c>
      <c r="X141" s="1969"/>
      <c r="Y141" s="59"/>
      <c r="Z141" s="1949" t="s">
        <v>108</v>
      </c>
      <c r="AA141" s="1968"/>
      <c r="AB141" s="1968"/>
      <c r="AC141" s="1968"/>
      <c r="AD141" s="1968"/>
      <c r="AE141" s="1968"/>
      <c r="AF141" s="1968"/>
      <c r="AG141" s="2241" t="str">
        <f>IF(('FORMULAIRE PGA Eaux pluviales'!M73='MENU DÉROULANT'!C66),"(Non applicable)","")</f>
        <v/>
      </c>
      <c r="AH141" s="2792"/>
      <c r="AI141" s="1968"/>
      <c r="AJ141" s="1968"/>
      <c r="AK141" s="1968"/>
      <c r="AL141" s="1968"/>
      <c r="AM141" s="1968"/>
      <c r="AN141" s="2243" t="str">
        <f>IF(('FORMULAIRE PGA Eaux pluviales'!$H$81='MENU DÉROULANT'!$F$57),"(Aucun actif)","")</f>
        <v/>
      </c>
      <c r="AO141" s="1968"/>
      <c r="AP141" s="1167"/>
      <c r="AQ141" s="61"/>
      <c r="AR141" s="1929"/>
      <c r="AS141" s="177"/>
      <c r="AT141" s="1929"/>
      <c r="AU141" s="50"/>
      <c r="AV141" s="59"/>
      <c r="AW141" s="59"/>
      <c r="AX141" s="182"/>
      <c r="AY141" s="182"/>
      <c r="AZ141" s="182"/>
      <c r="BC141" s="1949" t="s">
        <v>107</v>
      </c>
      <c r="BD141" s="1968"/>
      <c r="BE141" s="1968"/>
      <c r="BF141" s="1968"/>
      <c r="BG141" s="1968"/>
      <c r="BH141" s="1968"/>
      <c r="BI141" s="1968"/>
      <c r="BJ141" s="1968"/>
      <c r="BK141" s="1968"/>
      <c r="BL141" s="1968"/>
      <c r="BM141" s="1968"/>
      <c r="BN141" s="1968"/>
      <c r="BO141" s="1968"/>
      <c r="BP141" s="2243" t="str">
        <f>IF(('FORMULAIRE PGA Eaux pluviales'!$H$120='MENU DÉROULANT'!$C$57),"(Aucun actif)","")</f>
        <v/>
      </c>
      <c r="BQ141" s="1969"/>
      <c r="BR141" s="2474"/>
      <c r="BS141" s="59"/>
      <c r="BT141" s="1949" t="s">
        <v>108</v>
      </c>
      <c r="BU141" s="1968"/>
      <c r="BV141" s="1968"/>
      <c r="BW141" s="1968"/>
      <c r="BX141" s="1968"/>
      <c r="BY141" s="1968"/>
      <c r="BZ141" s="1968"/>
      <c r="CA141" s="2241" t="str">
        <f>IF(('FORMULAIRE PGA Eaux pluviales'!M73='MENU DÉROULANT'!C66),"(Non applicable)","")</f>
        <v/>
      </c>
      <c r="CB141" s="1968"/>
      <c r="CC141" s="1968"/>
      <c r="CD141" s="1968"/>
      <c r="CE141" s="1968"/>
      <c r="CF141" s="1968"/>
      <c r="CG141" s="1968"/>
      <c r="CH141" s="2243" t="str">
        <f>IF(('FORMULAIRE PGA Eaux pluviales'!$H$81='MENU DÉROULANT'!$F$57),"(Aucun actif)","")</f>
        <v/>
      </c>
      <c r="CI141" s="1968"/>
      <c r="CJ141" s="1167"/>
      <c r="CK141" s="61"/>
      <c r="CL141" s="1928"/>
      <c r="CM141" s="43"/>
    </row>
    <row r="142" spans="2:91" ht="12.75" customHeight="1">
      <c r="B142" s="1910"/>
      <c r="C142" s="50"/>
      <c r="D142" s="182"/>
      <c r="E142" s="182"/>
      <c r="F142" s="182"/>
      <c r="G142" s="182"/>
      <c r="H142" s="182"/>
      <c r="I142" s="180"/>
      <c r="J142" s="183"/>
      <c r="K142" s="183"/>
      <c r="L142" s="183"/>
      <c r="M142" s="183"/>
      <c r="N142" s="183"/>
      <c r="O142" s="183"/>
      <c r="P142" s="183"/>
      <c r="Q142" s="183"/>
      <c r="R142" s="183"/>
      <c r="S142" s="180"/>
      <c r="T142" s="180"/>
      <c r="U142" s="180"/>
      <c r="X142" s="2246" t="str">
        <f>IF(('CALCULS Eau potable'!D33='MENU DÉROULANT'!$C$31),"(Aucun actif)","")</f>
        <v/>
      </c>
      <c r="Y142" s="59"/>
      <c r="Z142" s="179"/>
      <c r="AA142" s="179"/>
      <c r="AB142" s="179"/>
      <c r="AC142" s="179"/>
      <c r="AD142" s="179"/>
      <c r="AE142" s="179"/>
      <c r="AF142" s="179"/>
      <c r="AG142" s="179"/>
      <c r="AH142" s="179"/>
      <c r="AI142" s="59"/>
      <c r="AJ142" s="59"/>
      <c r="AK142" s="59"/>
      <c r="AL142" s="3653"/>
      <c r="AM142" s="3653"/>
      <c r="AN142" s="3653"/>
      <c r="AO142" s="59"/>
      <c r="AP142" s="59"/>
      <c r="AQ142" s="61"/>
      <c r="AR142" s="1929"/>
      <c r="AS142" s="177"/>
      <c r="AT142" s="1929"/>
      <c r="AU142" s="50"/>
      <c r="AV142" s="59"/>
      <c r="AW142" s="59"/>
      <c r="AX142" s="182"/>
      <c r="AY142" s="182"/>
      <c r="AZ142" s="182"/>
      <c r="BA142" s="180"/>
      <c r="BB142" s="180"/>
      <c r="BC142" s="183"/>
      <c r="BD142" s="183"/>
      <c r="BE142" s="183"/>
      <c r="BF142" s="183"/>
      <c r="BG142" s="183"/>
      <c r="BH142" s="183"/>
      <c r="BI142" s="183"/>
      <c r="BJ142" s="183"/>
      <c r="BK142" s="183"/>
      <c r="BL142" s="180"/>
      <c r="BM142" s="180"/>
      <c r="BN142" s="180"/>
      <c r="BQ142" s="2246" t="str">
        <f>IF(('CALCULS Eau potable'!D33='MENU DÉROULANT'!$C$31),"(Aucun actif)","")</f>
        <v/>
      </c>
      <c r="BR142" s="2473"/>
      <c r="BS142" s="59"/>
      <c r="BT142" s="179"/>
      <c r="BU142" s="179"/>
      <c r="BV142" s="179"/>
      <c r="BW142" s="179"/>
      <c r="BX142" s="179"/>
      <c r="BY142" s="179"/>
      <c r="BZ142" s="179"/>
      <c r="CA142" s="179"/>
      <c r="CB142" s="179"/>
      <c r="CC142" s="59"/>
      <c r="CD142" s="59"/>
      <c r="CE142" s="59"/>
      <c r="CF142" s="3653"/>
      <c r="CG142" s="3653"/>
      <c r="CH142" s="3653"/>
      <c r="CI142" s="59"/>
      <c r="CJ142" s="59"/>
      <c r="CK142" s="61"/>
      <c r="CL142" s="1928"/>
      <c r="CM142" s="43"/>
    </row>
    <row r="143" spans="2:91" ht="15.75" customHeight="1">
      <c r="B143" s="1910"/>
      <c r="C143" s="50"/>
      <c r="D143" s="3661" t="s">
        <v>803</v>
      </c>
      <c r="E143" s="3661"/>
      <c r="F143" s="3661"/>
      <c r="G143" s="3661"/>
      <c r="H143" s="3661"/>
      <c r="I143" s="3654" t="s">
        <v>95</v>
      </c>
      <c r="J143" s="3654"/>
      <c r="K143" s="3654"/>
      <c r="L143" s="3654"/>
      <c r="M143" s="183"/>
      <c r="N143" s="3655" t="str">
        <f>'CALCULS Eaux pluviales'!E331</f>
        <v/>
      </c>
      <c r="O143" s="3656"/>
      <c r="P143" s="3656"/>
      <c r="Q143" s="3657" t="s">
        <v>491</v>
      </c>
      <c r="R143" s="3658"/>
      <c r="S143" s="3659"/>
      <c r="T143" s="185"/>
      <c r="U143" s="184"/>
      <c r="Y143" s="3654" t="s">
        <v>95</v>
      </c>
      <c r="Z143" s="3654"/>
      <c r="AA143" s="3654"/>
      <c r="AB143" s="3654"/>
      <c r="AC143" s="183"/>
      <c r="AD143" s="3655" t="str">
        <f>'CALCULS Eaux pluviales'!E332</f>
        <v/>
      </c>
      <c r="AE143" s="3656"/>
      <c r="AF143" s="3656"/>
      <c r="AG143" s="3657" t="s">
        <v>491</v>
      </c>
      <c r="AH143" s="3658"/>
      <c r="AI143" s="3659"/>
      <c r="AJ143" s="23"/>
      <c r="AK143" s="186"/>
      <c r="AL143" s="3660"/>
      <c r="AM143" s="3660"/>
      <c r="AN143" s="3660"/>
      <c r="AO143" s="23"/>
      <c r="AP143" s="27"/>
      <c r="AQ143" s="61"/>
      <c r="AR143" s="1929"/>
      <c r="AS143" s="177"/>
      <c r="AT143" s="1929"/>
      <c r="AU143" s="50"/>
      <c r="AV143" s="3661" t="s">
        <v>803</v>
      </c>
      <c r="AW143" s="3661"/>
      <c r="AX143" s="3661"/>
      <c r="AY143" s="3661"/>
      <c r="AZ143" s="3661"/>
      <c r="BA143" s="3654" t="s">
        <v>95</v>
      </c>
      <c r="BB143" s="3654"/>
      <c r="BC143" s="3654"/>
      <c r="BD143" s="3654"/>
      <c r="BE143" s="3654"/>
      <c r="BF143" s="183"/>
      <c r="BG143" s="3655" t="str">
        <f>'CALCULS Eaux pluviales'!E343</f>
        <v/>
      </c>
      <c r="BH143" s="3656"/>
      <c r="BI143" s="3656"/>
      <c r="BJ143" s="3657" t="s">
        <v>491</v>
      </c>
      <c r="BK143" s="3658"/>
      <c r="BL143" s="3659"/>
      <c r="BM143" s="185"/>
      <c r="BN143" s="184"/>
      <c r="BS143" s="3654" t="s">
        <v>95</v>
      </c>
      <c r="BT143" s="3654"/>
      <c r="BU143" s="3654"/>
      <c r="BV143" s="3654"/>
      <c r="BW143" s="183"/>
      <c r="BX143" s="3655" t="str">
        <f>'CALCULS Eaux pluviales'!E344</f>
        <v/>
      </c>
      <c r="BY143" s="3656"/>
      <c r="BZ143" s="3656"/>
      <c r="CA143" s="3657" t="s">
        <v>491</v>
      </c>
      <c r="CB143" s="3658"/>
      <c r="CC143" s="3659"/>
      <c r="CD143" s="23"/>
      <c r="CE143" s="186"/>
      <c r="CF143" s="3660"/>
      <c r="CG143" s="3660"/>
      <c r="CH143" s="3660"/>
      <c r="CI143" s="23"/>
      <c r="CJ143" s="27"/>
      <c r="CK143" s="61"/>
      <c r="CL143" s="1928"/>
      <c r="CM143" s="43"/>
    </row>
    <row r="144" spans="2:91" ht="9.75" customHeight="1">
      <c r="B144" s="1910"/>
      <c r="C144" s="50"/>
      <c r="D144" s="3661"/>
      <c r="E144" s="3661"/>
      <c r="F144" s="3661"/>
      <c r="G144" s="3661"/>
      <c r="H144" s="3661"/>
      <c r="AO144" s="23"/>
      <c r="AP144" s="27"/>
      <c r="AQ144" s="61"/>
      <c r="AR144" s="1929"/>
      <c r="AS144" s="177"/>
      <c r="AT144" s="1929"/>
      <c r="AU144" s="50"/>
      <c r="AV144" s="3661"/>
      <c r="AW144" s="3661"/>
      <c r="AX144" s="3661"/>
      <c r="AY144" s="3661"/>
      <c r="AZ144" s="3661"/>
      <c r="CJ144" s="27"/>
      <c r="CK144" s="61"/>
      <c r="CL144" s="1928"/>
      <c r="CM144" s="43"/>
    </row>
    <row r="145" spans="2:91" ht="15" customHeight="1">
      <c r="B145" s="1910"/>
      <c r="C145" s="50"/>
      <c r="D145" s="3661"/>
      <c r="E145" s="3661"/>
      <c r="F145" s="3661"/>
      <c r="G145" s="3661"/>
      <c r="H145" s="3661"/>
      <c r="I145" s="187"/>
      <c r="J145" s="1169" t="str">
        <f>IF('CALCULS Eaux pluviales'!E326&gt;0,"p","")</f>
        <v/>
      </c>
      <c r="K145" s="22"/>
      <c r="L145" s="1169" t="str">
        <f>IF('CALCULS Eaux pluviales'!F326&gt;0,"p","")</f>
        <v/>
      </c>
      <c r="M145" s="21"/>
      <c r="N145" s="1169" t="str">
        <f>IF('CALCULS Eaux pluviales'!G326&gt;0,"p","")</f>
        <v/>
      </c>
      <c r="O145" s="21"/>
      <c r="P145" s="1169" t="str">
        <f>IF('CALCULS Eaux pluviales'!H326&gt;0,"p","")</f>
        <v/>
      </c>
      <c r="Q145" s="21"/>
      <c r="R145" s="1169" t="str">
        <f>IF('CALCULS Eaux pluviales'!I326&gt;0,"p","")</f>
        <v/>
      </c>
      <c r="S145" s="21"/>
      <c r="T145" s="1169" t="str">
        <f>IF('CALCULS Eaux pluviales'!J326&gt;0,"p","")</f>
        <v/>
      </c>
      <c r="U145" s="21"/>
      <c r="V145" s="1169" t="str">
        <f>IF('CALCULS Eaux pluviales'!K326&gt;0,"p","")</f>
        <v/>
      </c>
      <c r="W145" s="21"/>
      <c r="X145" s="21"/>
      <c r="Z145" s="1169" t="str">
        <f>IF('CALCULS Eaux pluviales'!E328&gt;0,"p","")</f>
        <v/>
      </c>
      <c r="AA145" s="22"/>
      <c r="AB145" s="1169" t="str">
        <f>IF('CALCULS Eaux pluviales'!F328&gt;0,"p","")</f>
        <v/>
      </c>
      <c r="AC145" s="21"/>
      <c r="AD145" s="1169" t="str">
        <f>IF('CALCULS Eaux pluviales'!G328&gt;0,"p","")</f>
        <v/>
      </c>
      <c r="AE145" s="21"/>
      <c r="AF145" s="1169" t="str">
        <f>IF('CALCULS Eaux pluviales'!H328&gt;0,"p","")</f>
        <v/>
      </c>
      <c r="AG145" s="21"/>
      <c r="AH145" s="1169" t="str">
        <f>IF('CALCULS Eaux pluviales'!I328&gt;0,"p","")</f>
        <v/>
      </c>
      <c r="AI145" s="21"/>
      <c r="AJ145" s="1169" t="str">
        <f>IF('CALCULS Eaux pluviales'!J328&gt;0,"p","")</f>
        <v/>
      </c>
      <c r="AK145" s="21"/>
      <c r="AL145" s="1169" t="str">
        <f>IF('CALCULS Eaux pluviales'!K328&gt;0,"p","")</f>
        <v/>
      </c>
      <c r="AM145" s="21"/>
      <c r="AN145" s="21"/>
      <c r="AO145" s="23"/>
      <c r="AP145" s="27"/>
      <c r="AQ145" s="61"/>
      <c r="AR145" s="1929"/>
      <c r="AS145" s="177"/>
      <c r="AT145" s="1929"/>
      <c r="AU145" s="50"/>
      <c r="AV145" s="3661"/>
      <c r="AW145" s="3661"/>
      <c r="AX145" s="3661"/>
      <c r="AY145" s="3661"/>
      <c r="AZ145" s="3661"/>
      <c r="BA145" s="187"/>
      <c r="BB145" s="187"/>
      <c r="BC145" s="1170" t="str">
        <f>IF('CALCULS Eaux pluviales'!E338&gt;0,"p","")</f>
        <v/>
      </c>
      <c r="BD145" s="470"/>
      <c r="BE145" s="1170" t="str">
        <f>IF('CALCULS Eaux pluviales'!F338&gt;0,"p","")</f>
        <v/>
      </c>
      <c r="BF145" s="469"/>
      <c r="BG145" s="1170" t="str">
        <f>IF('CALCULS Eaux pluviales'!G338&gt;0,"p","")</f>
        <v/>
      </c>
      <c r="BH145" s="469"/>
      <c r="BI145" s="1170" t="str">
        <f>IF('CALCULS Eaux pluviales'!H338&gt;0,"p","")</f>
        <v/>
      </c>
      <c r="BJ145" s="469"/>
      <c r="BK145" s="1170" t="str">
        <f>IF('CALCULS Eaux pluviales'!I338&gt;0,"p","")</f>
        <v/>
      </c>
      <c r="BL145" s="469"/>
      <c r="BM145" s="1170" t="str">
        <f>IF('CALCULS Eaux pluviales'!J338&gt;0,"p","")</f>
        <v/>
      </c>
      <c r="BN145" s="469"/>
      <c r="BO145" s="1170" t="str">
        <f>IF('CALCULS Eaux pluviales'!K338&gt;0,"p","")</f>
        <v/>
      </c>
      <c r="BP145" s="469"/>
      <c r="BQ145" s="469"/>
      <c r="BR145" s="469"/>
      <c r="BT145" s="1170" t="str">
        <f>IF('CALCULS Eaux pluviales'!E340&gt;0,"p","")</f>
        <v/>
      </c>
      <c r="BU145" s="470"/>
      <c r="BV145" s="1170" t="str">
        <f>IF('CALCULS Eaux pluviales'!F340&gt;0,"p","")</f>
        <v/>
      </c>
      <c r="BW145" s="469"/>
      <c r="BX145" s="1170" t="str">
        <f>IF('CALCULS Eaux pluviales'!G340&gt;0,"p","")</f>
        <v/>
      </c>
      <c r="BY145" s="469"/>
      <c r="BZ145" s="1170" t="str">
        <f>IF('CALCULS Eaux pluviales'!H340&gt;0,"p","")</f>
        <v/>
      </c>
      <c r="CA145" s="469"/>
      <c r="CB145" s="1170" t="str">
        <f>IF('CALCULS Eaux pluviales'!I340&gt;0,"p","")</f>
        <v/>
      </c>
      <c r="CC145" s="469"/>
      <c r="CD145" s="1170" t="str">
        <f>IF('CALCULS Eaux pluviales'!J340&gt;0,"p","")</f>
        <v/>
      </c>
      <c r="CE145" s="469"/>
      <c r="CF145" s="1170" t="str">
        <f>IF('CALCULS Eaux pluviales'!K340&gt;0,"p","")</f>
        <v/>
      </c>
      <c r="CG145" s="26"/>
      <c r="CH145" s="27"/>
      <c r="CI145" s="23"/>
      <c r="CJ145" s="27"/>
      <c r="CK145" s="61"/>
      <c r="CL145" s="1928"/>
      <c r="CM145" s="43"/>
    </row>
    <row r="146" spans="2:91" ht="3.75" customHeight="1">
      <c r="B146" s="1910"/>
      <c r="C146" s="50"/>
      <c r="D146" s="3668"/>
      <c r="E146" s="3668"/>
      <c r="F146" s="3668"/>
      <c r="G146" s="3668"/>
      <c r="H146" s="3668"/>
      <c r="I146" s="3668"/>
      <c r="AO146" s="23"/>
      <c r="AP146" s="27"/>
      <c r="AQ146" s="61"/>
      <c r="AR146" s="1929"/>
      <c r="AS146" s="177"/>
      <c r="AT146" s="1929"/>
      <c r="AU146" s="50"/>
      <c r="AV146" s="59"/>
      <c r="AW146" s="59"/>
      <c r="AX146" s="3668"/>
      <c r="AY146" s="3668"/>
      <c r="AZ146" s="3668"/>
      <c r="BA146" s="3668"/>
      <c r="BB146" s="2844"/>
      <c r="CI146" s="23"/>
      <c r="CJ146" s="27"/>
      <c r="CK146" s="61"/>
      <c r="CL146" s="1928"/>
      <c r="CM146" s="43"/>
    </row>
    <row r="147" spans="2:91" ht="14.25" customHeight="1">
      <c r="B147" s="1910"/>
      <c r="C147" s="50"/>
      <c r="D147" s="2425" t="s">
        <v>207</v>
      </c>
      <c r="E147" s="1171"/>
      <c r="F147" s="1171"/>
      <c r="G147" s="1171"/>
      <c r="H147" s="1171"/>
      <c r="I147" s="23"/>
      <c r="J147" s="23"/>
      <c r="K147" s="23"/>
      <c r="L147" s="23"/>
      <c r="M147" s="23"/>
      <c r="N147" s="23"/>
      <c r="O147" s="23"/>
      <c r="P147" s="23"/>
      <c r="Q147" s="23"/>
      <c r="R147" s="23"/>
      <c r="S147" s="23"/>
      <c r="T147" s="23"/>
      <c r="U147" s="23"/>
      <c r="V147" s="23"/>
      <c r="W147" s="23"/>
      <c r="X147" s="23"/>
      <c r="Z147" s="23"/>
      <c r="AA147" s="23"/>
      <c r="AB147" s="23"/>
      <c r="AC147" s="23"/>
      <c r="AD147" s="23"/>
      <c r="AE147" s="23"/>
      <c r="AF147" s="23"/>
      <c r="AG147" s="23"/>
      <c r="AH147" s="23"/>
      <c r="AI147" s="23"/>
      <c r="AJ147" s="23"/>
      <c r="AK147" s="23"/>
      <c r="AL147" s="23"/>
      <c r="AM147" s="23"/>
      <c r="AO147" s="23"/>
      <c r="AQ147" s="61"/>
      <c r="AR147" s="1929"/>
      <c r="AS147" s="177"/>
      <c r="AT147" s="1929"/>
      <c r="AU147" s="50"/>
      <c r="AV147" s="3662" t="s">
        <v>196</v>
      </c>
      <c r="AW147" s="3662"/>
      <c r="AX147" s="3662"/>
      <c r="AY147" s="3662"/>
      <c r="AZ147" s="2839"/>
      <c r="BA147" s="23"/>
      <c r="BB147" s="23"/>
      <c r="BC147" s="23"/>
      <c r="BD147" s="23"/>
      <c r="BE147" s="23"/>
      <c r="BF147" s="23"/>
      <c r="BG147" s="23"/>
      <c r="BH147" s="23"/>
      <c r="BI147" s="23"/>
      <c r="BJ147" s="23"/>
      <c r="BK147" s="23"/>
      <c r="BL147" s="23"/>
      <c r="BM147" s="23"/>
      <c r="BN147" s="23"/>
      <c r="BO147" s="23"/>
      <c r="BP147" s="23"/>
      <c r="BQ147" s="23"/>
      <c r="BR147" s="23"/>
      <c r="BT147" s="23"/>
      <c r="BU147" s="23"/>
      <c r="BV147" s="23"/>
      <c r="BW147" s="23"/>
      <c r="BX147" s="23"/>
      <c r="BY147" s="23"/>
      <c r="BZ147" s="23"/>
      <c r="CA147" s="23"/>
      <c r="CB147" s="23"/>
      <c r="CC147" s="23"/>
      <c r="CD147" s="23"/>
      <c r="CE147" s="23"/>
      <c r="CF147" s="23"/>
      <c r="CG147" s="23"/>
      <c r="CI147" s="23"/>
      <c r="CK147" s="61"/>
      <c r="CL147" s="1928"/>
      <c r="CM147" s="43"/>
    </row>
    <row r="148" spans="2:91" ht="14.25" customHeight="1">
      <c r="B148" s="1910"/>
      <c r="C148" s="50"/>
      <c r="D148" s="2426" t="s">
        <v>205</v>
      </c>
      <c r="E148" s="1172"/>
      <c r="F148" s="1172"/>
      <c r="G148" s="1172"/>
      <c r="H148" s="1172"/>
      <c r="I148" s="23"/>
      <c r="J148" s="23"/>
      <c r="K148" s="23"/>
      <c r="L148" s="23"/>
      <c r="M148" s="23"/>
      <c r="N148" s="23"/>
      <c r="O148" s="23"/>
      <c r="P148" s="23"/>
      <c r="Q148" s="23"/>
      <c r="R148" s="23"/>
      <c r="S148" s="23"/>
      <c r="T148" s="23"/>
      <c r="U148" s="23"/>
      <c r="V148" s="23"/>
      <c r="W148" s="23"/>
      <c r="X148" s="23"/>
      <c r="Z148" s="23"/>
      <c r="AA148" s="23"/>
      <c r="AB148" s="23"/>
      <c r="AC148" s="23"/>
      <c r="AD148" s="23"/>
      <c r="AE148" s="23"/>
      <c r="AF148" s="23"/>
      <c r="AG148" s="23"/>
      <c r="AH148" s="23"/>
      <c r="AI148" s="23"/>
      <c r="AJ148" s="23"/>
      <c r="AK148" s="23"/>
      <c r="AL148" s="23"/>
      <c r="AM148" s="23"/>
      <c r="AN148" s="191"/>
      <c r="AO148" s="23"/>
      <c r="AP148" s="191"/>
      <c r="AQ148" s="61"/>
      <c r="AR148" s="1929"/>
      <c r="AS148" s="177"/>
      <c r="AT148" s="1929"/>
      <c r="AU148" s="50"/>
      <c r="AV148" s="3663" t="s">
        <v>194</v>
      </c>
      <c r="AW148" s="3663"/>
      <c r="AX148" s="3663"/>
      <c r="AY148" s="3663"/>
      <c r="AZ148" s="2840"/>
      <c r="BA148" s="23"/>
      <c r="BB148" s="23"/>
      <c r="BC148" s="23"/>
      <c r="BD148" s="23"/>
      <c r="BE148" s="23"/>
      <c r="BF148" s="23"/>
      <c r="BG148" s="23"/>
      <c r="BH148" s="23"/>
      <c r="BI148" s="23"/>
      <c r="BJ148" s="23"/>
      <c r="BK148" s="23"/>
      <c r="BL148" s="23"/>
      <c r="BM148" s="23"/>
      <c r="BN148" s="23"/>
      <c r="BO148" s="23"/>
      <c r="BP148" s="23"/>
      <c r="BQ148" s="23"/>
      <c r="BR148" s="23"/>
      <c r="BT148" s="23"/>
      <c r="BU148" s="23"/>
      <c r="BV148" s="23"/>
      <c r="BW148" s="23"/>
      <c r="BX148" s="23"/>
      <c r="BY148" s="23"/>
      <c r="BZ148" s="23"/>
      <c r="CA148" s="23"/>
      <c r="CB148" s="23"/>
      <c r="CC148" s="23"/>
      <c r="CD148" s="23"/>
      <c r="CE148" s="23"/>
      <c r="CF148" s="23"/>
      <c r="CG148" s="23"/>
      <c r="CH148" s="191"/>
      <c r="CI148" s="23"/>
      <c r="CJ148" s="191"/>
      <c r="CK148" s="61"/>
      <c r="CL148" s="1928"/>
      <c r="CM148" s="43"/>
    </row>
    <row r="149" spans="2:91" ht="14.25" customHeight="1">
      <c r="B149" s="1910"/>
      <c r="C149" s="50"/>
      <c r="D149" s="2427" t="s">
        <v>203</v>
      </c>
      <c r="E149" s="1173"/>
      <c r="F149" s="1173"/>
      <c r="G149" s="1173"/>
      <c r="H149" s="1173"/>
      <c r="I149" s="23"/>
      <c r="J149" s="23"/>
      <c r="K149" s="23"/>
      <c r="L149" s="23"/>
      <c r="M149" s="23"/>
      <c r="N149" s="23"/>
      <c r="O149" s="23"/>
      <c r="P149" s="23"/>
      <c r="Q149" s="23"/>
      <c r="R149" s="23"/>
      <c r="S149" s="23"/>
      <c r="T149" s="23"/>
      <c r="U149" s="23"/>
      <c r="V149" s="194"/>
      <c r="W149" s="194"/>
      <c r="X149" s="23"/>
      <c r="Z149" s="23"/>
      <c r="AA149" s="23"/>
      <c r="AB149" s="23"/>
      <c r="AC149" s="23"/>
      <c r="AD149" s="23"/>
      <c r="AE149" s="23"/>
      <c r="AF149" s="23"/>
      <c r="AG149" s="23"/>
      <c r="AH149" s="23"/>
      <c r="AI149" s="23"/>
      <c r="AJ149" s="23"/>
      <c r="AK149" s="23"/>
      <c r="AL149" s="194"/>
      <c r="AM149" s="194"/>
      <c r="AN149" s="195"/>
      <c r="AO149" s="194"/>
      <c r="AP149" s="195"/>
      <c r="AQ149" s="61"/>
      <c r="AR149" s="1929"/>
      <c r="AS149" s="177"/>
      <c r="AT149" s="1929"/>
      <c r="AU149" s="50"/>
      <c r="AV149" s="3664" t="s">
        <v>192</v>
      </c>
      <c r="AW149" s="3664"/>
      <c r="AX149" s="3664"/>
      <c r="AY149" s="3664"/>
      <c r="AZ149" s="2841"/>
      <c r="BA149" s="23"/>
      <c r="BB149" s="23"/>
      <c r="BC149" s="23"/>
      <c r="BD149" s="23"/>
      <c r="BE149" s="23"/>
      <c r="BF149" s="23"/>
      <c r="BG149" s="23"/>
      <c r="BH149" s="23"/>
      <c r="BI149" s="23"/>
      <c r="BJ149" s="23"/>
      <c r="BK149" s="23"/>
      <c r="BL149" s="23"/>
      <c r="BM149" s="23"/>
      <c r="BN149" s="23"/>
      <c r="BO149" s="194"/>
      <c r="BP149" s="194"/>
      <c r="BQ149" s="23"/>
      <c r="BR149" s="23"/>
      <c r="BT149" s="23"/>
      <c r="BU149" s="23"/>
      <c r="BV149" s="23"/>
      <c r="BW149" s="23"/>
      <c r="BX149" s="23"/>
      <c r="BY149" s="23"/>
      <c r="BZ149" s="23"/>
      <c r="CA149" s="23"/>
      <c r="CB149" s="23"/>
      <c r="CC149" s="23"/>
      <c r="CD149" s="23"/>
      <c r="CE149" s="23"/>
      <c r="CF149" s="194"/>
      <c r="CG149" s="194"/>
      <c r="CH149" s="195"/>
      <c r="CI149" s="194"/>
      <c r="CJ149" s="195"/>
      <c r="CK149" s="61"/>
      <c r="CL149" s="1928"/>
      <c r="CM149" s="43"/>
    </row>
    <row r="150" spans="2:91" ht="14.25" customHeight="1">
      <c r="B150" s="1910"/>
      <c r="C150" s="50"/>
      <c r="D150" s="2428" t="s">
        <v>201</v>
      </c>
      <c r="E150" s="1174"/>
      <c r="F150" s="1174"/>
      <c r="G150" s="1174"/>
      <c r="H150" s="1174"/>
      <c r="I150" s="23"/>
      <c r="J150" s="23"/>
      <c r="K150" s="23"/>
      <c r="L150" s="23"/>
      <c r="M150" s="23"/>
      <c r="N150" s="23"/>
      <c r="O150" s="23"/>
      <c r="P150" s="23"/>
      <c r="Q150" s="23"/>
      <c r="R150" s="23"/>
      <c r="S150" s="23"/>
      <c r="T150" s="23"/>
      <c r="U150" s="23"/>
      <c r="V150" s="198"/>
      <c r="W150" s="198"/>
      <c r="X150" s="23"/>
      <c r="Y150" s="55"/>
      <c r="Z150" s="23"/>
      <c r="AA150" s="23"/>
      <c r="AB150" s="23"/>
      <c r="AC150" s="23"/>
      <c r="AD150" s="23"/>
      <c r="AE150" s="23"/>
      <c r="AF150" s="23"/>
      <c r="AG150" s="23"/>
      <c r="AH150" s="23"/>
      <c r="AI150" s="23"/>
      <c r="AJ150" s="23"/>
      <c r="AK150" s="23"/>
      <c r="AL150" s="198"/>
      <c r="AM150" s="198"/>
      <c r="AN150" s="59"/>
      <c r="AO150" s="198"/>
      <c r="AP150" s="59"/>
      <c r="AQ150" s="61"/>
      <c r="AR150" s="1929"/>
      <c r="AS150" s="177"/>
      <c r="AT150" s="1929"/>
      <c r="AU150" s="50"/>
      <c r="AV150" s="3665" t="s">
        <v>190</v>
      </c>
      <c r="AW150" s="3665"/>
      <c r="AX150" s="3665"/>
      <c r="AY150" s="3665"/>
      <c r="AZ150" s="2842"/>
      <c r="BA150" s="23"/>
      <c r="BB150" s="23"/>
      <c r="BC150" s="23"/>
      <c r="BD150" s="23"/>
      <c r="BE150" s="23"/>
      <c r="BF150" s="23"/>
      <c r="BG150" s="23"/>
      <c r="BH150" s="23"/>
      <c r="BI150" s="23"/>
      <c r="BJ150" s="23"/>
      <c r="BK150" s="23"/>
      <c r="BL150" s="23"/>
      <c r="BM150" s="23"/>
      <c r="BN150" s="23"/>
      <c r="BO150" s="198"/>
      <c r="BP150" s="198"/>
      <c r="BQ150" s="23"/>
      <c r="BR150" s="23"/>
      <c r="BS150" s="55"/>
      <c r="BT150" s="23"/>
      <c r="BU150" s="23"/>
      <c r="BV150" s="23"/>
      <c r="BW150" s="23"/>
      <c r="BX150" s="23"/>
      <c r="BY150" s="23"/>
      <c r="BZ150" s="23"/>
      <c r="CA150" s="23"/>
      <c r="CB150" s="23"/>
      <c r="CC150" s="23"/>
      <c r="CD150" s="23"/>
      <c r="CE150" s="23"/>
      <c r="CF150" s="198"/>
      <c r="CG150" s="198"/>
      <c r="CH150" s="59"/>
      <c r="CI150" s="198"/>
      <c r="CJ150" s="59"/>
      <c r="CK150" s="61"/>
      <c r="CL150" s="1928"/>
      <c r="CM150" s="43"/>
    </row>
    <row r="151" spans="2:91" ht="14.25" customHeight="1">
      <c r="B151" s="1910"/>
      <c r="C151" s="50"/>
      <c r="D151" s="2429" t="s">
        <v>198</v>
      </c>
      <c r="E151" s="200"/>
      <c r="F151" s="200"/>
      <c r="G151" s="200"/>
      <c r="H151" s="200"/>
      <c r="I151" s="201"/>
      <c r="J151" s="201"/>
      <c r="K151" s="201"/>
      <c r="L151" s="201"/>
      <c r="M151" s="201"/>
      <c r="N151" s="201"/>
      <c r="O151" s="201"/>
      <c r="P151" s="201"/>
      <c r="Q151" s="201"/>
      <c r="R151" s="201"/>
      <c r="S151" s="201"/>
      <c r="T151" s="201"/>
      <c r="U151" s="201"/>
      <c r="V151" s="201"/>
      <c r="W151" s="201"/>
      <c r="X151" s="201"/>
      <c r="Y151" s="202"/>
      <c r="Z151" s="201"/>
      <c r="AA151" s="201"/>
      <c r="AB151" s="201"/>
      <c r="AC151" s="201"/>
      <c r="AD151" s="201"/>
      <c r="AE151" s="201"/>
      <c r="AF151" s="201"/>
      <c r="AG151" s="201"/>
      <c r="AH151" s="201"/>
      <c r="AI151" s="201"/>
      <c r="AJ151" s="201"/>
      <c r="AK151" s="201"/>
      <c r="AL151" s="201"/>
      <c r="AM151" s="201"/>
      <c r="AN151" s="202"/>
      <c r="AO151" s="201"/>
      <c r="AP151" s="202"/>
      <c r="AQ151" s="61"/>
      <c r="AR151" s="1929"/>
      <c r="AS151" s="177"/>
      <c r="AT151" s="1929"/>
      <c r="AU151" s="50"/>
      <c r="AV151" s="3666" t="s">
        <v>187</v>
      </c>
      <c r="AW151" s="3666"/>
      <c r="AX151" s="3666"/>
      <c r="AY151" s="3666"/>
      <c r="AZ151" s="2843"/>
      <c r="BA151" s="446"/>
      <c r="BB151" s="446"/>
      <c r="BC151" s="446"/>
      <c r="BD151" s="446"/>
      <c r="BE151" s="446"/>
      <c r="BF151" s="446"/>
      <c r="BG151" s="446"/>
      <c r="BH151" s="446"/>
      <c r="BI151" s="446"/>
      <c r="BJ151" s="446"/>
      <c r="BK151" s="446"/>
      <c r="BL151" s="446"/>
      <c r="BM151" s="446"/>
      <c r="BN151" s="446"/>
      <c r="BO151" s="446"/>
      <c r="BP151" s="446"/>
      <c r="BQ151" s="446"/>
      <c r="BR151" s="446"/>
      <c r="BS151" s="447"/>
      <c r="BT151" s="446"/>
      <c r="BU151" s="446"/>
      <c r="BV151" s="446"/>
      <c r="BW151" s="446"/>
      <c r="BX151" s="446"/>
      <c r="BY151" s="446"/>
      <c r="BZ151" s="446"/>
      <c r="CA151" s="446"/>
      <c r="CB151" s="446"/>
      <c r="CC151" s="446"/>
      <c r="CD151" s="446"/>
      <c r="CE151" s="446"/>
      <c r="CF151" s="446"/>
      <c r="CG151" s="446"/>
      <c r="CH151" s="447"/>
      <c r="CI151" s="446"/>
      <c r="CJ151" s="447"/>
      <c r="CK151" s="61"/>
      <c r="CL151" s="1928"/>
      <c r="CM151" s="43"/>
    </row>
    <row r="152" spans="2:91" ht="4.5" customHeight="1">
      <c r="B152" s="1910"/>
      <c r="C152" s="50"/>
      <c r="D152" s="3667"/>
      <c r="E152" s="3667"/>
      <c r="F152" s="3667"/>
      <c r="G152" s="3667"/>
      <c r="H152" s="3667"/>
      <c r="I152" s="3667"/>
      <c r="J152" s="464"/>
      <c r="K152" s="466"/>
      <c r="L152" s="464"/>
      <c r="M152" s="466"/>
      <c r="N152" s="464"/>
      <c r="O152" s="466"/>
      <c r="P152" s="464"/>
      <c r="Q152" s="466"/>
      <c r="R152" s="464"/>
      <c r="S152" s="466"/>
      <c r="T152" s="464"/>
      <c r="U152" s="466"/>
      <c r="V152" s="464"/>
      <c r="W152" s="467"/>
      <c r="X152" s="464"/>
      <c r="Z152" s="464"/>
      <c r="AA152" s="466"/>
      <c r="AB152" s="464"/>
      <c r="AC152" s="466"/>
      <c r="AD152" s="464"/>
      <c r="AE152" s="466"/>
      <c r="AF152" s="464"/>
      <c r="AG152" s="466"/>
      <c r="AH152" s="464"/>
      <c r="AI152" s="466"/>
      <c r="AJ152" s="464"/>
      <c r="AK152" s="466"/>
      <c r="AL152" s="464"/>
      <c r="AM152" s="467"/>
      <c r="AN152" s="465"/>
      <c r="AO152" s="467"/>
      <c r="AP152" s="468"/>
      <c r="AQ152" s="204"/>
      <c r="AR152" s="1930"/>
      <c r="AS152" s="206"/>
      <c r="AT152" s="1930"/>
      <c r="AU152" s="207"/>
      <c r="AV152" s="3652"/>
      <c r="AW152" s="3652"/>
      <c r="AX152" s="3652"/>
      <c r="AY152" s="3652"/>
      <c r="AZ152" s="3652"/>
      <c r="BA152" s="3652"/>
      <c r="BB152" s="2838"/>
      <c r="BC152" s="23"/>
      <c r="BD152" s="203"/>
      <c r="BE152" s="23"/>
      <c r="BF152" s="203"/>
      <c r="BG152" s="23"/>
      <c r="BH152" s="203"/>
      <c r="BI152" s="23"/>
      <c r="BJ152" s="203"/>
      <c r="BK152" s="23"/>
      <c r="BL152" s="203"/>
      <c r="BM152" s="23"/>
      <c r="BN152" s="203"/>
      <c r="BO152" s="23"/>
      <c r="BP152" s="26"/>
      <c r="BQ152" s="23"/>
      <c r="BR152" s="23"/>
      <c r="BT152" s="23"/>
      <c r="BU152" s="203"/>
      <c r="BV152" s="23"/>
      <c r="BW152" s="203"/>
      <c r="BX152" s="23"/>
      <c r="BY152" s="203"/>
      <c r="BZ152" s="23"/>
      <c r="CA152" s="203"/>
      <c r="CB152" s="23"/>
      <c r="CC152" s="203"/>
      <c r="CD152" s="23"/>
      <c r="CE152" s="203"/>
      <c r="CF152" s="23"/>
      <c r="CG152" s="26"/>
      <c r="CH152" s="59"/>
      <c r="CI152" s="26"/>
      <c r="CJ152" s="180"/>
      <c r="CK152" s="61"/>
      <c r="CL152" s="1928"/>
      <c r="CM152" s="43"/>
    </row>
    <row r="153" spans="2:91" ht="33" customHeight="1">
      <c r="B153" s="1910"/>
      <c r="C153" s="50"/>
      <c r="D153" s="3671"/>
      <c r="E153" s="3671"/>
      <c r="F153" s="3671"/>
      <c r="G153" s="3671"/>
      <c r="H153" s="3671"/>
      <c r="I153" s="3671"/>
      <c r="J153" s="3669" t="s">
        <v>87</v>
      </c>
      <c r="K153" s="203"/>
      <c r="L153" s="3669" t="s">
        <v>804</v>
      </c>
      <c r="M153" s="203"/>
      <c r="N153" s="3669" t="s">
        <v>89</v>
      </c>
      <c r="O153" s="203"/>
      <c r="P153" s="3669" t="s">
        <v>90</v>
      </c>
      <c r="Q153" s="203"/>
      <c r="R153" s="3669" t="s">
        <v>91</v>
      </c>
      <c r="S153" s="203"/>
      <c r="T153" s="3669" t="s">
        <v>92</v>
      </c>
      <c r="U153" s="203"/>
      <c r="V153" s="3669" t="s">
        <v>93</v>
      </c>
      <c r="W153" s="26"/>
      <c r="X153" s="3670" t="s">
        <v>805</v>
      </c>
      <c r="Z153" s="3669" t="s">
        <v>87</v>
      </c>
      <c r="AA153" s="203"/>
      <c r="AB153" s="3669" t="s">
        <v>804</v>
      </c>
      <c r="AC153" s="203"/>
      <c r="AD153" s="3669" t="s">
        <v>89</v>
      </c>
      <c r="AE153" s="203"/>
      <c r="AF153" s="3669" t="s">
        <v>90</v>
      </c>
      <c r="AG153" s="203"/>
      <c r="AH153" s="3669" t="s">
        <v>91</v>
      </c>
      <c r="AI153" s="203"/>
      <c r="AJ153" s="3669" t="s">
        <v>92</v>
      </c>
      <c r="AK153" s="203"/>
      <c r="AL153" s="3669" t="s">
        <v>93</v>
      </c>
      <c r="AM153" s="26"/>
      <c r="AN153" s="3670" t="s">
        <v>805</v>
      </c>
      <c r="AO153" s="26"/>
      <c r="AP153" s="180"/>
      <c r="AQ153" s="204"/>
      <c r="AR153" s="1930"/>
      <c r="AS153" s="206"/>
      <c r="AT153" s="1930"/>
      <c r="AU153" s="207"/>
      <c r="AV153" s="3671"/>
      <c r="AW153" s="3671"/>
      <c r="AX153" s="3671"/>
      <c r="AY153" s="3671"/>
      <c r="AZ153" s="3671"/>
      <c r="BA153" s="3671"/>
      <c r="BB153" s="2846"/>
      <c r="BC153" s="3679" t="s">
        <v>87</v>
      </c>
      <c r="BD153" s="203"/>
      <c r="BE153" s="3669" t="s">
        <v>804</v>
      </c>
      <c r="BF153" s="203"/>
      <c r="BG153" s="3669" t="s">
        <v>89</v>
      </c>
      <c r="BH153" s="203"/>
      <c r="BI153" s="3669" t="s">
        <v>90</v>
      </c>
      <c r="BJ153" s="203"/>
      <c r="BK153" s="3669" t="s">
        <v>91</v>
      </c>
      <c r="BL153" s="203"/>
      <c r="BM153" s="3669" t="s">
        <v>92</v>
      </c>
      <c r="BN153" s="203"/>
      <c r="BO153" s="3669" t="s">
        <v>93</v>
      </c>
      <c r="BP153" s="26"/>
      <c r="BQ153" s="3670" t="s">
        <v>805</v>
      </c>
      <c r="BR153" s="2845"/>
      <c r="BT153" s="3669" t="s">
        <v>87</v>
      </c>
      <c r="BU153" s="203"/>
      <c r="BV153" s="3669" t="s">
        <v>804</v>
      </c>
      <c r="BW153" s="203"/>
      <c r="BX153" s="3669" t="s">
        <v>89</v>
      </c>
      <c r="BY153" s="203"/>
      <c r="BZ153" s="3669" t="s">
        <v>90</v>
      </c>
      <c r="CA153" s="203"/>
      <c r="CB153" s="3669" t="s">
        <v>91</v>
      </c>
      <c r="CC153" s="203"/>
      <c r="CD153" s="3669" t="s">
        <v>92</v>
      </c>
      <c r="CE153" s="203"/>
      <c r="CF153" s="3669" t="s">
        <v>93</v>
      </c>
      <c r="CG153" s="26"/>
      <c r="CH153" s="3670" t="s">
        <v>805</v>
      </c>
      <c r="CI153" s="26"/>
      <c r="CJ153" s="180"/>
      <c r="CK153" s="61"/>
      <c r="CL153" s="1928"/>
      <c r="CM153" s="43"/>
    </row>
    <row r="154" spans="2:91" ht="20.25" customHeight="1">
      <c r="B154" s="1910"/>
      <c r="C154" s="50"/>
      <c r="D154" s="3671"/>
      <c r="E154" s="3671"/>
      <c r="F154" s="3671"/>
      <c r="G154" s="3671"/>
      <c r="H154" s="3671"/>
      <c r="I154" s="3671"/>
      <c r="J154" s="3669"/>
      <c r="K154" s="203"/>
      <c r="L154" s="3669"/>
      <c r="M154" s="203"/>
      <c r="N154" s="3669"/>
      <c r="O154" s="203"/>
      <c r="P154" s="3669"/>
      <c r="Q154" s="203"/>
      <c r="R154" s="3669"/>
      <c r="S154" s="203"/>
      <c r="T154" s="3669"/>
      <c r="U154" s="203"/>
      <c r="V154" s="3669"/>
      <c r="W154" s="26"/>
      <c r="X154" s="3670"/>
      <c r="Z154" s="3669"/>
      <c r="AA154" s="203"/>
      <c r="AB154" s="3669"/>
      <c r="AC154" s="203"/>
      <c r="AD154" s="3669"/>
      <c r="AE154" s="203"/>
      <c r="AF154" s="3669"/>
      <c r="AG154" s="203"/>
      <c r="AH154" s="3669"/>
      <c r="AI154" s="203"/>
      <c r="AJ154" s="3669"/>
      <c r="AK154" s="203"/>
      <c r="AL154" s="3669"/>
      <c r="AM154" s="26"/>
      <c r="AN154" s="3670"/>
      <c r="AO154" s="26"/>
      <c r="AP154" s="180"/>
      <c r="AQ154" s="204"/>
      <c r="AR154" s="1930"/>
      <c r="AS154" s="206"/>
      <c r="AT154" s="1930"/>
      <c r="AU154" s="207"/>
      <c r="AV154" s="3671"/>
      <c r="AW154" s="3671"/>
      <c r="AX154" s="3671"/>
      <c r="AY154" s="3671"/>
      <c r="AZ154" s="3671"/>
      <c r="BA154" s="3671"/>
      <c r="BB154" s="2846"/>
      <c r="BC154" s="3679"/>
      <c r="BD154" s="203"/>
      <c r="BE154" s="3669"/>
      <c r="BF154" s="203"/>
      <c r="BG154" s="3669"/>
      <c r="BH154" s="203"/>
      <c r="BI154" s="3669"/>
      <c r="BJ154" s="203"/>
      <c r="BK154" s="3669"/>
      <c r="BL154" s="203"/>
      <c r="BM154" s="3669"/>
      <c r="BN154" s="203"/>
      <c r="BO154" s="3669"/>
      <c r="BP154" s="26"/>
      <c r="BQ154" s="3670"/>
      <c r="BR154" s="2845"/>
      <c r="BT154" s="3669"/>
      <c r="BU154" s="203"/>
      <c r="BV154" s="3669"/>
      <c r="BW154" s="203"/>
      <c r="BX154" s="3669"/>
      <c r="BY154" s="203"/>
      <c r="BZ154" s="3669"/>
      <c r="CA154" s="203"/>
      <c r="CB154" s="3669"/>
      <c r="CC154" s="203"/>
      <c r="CD154" s="3669"/>
      <c r="CE154" s="203"/>
      <c r="CF154" s="3669"/>
      <c r="CG154" s="26"/>
      <c r="CH154" s="3670"/>
      <c r="CI154" s="26"/>
      <c r="CJ154" s="180"/>
      <c r="CK154" s="61"/>
      <c r="CL154" s="1928"/>
      <c r="CM154" s="43"/>
    </row>
    <row r="155" spans="2:91" ht="6.75" customHeight="1">
      <c r="B155" s="1910"/>
      <c r="C155" s="50"/>
      <c r="D155" s="3678"/>
      <c r="E155" s="3678"/>
      <c r="F155" s="3678"/>
      <c r="G155" s="3678"/>
      <c r="H155" s="3678"/>
      <c r="I155" s="3678"/>
      <c r="J155" s="3669"/>
      <c r="K155" s="203"/>
      <c r="L155" s="3669"/>
      <c r="M155" s="203"/>
      <c r="N155" s="3669"/>
      <c r="O155" s="203"/>
      <c r="P155" s="3669"/>
      <c r="Q155" s="203"/>
      <c r="R155" s="3669"/>
      <c r="S155" s="203"/>
      <c r="T155" s="3669"/>
      <c r="U155" s="203"/>
      <c r="V155" s="3669"/>
      <c r="W155" s="26"/>
      <c r="X155" s="3670"/>
      <c r="Z155" s="3669"/>
      <c r="AA155" s="203"/>
      <c r="AB155" s="3669"/>
      <c r="AC155" s="203"/>
      <c r="AD155" s="3669"/>
      <c r="AE155" s="203"/>
      <c r="AF155" s="3669"/>
      <c r="AG155" s="203"/>
      <c r="AH155" s="3669"/>
      <c r="AI155" s="203"/>
      <c r="AJ155" s="3669"/>
      <c r="AK155" s="203"/>
      <c r="AL155" s="3669"/>
      <c r="AM155" s="26"/>
      <c r="AN155" s="3670"/>
      <c r="AO155" s="26"/>
      <c r="AP155" s="180"/>
      <c r="AQ155" s="204"/>
      <c r="AR155" s="1930"/>
      <c r="AS155" s="206"/>
      <c r="AT155" s="1930"/>
      <c r="AU155" s="207"/>
      <c r="AV155" s="3652"/>
      <c r="AW155" s="3652"/>
      <c r="AX155" s="3652"/>
      <c r="AY155" s="3652"/>
      <c r="AZ155" s="3652"/>
      <c r="BA155" s="3652"/>
      <c r="BB155" s="2838"/>
      <c r="BC155" s="3679"/>
      <c r="BD155" s="203"/>
      <c r="BE155" s="3669"/>
      <c r="BF155" s="203"/>
      <c r="BG155" s="3669"/>
      <c r="BH155" s="203"/>
      <c r="BI155" s="3669"/>
      <c r="BJ155" s="203"/>
      <c r="BK155" s="3669"/>
      <c r="BL155" s="203"/>
      <c r="BM155" s="3669"/>
      <c r="BN155" s="203"/>
      <c r="BO155" s="3669"/>
      <c r="BP155" s="26"/>
      <c r="BQ155" s="3670"/>
      <c r="BR155" s="2845"/>
      <c r="BT155" s="3669"/>
      <c r="BU155" s="203"/>
      <c r="BV155" s="3669"/>
      <c r="BW155" s="203"/>
      <c r="BX155" s="3669"/>
      <c r="BY155" s="203"/>
      <c r="BZ155" s="3669"/>
      <c r="CA155" s="203"/>
      <c r="CB155" s="3669"/>
      <c r="CC155" s="203"/>
      <c r="CD155" s="3669"/>
      <c r="CE155" s="203"/>
      <c r="CF155" s="3669"/>
      <c r="CG155" s="26"/>
      <c r="CH155" s="3670"/>
      <c r="CI155" s="26"/>
      <c r="CJ155" s="180"/>
      <c r="CK155" s="61"/>
      <c r="CL155" s="1928"/>
      <c r="CM155" s="43"/>
    </row>
    <row r="156" spans="2:91" ht="5.25" customHeight="1">
      <c r="B156" s="1910"/>
      <c r="C156" s="91"/>
      <c r="D156" s="208"/>
      <c r="E156" s="208"/>
      <c r="F156" s="208"/>
      <c r="G156" s="208"/>
      <c r="H156" s="208"/>
      <c r="I156" s="209"/>
      <c r="J156" s="210"/>
      <c r="K156" s="211"/>
      <c r="L156" s="212"/>
      <c r="M156" s="211"/>
      <c r="N156" s="212"/>
      <c r="O156" s="211"/>
      <c r="P156" s="212"/>
      <c r="Q156" s="211"/>
      <c r="R156" s="212"/>
      <c r="S156" s="211"/>
      <c r="T156" s="212"/>
      <c r="U156" s="211"/>
      <c r="V156" s="212"/>
      <c r="W156" s="208"/>
      <c r="X156" s="92"/>
      <c r="Y156" s="92"/>
      <c r="Z156" s="213"/>
      <c r="AA156" s="157"/>
      <c r="AB156" s="214"/>
      <c r="AC156" s="157"/>
      <c r="AD156" s="214"/>
      <c r="AE156" s="157"/>
      <c r="AF156" s="214"/>
      <c r="AG156" s="157"/>
      <c r="AH156" s="214"/>
      <c r="AI156" s="157"/>
      <c r="AJ156" s="214"/>
      <c r="AK156" s="157"/>
      <c r="AL156" s="214"/>
      <c r="AM156" s="208"/>
      <c r="AN156" s="92"/>
      <c r="AO156" s="208"/>
      <c r="AP156" s="92"/>
      <c r="AQ156" s="93"/>
      <c r="AR156" s="1929"/>
      <c r="AS156" s="177"/>
      <c r="AT156" s="1929"/>
      <c r="AU156" s="91"/>
      <c r="AV156" s="92"/>
      <c r="AW156" s="92"/>
      <c r="AX156" s="208"/>
      <c r="AY156" s="208"/>
      <c r="AZ156" s="208"/>
      <c r="BA156" s="209"/>
      <c r="BB156" s="209"/>
      <c r="BC156" s="210"/>
      <c r="BD156" s="211"/>
      <c r="BE156" s="212"/>
      <c r="BF156" s="211"/>
      <c r="BG156" s="212"/>
      <c r="BH156" s="211"/>
      <c r="BI156" s="212"/>
      <c r="BJ156" s="211"/>
      <c r="BK156" s="212"/>
      <c r="BL156" s="211"/>
      <c r="BM156" s="212"/>
      <c r="BN156" s="211"/>
      <c r="BO156" s="212"/>
      <c r="BP156" s="208"/>
      <c r="BQ156" s="92"/>
      <c r="BR156" s="92"/>
      <c r="BS156" s="92"/>
      <c r="BT156" s="213"/>
      <c r="BU156" s="157"/>
      <c r="BV156" s="214"/>
      <c r="BW156" s="157"/>
      <c r="BX156" s="214"/>
      <c r="BY156" s="157"/>
      <c r="BZ156" s="214"/>
      <c r="CA156" s="157"/>
      <c r="CB156" s="214"/>
      <c r="CC156" s="157"/>
      <c r="CD156" s="214"/>
      <c r="CE156" s="157"/>
      <c r="CF156" s="214"/>
      <c r="CG156" s="208"/>
      <c r="CH156" s="92"/>
      <c r="CI156" s="208"/>
      <c r="CJ156" s="92"/>
      <c r="CK156" s="93"/>
      <c r="CL156" s="1928"/>
      <c r="CM156" s="43"/>
    </row>
    <row r="157" spans="2:91" ht="12" customHeight="1">
      <c r="B157" s="1912"/>
      <c r="C157" s="1919"/>
      <c r="D157" s="1919"/>
      <c r="E157" s="1919"/>
      <c r="F157" s="1919"/>
      <c r="G157" s="1919"/>
      <c r="H157" s="1919"/>
      <c r="I157" s="1919"/>
      <c r="J157" s="1919"/>
      <c r="K157" s="1919"/>
      <c r="L157" s="1919"/>
      <c r="M157" s="1919"/>
      <c r="N157" s="1919"/>
      <c r="O157" s="1919"/>
      <c r="P157" s="1919"/>
      <c r="Q157" s="1919"/>
      <c r="R157" s="1919"/>
      <c r="S157" s="1919"/>
      <c r="T157" s="1919"/>
      <c r="U157" s="1919"/>
      <c r="V157" s="1919"/>
      <c r="W157" s="1919"/>
      <c r="X157" s="1919"/>
      <c r="Y157" s="1919"/>
      <c r="Z157" s="1919"/>
      <c r="AA157" s="1919"/>
      <c r="AB157" s="1919"/>
      <c r="AC157" s="1919"/>
      <c r="AD157" s="1919"/>
      <c r="AE157" s="1919"/>
      <c r="AF157" s="1919"/>
      <c r="AG157" s="1919"/>
      <c r="AH157" s="1919"/>
      <c r="AI157" s="1919"/>
      <c r="AJ157" s="1919"/>
      <c r="AK157" s="1919"/>
      <c r="AL157" s="1919"/>
      <c r="AM157" s="1919"/>
      <c r="AN157" s="1919"/>
      <c r="AO157" s="1919"/>
      <c r="AP157" s="1919"/>
      <c r="AQ157" s="1919"/>
      <c r="AR157" s="1919"/>
      <c r="AS157" s="177"/>
      <c r="AT157" s="1919"/>
      <c r="AU157" s="1919"/>
      <c r="AV157" s="1919"/>
      <c r="AW157" s="1919"/>
      <c r="AX157" s="1919"/>
      <c r="AY157" s="1919"/>
      <c r="AZ157" s="1919"/>
      <c r="BA157" s="1919"/>
      <c r="BB157" s="1919"/>
      <c r="BC157" s="1919"/>
      <c r="BD157" s="1919"/>
      <c r="BE157" s="1919"/>
      <c r="BF157" s="1919"/>
      <c r="BG157" s="1919"/>
      <c r="BH157" s="1919"/>
      <c r="BI157" s="1919"/>
      <c r="BJ157" s="1919"/>
      <c r="BK157" s="1919"/>
      <c r="BL157" s="1919"/>
      <c r="BM157" s="1919"/>
      <c r="BN157" s="1919"/>
      <c r="BO157" s="1919"/>
      <c r="BP157" s="1919"/>
      <c r="BQ157" s="1919"/>
      <c r="BR157" s="1919"/>
      <c r="BS157" s="1919"/>
      <c r="BT157" s="1919"/>
      <c r="BU157" s="1919"/>
      <c r="BV157" s="1919"/>
      <c r="BW157" s="1919"/>
      <c r="BX157" s="1919"/>
      <c r="BY157" s="1919"/>
      <c r="BZ157" s="1919"/>
      <c r="CA157" s="1919"/>
      <c r="CB157" s="1919"/>
      <c r="CC157" s="1919"/>
      <c r="CD157" s="1919"/>
      <c r="CE157" s="1919"/>
      <c r="CF157" s="1919"/>
      <c r="CG157" s="1919"/>
      <c r="CH157" s="1919"/>
      <c r="CI157" s="1919"/>
      <c r="CJ157" s="1919"/>
      <c r="CK157" s="1919"/>
      <c r="CL157" s="1923"/>
      <c r="CM157" s="43"/>
    </row>
    <row r="158" spans="2:91" ht="12.75" customHeight="1">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c r="AS158" s="59"/>
      <c r="AT158" s="59"/>
      <c r="AU158" s="59"/>
      <c r="AV158" s="59"/>
      <c r="AW158" s="59"/>
      <c r="AX158" s="59"/>
      <c r="AY158" s="59"/>
      <c r="AZ158" s="59"/>
      <c r="BA158" s="59"/>
      <c r="BB158" s="59"/>
      <c r="BC158" s="59"/>
      <c r="BD158" s="59"/>
      <c r="BE158" s="59"/>
      <c r="BF158" s="59"/>
      <c r="BG158" s="59"/>
      <c r="BH158" s="59"/>
      <c r="BI158" s="59"/>
      <c r="BJ158" s="59"/>
      <c r="BK158" s="59"/>
      <c r="BL158" s="59"/>
      <c r="BM158" s="59"/>
      <c r="BN158" s="59"/>
      <c r="BO158" s="59"/>
      <c r="BP158" s="59"/>
      <c r="BQ158" s="59"/>
      <c r="BR158" s="59"/>
      <c r="BS158" s="59"/>
      <c r="BT158" s="59"/>
      <c r="BU158" s="59"/>
      <c r="BV158" s="59"/>
      <c r="BW158" s="59"/>
      <c r="BX158" s="59"/>
      <c r="BY158" s="59"/>
      <c r="BZ158" s="59"/>
      <c r="CA158" s="59"/>
      <c r="CB158" s="59"/>
      <c r="CC158" s="59"/>
      <c r="CD158" s="59"/>
      <c r="CE158" s="59"/>
      <c r="CF158" s="59"/>
      <c r="CG158" s="59"/>
      <c r="CH158" s="59"/>
      <c r="CI158" s="59"/>
      <c r="CJ158" s="59"/>
      <c r="CK158" s="59"/>
      <c r="CL158" s="59"/>
      <c r="CM158" s="59"/>
    </row>
    <row r="159" spans="2:91" ht="22.5" customHeight="1">
      <c r="B159" s="1904"/>
      <c r="C159" s="1905" t="s">
        <v>317</v>
      </c>
      <c r="D159" s="1906"/>
      <c r="E159" s="1906"/>
      <c r="F159" s="1906"/>
      <c r="G159" s="1906"/>
      <c r="H159" s="1906"/>
      <c r="I159" s="1906"/>
      <c r="J159" s="1906"/>
      <c r="K159" s="1906"/>
      <c r="L159" s="1906"/>
      <c r="M159" s="1906"/>
      <c r="N159" s="1906"/>
      <c r="O159" s="1906"/>
      <c r="P159" s="1906"/>
      <c r="Q159" s="1906"/>
      <c r="R159" s="1906"/>
      <c r="S159" s="1906"/>
      <c r="T159" s="1906"/>
      <c r="U159" s="1906"/>
      <c r="V159" s="1906"/>
      <c r="W159" s="1906"/>
      <c r="X159" s="1906"/>
      <c r="Y159" s="1906"/>
      <c r="Z159" s="1906"/>
      <c r="AA159" s="1906"/>
      <c r="AB159" s="1906"/>
      <c r="AC159" s="1906"/>
      <c r="AD159" s="1906"/>
      <c r="AE159" s="1906"/>
      <c r="AF159" s="1906"/>
      <c r="AG159" s="1906"/>
      <c r="AH159" s="1906"/>
      <c r="AI159" s="1906"/>
      <c r="AJ159" s="1906"/>
      <c r="AK159" s="1906"/>
      <c r="AL159" s="1906"/>
      <c r="AM159" s="1906"/>
      <c r="AN159" s="1906"/>
      <c r="AO159" s="1906"/>
      <c r="AP159" s="1906"/>
      <c r="AQ159" s="1906"/>
      <c r="AR159" s="1906"/>
      <c r="AS159" s="1906"/>
      <c r="AT159" s="1906"/>
      <c r="AU159" s="1907"/>
      <c r="AV159" s="1907"/>
      <c r="AW159" s="1907"/>
      <c r="AX159" s="1906"/>
      <c r="AY159" s="1906"/>
      <c r="AZ159" s="1906"/>
      <c r="BA159" s="1906"/>
      <c r="BB159" s="1906"/>
      <c r="BC159" s="1906"/>
      <c r="BD159" s="1906"/>
      <c r="BE159" s="1906"/>
      <c r="BF159" s="1906"/>
      <c r="BG159" s="1906"/>
      <c r="BH159" s="1906"/>
      <c r="BI159" s="1906"/>
      <c r="BJ159" s="1906"/>
      <c r="BK159" s="1906"/>
      <c r="BL159" s="1906"/>
      <c r="BM159" s="1906"/>
      <c r="BN159" s="1906"/>
      <c r="BO159" s="1906"/>
      <c r="BP159" s="1906"/>
      <c r="BQ159" s="1906"/>
      <c r="BR159" s="1906"/>
      <c r="BS159" s="1906"/>
      <c r="BT159" s="1906"/>
      <c r="BU159" s="1906"/>
      <c r="BV159" s="1906"/>
      <c r="BW159" s="1906"/>
      <c r="BX159" s="1906"/>
      <c r="BY159" s="1906"/>
      <c r="BZ159" s="1906"/>
      <c r="CA159" s="1906"/>
      <c r="CB159" s="1906"/>
      <c r="CC159" s="1906"/>
      <c r="CD159" s="1906"/>
      <c r="CE159" s="1906"/>
      <c r="CF159" s="1904"/>
      <c r="CG159" s="1904"/>
      <c r="CH159" s="1908"/>
      <c r="CI159" s="1904"/>
      <c r="CJ159" s="3755"/>
      <c r="CK159" s="3755"/>
      <c r="CL159" s="1906"/>
    </row>
    <row r="160" spans="2:91" ht="6.75" customHeight="1"/>
    <row r="161" spans="2:91" ht="12" customHeight="1">
      <c r="B161" s="1909"/>
      <c r="C161" s="1913"/>
      <c r="D161" s="1913"/>
      <c r="E161" s="1913"/>
      <c r="F161" s="1913"/>
      <c r="G161" s="1913"/>
      <c r="H161" s="1913"/>
      <c r="I161" s="1913"/>
      <c r="J161" s="1913"/>
      <c r="K161" s="1913"/>
      <c r="L161" s="1913"/>
      <c r="M161" s="1913"/>
      <c r="N161" s="1913"/>
      <c r="O161" s="1913"/>
      <c r="P161" s="1913"/>
      <c r="Q161" s="1913"/>
      <c r="R161" s="1913"/>
      <c r="S161" s="1913"/>
      <c r="T161" s="1913"/>
      <c r="U161" s="1913"/>
      <c r="V161" s="1913"/>
      <c r="W161" s="1913"/>
      <c r="X161" s="1913"/>
      <c r="Y161" s="1913"/>
      <c r="Z161" s="1913"/>
      <c r="AA161" s="1913"/>
      <c r="AB161" s="1913"/>
      <c r="AC161" s="1913"/>
      <c r="AD161" s="1913"/>
      <c r="AE161" s="1913"/>
      <c r="AF161" s="1913"/>
      <c r="AG161" s="1913"/>
      <c r="AH161" s="1913"/>
      <c r="AI161" s="1913"/>
      <c r="AJ161" s="1913"/>
      <c r="AK161" s="1913"/>
      <c r="AL161" s="1913"/>
      <c r="AM161" s="1913"/>
      <c r="AN161" s="1913"/>
      <c r="AO161" s="1913"/>
      <c r="AP161" s="1913"/>
      <c r="AQ161" s="1913"/>
      <c r="AR161" s="1913"/>
      <c r="AS161" s="1913"/>
      <c r="AT161" s="1913"/>
      <c r="AU161" s="1913"/>
      <c r="AV161" s="1913"/>
      <c r="AW161" s="1913"/>
      <c r="AX161" s="1913"/>
      <c r="AY161" s="1913"/>
      <c r="AZ161" s="1913"/>
      <c r="BA161" s="1913"/>
      <c r="BB161" s="1913"/>
      <c r="BC161" s="1913"/>
      <c r="BD161" s="1913"/>
      <c r="BE161" s="1913"/>
      <c r="BF161" s="1913"/>
      <c r="BG161" s="1913"/>
      <c r="BH161" s="1913"/>
      <c r="BI161" s="1913"/>
      <c r="BJ161" s="1913"/>
      <c r="BK161" s="1913"/>
      <c r="BL161" s="1913"/>
      <c r="BM161" s="1913"/>
      <c r="BN161" s="1913"/>
      <c r="BO161" s="1913"/>
      <c r="BP161" s="1913"/>
      <c r="BQ161" s="1913"/>
      <c r="BR161" s="1913"/>
      <c r="BS161" s="1913"/>
      <c r="BT161" s="1913"/>
      <c r="BU161" s="1913"/>
      <c r="BV161" s="1913"/>
      <c r="BW161" s="1913"/>
      <c r="BX161" s="1913"/>
      <c r="BY161" s="1913"/>
      <c r="BZ161" s="1913"/>
      <c r="CA161" s="1913"/>
      <c r="CB161" s="1913"/>
      <c r="CC161" s="1913"/>
      <c r="CD161" s="1913"/>
      <c r="CE161" s="1913"/>
      <c r="CF161" s="1913"/>
      <c r="CG161" s="1913"/>
      <c r="CH161" s="1913"/>
      <c r="CI161" s="1913"/>
      <c r="CJ161" s="1913"/>
      <c r="CK161" s="1913"/>
      <c r="CL161" s="1920"/>
      <c r="CM161" s="43"/>
    </row>
    <row r="162" spans="2:91" ht="9.75" customHeight="1">
      <c r="B162" s="1910"/>
      <c r="C162" s="45"/>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46"/>
      <c r="CB162" s="46"/>
      <c r="CC162" s="46"/>
      <c r="CD162" s="46"/>
      <c r="CE162" s="46"/>
      <c r="CF162" s="46"/>
      <c r="CG162" s="46"/>
      <c r="CH162" s="46"/>
      <c r="CI162" s="46"/>
      <c r="CJ162" s="46"/>
      <c r="CK162" s="47"/>
      <c r="CL162" s="1928"/>
      <c r="CM162" s="43"/>
    </row>
    <row r="163" spans="2:91" ht="15" customHeight="1">
      <c r="B163" s="1910"/>
      <c r="C163" s="50"/>
      <c r="D163" s="3672" t="str">
        <f>IF(ISBLANK('FORMULAIRE PGA Eaux pluviales'!C716)=TRUE,"",'FORMULAIRE PGA Eaux pluviales'!C716)</f>
        <v/>
      </c>
      <c r="E163" s="3672"/>
      <c r="F163" s="3672"/>
      <c r="G163" s="3672"/>
      <c r="H163" s="3672"/>
      <c r="I163" s="3672"/>
      <c r="J163" s="3672"/>
      <c r="K163" s="3672"/>
      <c r="L163" s="3672"/>
      <c r="M163" s="3672"/>
      <c r="N163" s="3672"/>
      <c r="O163" s="3672"/>
      <c r="P163" s="3672"/>
      <c r="Q163" s="3672"/>
      <c r="R163" s="3672"/>
      <c r="S163" s="3672"/>
      <c r="T163" s="3672"/>
      <c r="U163" s="3672"/>
      <c r="V163" s="3672"/>
      <c r="W163" s="3672"/>
      <c r="X163" s="3672"/>
      <c r="Y163" s="3672"/>
      <c r="Z163" s="3672"/>
      <c r="AA163" s="3672"/>
      <c r="AB163" s="3672"/>
      <c r="AC163" s="3672"/>
      <c r="AD163" s="3672"/>
      <c r="AE163" s="3672"/>
      <c r="AF163" s="3672"/>
      <c r="AG163" s="3672"/>
      <c r="AH163" s="3672"/>
      <c r="AI163" s="3672"/>
      <c r="AJ163" s="3672"/>
      <c r="AK163" s="3672"/>
      <c r="AL163" s="3672"/>
      <c r="AM163" s="3672"/>
      <c r="AN163" s="3672"/>
      <c r="AO163" s="3672"/>
      <c r="AP163" s="3672"/>
      <c r="AQ163" s="3672"/>
      <c r="AR163" s="3672"/>
      <c r="AS163" s="3672"/>
      <c r="AT163" s="3672"/>
      <c r="AU163" s="3672"/>
      <c r="AV163" s="3672"/>
      <c r="AW163" s="3672"/>
      <c r="AX163" s="3672"/>
      <c r="AY163" s="3672"/>
      <c r="AZ163" s="3672"/>
      <c r="BA163" s="3672"/>
      <c r="BB163" s="3672"/>
      <c r="BC163" s="3672"/>
      <c r="BD163" s="3672"/>
      <c r="BE163" s="3672"/>
      <c r="BF163" s="3672"/>
      <c r="BG163" s="3672"/>
      <c r="BH163" s="3672"/>
      <c r="BI163" s="3672"/>
      <c r="BJ163" s="3672"/>
      <c r="BK163" s="3672"/>
      <c r="BL163" s="3672"/>
      <c r="BM163" s="3672"/>
      <c r="BN163" s="3672"/>
      <c r="BO163" s="3672"/>
      <c r="BP163" s="3672"/>
      <c r="BQ163" s="3672"/>
      <c r="BR163" s="3672"/>
      <c r="BS163" s="3672"/>
      <c r="BT163" s="3672"/>
      <c r="BU163" s="3672"/>
      <c r="BV163" s="3672"/>
      <c r="BW163" s="3672"/>
      <c r="BX163" s="3672"/>
      <c r="BY163" s="3672"/>
      <c r="BZ163" s="3672"/>
      <c r="CA163" s="3672"/>
      <c r="CB163" s="3672"/>
      <c r="CC163" s="3672"/>
      <c r="CD163" s="3672"/>
      <c r="CE163" s="3672"/>
      <c r="CF163" s="3672"/>
      <c r="CG163" s="3672"/>
      <c r="CH163" s="3672"/>
      <c r="CI163" s="3672"/>
      <c r="CJ163" s="3672"/>
      <c r="CK163" s="61"/>
      <c r="CL163" s="1928"/>
      <c r="CM163" s="43"/>
    </row>
    <row r="164" spans="2:91" ht="15" customHeight="1">
      <c r="B164" s="1910"/>
      <c r="C164" s="50"/>
      <c r="D164" s="3672"/>
      <c r="E164" s="3672"/>
      <c r="F164" s="3672"/>
      <c r="G164" s="3672"/>
      <c r="H164" s="3672"/>
      <c r="I164" s="3672"/>
      <c r="J164" s="3672"/>
      <c r="K164" s="3672"/>
      <c r="L164" s="3672"/>
      <c r="M164" s="3672"/>
      <c r="N164" s="3672"/>
      <c r="O164" s="3672"/>
      <c r="P164" s="3672"/>
      <c r="Q164" s="3672"/>
      <c r="R164" s="3672"/>
      <c r="S164" s="3672"/>
      <c r="T164" s="3672"/>
      <c r="U164" s="3672"/>
      <c r="V164" s="3672"/>
      <c r="W164" s="3672"/>
      <c r="X164" s="3672"/>
      <c r="Y164" s="3672"/>
      <c r="Z164" s="3672"/>
      <c r="AA164" s="3672"/>
      <c r="AB164" s="3672"/>
      <c r="AC164" s="3672"/>
      <c r="AD164" s="3672"/>
      <c r="AE164" s="3672"/>
      <c r="AF164" s="3672"/>
      <c r="AG164" s="3672"/>
      <c r="AH164" s="3672"/>
      <c r="AI164" s="3672"/>
      <c r="AJ164" s="3672"/>
      <c r="AK164" s="3672"/>
      <c r="AL164" s="3672"/>
      <c r="AM164" s="3672"/>
      <c r="AN164" s="3672"/>
      <c r="AO164" s="3672"/>
      <c r="AP164" s="3672"/>
      <c r="AQ164" s="3672"/>
      <c r="AR164" s="3672"/>
      <c r="AS164" s="3672"/>
      <c r="AT164" s="3672"/>
      <c r="AU164" s="3672"/>
      <c r="AV164" s="3672"/>
      <c r="AW164" s="3672"/>
      <c r="AX164" s="3672"/>
      <c r="AY164" s="3672"/>
      <c r="AZ164" s="3672"/>
      <c r="BA164" s="3672"/>
      <c r="BB164" s="3672"/>
      <c r="BC164" s="3672"/>
      <c r="BD164" s="3672"/>
      <c r="BE164" s="3672"/>
      <c r="BF164" s="3672"/>
      <c r="BG164" s="3672"/>
      <c r="BH164" s="3672"/>
      <c r="BI164" s="3672"/>
      <c r="BJ164" s="3672"/>
      <c r="BK164" s="3672"/>
      <c r="BL164" s="3672"/>
      <c r="BM164" s="3672"/>
      <c r="BN164" s="3672"/>
      <c r="BO164" s="3672"/>
      <c r="BP164" s="3672"/>
      <c r="BQ164" s="3672"/>
      <c r="BR164" s="3672"/>
      <c r="BS164" s="3672"/>
      <c r="BT164" s="3672"/>
      <c r="BU164" s="3672"/>
      <c r="BV164" s="3672"/>
      <c r="BW164" s="3672"/>
      <c r="BX164" s="3672"/>
      <c r="BY164" s="3672"/>
      <c r="BZ164" s="3672"/>
      <c r="CA164" s="3672"/>
      <c r="CB164" s="3672"/>
      <c r="CC164" s="3672"/>
      <c r="CD164" s="3672"/>
      <c r="CE164" s="3672"/>
      <c r="CF164" s="3672"/>
      <c r="CG164" s="3672"/>
      <c r="CH164" s="3672"/>
      <c r="CI164" s="3672"/>
      <c r="CJ164" s="3672"/>
      <c r="CK164" s="61"/>
      <c r="CL164" s="1928"/>
      <c r="CM164" s="43"/>
    </row>
    <row r="165" spans="2:91" ht="8.25" customHeight="1">
      <c r="B165" s="1910"/>
      <c r="C165" s="91"/>
      <c r="D165" s="105"/>
      <c r="E165" s="105"/>
      <c r="F165" s="105"/>
      <c r="G165" s="105"/>
      <c r="H165" s="105"/>
      <c r="I165" s="92"/>
      <c r="J165" s="92"/>
      <c r="K165" s="92"/>
      <c r="L165" s="92"/>
      <c r="M165" s="92"/>
      <c r="N165" s="92"/>
      <c r="O165" s="92"/>
      <c r="P165" s="92"/>
      <c r="Q165" s="92"/>
      <c r="R165" s="92"/>
      <c r="S165" s="92"/>
      <c r="T165" s="92"/>
      <c r="U165" s="92"/>
      <c r="V165" s="92"/>
      <c r="W165" s="92"/>
      <c r="X165" s="92"/>
      <c r="Y165" s="92"/>
      <c r="Z165" s="92"/>
      <c r="AA165" s="92"/>
      <c r="AB165" s="92"/>
      <c r="AC165" s="92"/>
      <c r="AD165" s="92"/>
      <c r="AE165" s="92"/>
      <c r="AF165" s="92"/>
      <c r="AG165" s="92"/>
      <c r="AH165" s="92"/>
      <c r="AI165" s="92"/>
      <c r="AJ165" s="92"/>
      <c r="AK165" s="92"/>
      <c r="AL165" s="92"/>
      <c r="AM165" s="92"/>
      <c r="AN165" s="92"/>
      <c r="AO165" s="92"/>
      <c r="AP165" s="92"/>
      <c r="AQ165" s="92"/>
      <c r="AR165" s="92"/>
      <c r="AS165" s="92"/>
      <c r="AT165" s="92"/>
      <c r="AU165" s="92"/>
      <c r="AV165" s="92"/>
      <c r="AW165" s="92"/>
      <c r="AX165" s="92"/>
      <c r="AY165" s="92"/>
      <c r="AZ165" s="92"/>
      <c r="BA165" s="92"/>
      <c r="BB165" s="92"/>
      <c r="BC165" s="92"/>
      <c r="BD165" s="92"/>
      <c r="BE165" s="92"/>
      <c r="BF165" s="92"/>
      <c r="BG165" s="92"/>
      <c r="BH165" s="92"/>
      <c r="BI165" s="92"/>
      <c r="BJ165" s="92"/>
      <c r="BK165" s="92"/>
      <c r="BL165" s="92"/>
      <c r="BM165" s="92"/>
      <c r="BN165" s="92"/>
      <c r="BO165" s="92"/>
      <c r="BP165" s="92"/>
      <c r="BQ165" s="92"/>
      <c r="BR165" s="92"/>
      <c r="BS165" s="92"/>
      <c r="BT165" s="92"/>
      <c r="BU165" s="92"/>
      <c r="BV165" s="92"/>
      <c r="BW165" s="92"/>
      <c r="BX165" s="92"/>
      <c r="BY165" s="92"/>
      <c r="BZ165" s="92"/>
      <c r="CA165" s="92"/>
      <c r="CB165" s="92"/>
      <c r="CC165" s="92"/>
      <c r="CD165" s="92"/>
      <c r="CE165" s="92"/>
      <c r="CF165" s="92"/>
      <c r="CG165" s="92"/>
      <c r="CH165" s="92"/>
      <c r="CI165" s="92"/>
      <c r="CJ165" s="92"/>
      <c r="CK165" s="93"/>
      <c r="CL165" s="1928"/>
      <c r="CM165" s="43"/>
    </row>
    <row r="166" spans="2:91" ht="11.25" customHeight="1">
      <c r="B166" s="1912"/>
      <c r="C166" s="1919"/>
      <c r="D166" s="1919"/>
      <c r="E166" s="1919"/>
      <c r="F166" s="1919"/>
      <c r="G166" s="1919"/>
      <c r="H166" s="1919"/>
      <c r="I166" s="1919"/>
      <c r="J166" s="1919"/>
      <c r="K166" s="1919"/>
      <c r="L166" s="1919"/>
      <c r="M166" s="1919"/>
      <c r="N166" s="1919"/>
      <c r="O166" s="1919"/>
      <c r="P166" s="1919"/>
      <c r="Q166" s="1919"/>
      <c r="R166" s="1919"/>
      <c r="S166" s="1919"/>
      <c r="T166" s="1919"/>
      <c r="U166" s="1919"/>
      <c r="V166" s="1919"/>
      <c r="W166" s="1919"/>
      <c r="X166" s="1919"/>
      <c r="Y166" s="1919"/>
      <c r="Z166" s="1919"/>
      <c r="AA166" s="1919"/>
      <c r="AB166" s="1919"/>
      <c r="AC166" s="1919"/>
      <c r="AD166" s="1919"/>
      <c r="AE166" s="1919"/>
      <c r="AF166" s="1919"/>
      <c r="AG166" s="1919"/>
      <c r="AH166" s="1919"/>
      <c r="AI166" s="1919"/>
      <c r="AJ166" s="1919"/>
      <c r="AK166" s="1919"/>
      <c r="AL166" s="1919"/>
      <c r="AM166" s="1919"/>
      <c r="AN166" s="1919"/>
      <c r="AO166" s="1919"/>
      <c r="AP166" s="1919"/>
      <c r="AQ166" s="1919"/>
      <c r="AR166" s="1919"/>
      <c r="AS166" s="1919"/>
      <c r="AT166" s="1919"/>
      <c r="AU166" s="1919"/>
      <c r="AV166" s="1919"/>
      <c r="AW166" s="1919"/>
      <c r="AX166" s="1919"/>
      <c r="AY166" s="1919"/>
      <c r="AZ166" s="1919"/>
      <c r="BA166" s="1919"/>
      <c r="BB166" s="1919"/>
      <c r="BC166" s="1919"/>
      <c r="BD166" s="1919"/>
      <c r="BE166" s="1919"/>
      <c r="BF166" s="1919"/>
      <c r="BG166" s="1919"/>
      <c r="BH166" s="1919"/>
      <c r="BI166" s="1919"/>
      <c r="BJ166" s="1919"/>
      <c r="BK166" s="1919"/>
      <c r="BL166" s="1919"/>
      <c r="BM166" s="1919"/>
      <c r="BN166" s="1919"/>
      <c r="BO166" s="1919"/>
      <c r="BP166" s="1919"/>
      <c r="BQ166" s="1919"/>
      <c r="BR166" s="1919"/>
      <c r="BS166" s="1919"/>
      <c r="BT166" s="1919"/>
      <c r="BU166" s="1919"/>
      <c r="BV166" s="1919"/>
      <c r="BW166" s="1919"/>
      <c r="BX166" s="1919"/>
      <c r="BY166" s="1919"/>
      <c r="BZ166" s="1919"/>
      <c r="CA166" s="1919"/>
      <c r="CB166" s="1919"/>
      <c r="CC166" s="1919"/>
      <c r="CD166" s="1919"/>
      <c r="CE166" s="1919"/>
      <c r="CF166" s="1919"/>
      <c r="CG166" s="1919"/>
      <c r="CH166" s="1919"/>
      <c r="CI166" s="1919"/>
      <c r="CJ166" s="1919"/>
      <c r="CK166" s="1919"/>
      <c r="CL166" s="1923"/>
      <c r="CM166" s="43"/>
    </row>
    <row r="167" spans="2:91" ht="9.75" customHeight="1">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c r="AA167" s="59"/>
      <c r="AB167" s="59"/>
      <c r="AC167" s="59"/>
      <c r="AD167" s="59"/>
      <c r="AE167" s="59"/>
      <c r="AF167" s="59"/>
      <c r="AG167" s="59"/>
      <c r="AH167" s="59"/>
      <c r="AI167" s="59"/>
      <c r="AJ167" s="59"/>
      <c r="AK167" s="59"/>
      <c r="AL167" s="59"/>
      <c r="AM167" s="59"/>
      <c r="AN167" s="59"/>
      <c r="AO167" s="59"/>
      <c r="AP167" s="59"/>
      <c r="AQ167" s="59"/>
      <c r="AR167" s="59"/>
      <c r="AS167" s="59"/>
      <c r="AT167" s="59"/>
      <c r="AU167" s="59"/>
      <c r="AV167" s="59"/>
      <c r="AW167" s="59"/>
      <c r="AX167" s="59"/>
      <c r="AY167" s="59"/>
      <c r="AZ167" s="59"/>
      <c r="BA167" s="59"/>
      <c r="BB167" s="59"/>
      <c r="BC167" s="59"/>
      <c r="BD167" s="59"/>
      <c r="BE167" s="59"/>
      <c r="BF167" s="59"/>
      <c r="BG167" s="59"/>
      <c r="BH167" s="59"/>
      <c r="BI167" s="59"/>
      <c r="BJ167" s="59"/>
      <c r="BK167" s="59"/>
      <c r="BL167" s="59"/>
      <c r="BM167" s="59"/>
      <c r="BN167" s="59"/>
      <c r="BO167" s="59"/>
      <c r="BP167" s="59"/>
      <c r="BQ167" s="59"/>
      <c r="BR167" s="59"/>
      <c r="BS167" s="59"/>
      <c r="BT167" s="59"/>
      <c r="BU167" s="59"/>
      <c r="BV167" s="59"/>
      <c r="BW167" s="59"/>
      <c r="BX167" s="59"/>
      <c r="BY167" s="59"/>
      <c r="BZ167" s="59"/>
      <c r="CA167" s="59"/>
      <c r="CB167" s="59"/>
      <c r="CC167" s="59"/>
      <c r="CD167" s="59"/>
      <c r="CE167" s="59"/>
      <c r="CF167" s="59"/>
      <c r="CG167" s="59"/>
      <c r="CH167" s="59"/>
      <c r="CI167" s="59"/>
      <c r="CJ167" s="59"/>
      <c r="CK167" s="59"/>
      <c r="CL167" s="59"/>
      <c r="CM167" s="59"/>
    </row>
    <row r="171" spans="2:91" ht="15.75" customHeight="1">
      <c r="BS171" s="59"/>
      <c r="BU171" s="371"/>
      <c r="BV171" s="371"/>
      <c r="BW171" s="371"/>
      <c r="BX171" s="371"/>
      <c r="BY171" s="371"/>
      <c r="BZ171" s="371"/>
      <c r="CA171" s="371"/>
      <c r="CB171" s="371"/>
      <c r="CC171" s="371"/>
      <c r="CD171" s="371"/>
      <c r="CE171" s="371"/>
      <c r="CF171" s="371"/>
      <c r="CG171" s="371"/>
      <c r="CH171" s="371"/>
    </row>
    <row r="172" spans="2:91">
      <c r="BU172" s="371"/>
      <c r="BV172" s="371"/>
      <c r="BW172" s="371"/>
      <c r="BX172" s="371"/>
      <c r="BY172" s="371"/>
      <c r="BZ172" s="371"/>
      <c r="CA172" s="371"/>
      <c r="CB172" s="371"/>
      <c r="CC172" s="371"/>
      <c r="CD172" s="371"/>
      <c r="CE172" s="371"/>
      <c r="CF172" s="371"/>
      <c r="CG172" s="371"/>
      <c r="CH172" s="371"/>
    </row>
    <row r="173" spans="2:91">
      <c r="BS173" s="59"/>
      <c r="BT173" s="371"/>
      <c r="BU173" s="371"/>
      <c r="BV173" s="371"/>
      <c r="BW173" s="371"/>
      <c r="BX173" s="371"/>
      <c r="BY173" s="371"/>
      <c r="BZ173" s="371"/>
      <c r="CA173" s="371"/>
      <c r="CB173" s="371"/>
      <c r="CC173" s="371"/>
      <c r="CD173" s="371"/>
      <c r="CE173" s="371"/>
      <c r="CF173" s="371"/>
      <c r="CG173" s="371"/>
      <c r="CH173" s="371"/>
    </row>
  </sheetData>
  <sheetProtection algorithmName="SHA-512" hashValue="vhfmnYT4xMUuT3jwkQW0Ok2qfBt2ohGHfnOzSRwkxa/7CkZ6uKx+k5//o8uqJQDX83MBu/Z81WUpruAHVEUqJw==" saltValue="46cIWBoh6Zu2seA6TlZrNg==" spinCount="100000" sheet="1" objects="1" scenarios="1"/>
  <mergeCells count="244">
    <mergeCell ref="AH2:BB2"/>
    <mergeCell ref="CJ159:CK159"/>
    <mergeCell ref="D163:CJ164"/>
    <mergeCell ref="CB153:CB155"/>
    <mergeCell ref="CD153:CD155"/>
    <mergeCell ref="CF153:CF155"/>
    <mergeCell ref="CH153:CH155"/>
    <mergeCell ref="D155:I155"/>
    <mergeCell ref="AV155:BA155"/>
    <mergeCell ref="BO153:BO155"/>
    <mergeCell ref="BQ153:BQ155"/>
    <mergeCell ref="BT153:BT155"/>
    <mergeCell ref="BV153:BV155"/>
    <mergeCell ref="BX153:BX155"/>
    <mergeCell ref="BZ153:BZ155"/>
    <mergeCell ref="BC153:BC155"/>
    <mergeCell ref="BE153:BE155"/>
    <mergeCell ref="BG153:BG155"/>
    <mergeCell ref="BI153:BI155"/>
    <mergeCell ref="BK153:BK155"/>
    <mergeCell ref="BM153:BM155"/>
    <mergeCell ref="AF153:AF155"/>
    <mergeCell ref="AH153:AH155"/>
    <mergeCell ref="AJ153:AJ155"/>
    <mergeCell ref="D153:I154"/>
    <mergeCell ref="J153:J155"/>
    <mergeCell ref="L153:L155"/>
    <mergeCell ref="N153:N155"/>
    <mergeCell ref="P153:P155"/>
    <mergeCell ref="R153:R155"/>
    <mergeCell ref="AV148:AY148"/>
    <mergeCell ref="AV149:AY149"/>
    <mergeCell ref="AV150:AY150"/>
    <mergeCell ref="AV151:AY151"/>
    <mergeCell ref="D152:I152"/>
    <mergeCell ref="AV152:BA152"/>
    <mergeCell ref="AL153:AL155"/>
    <mergeCell ref="AN153:AN155"/>
    <mergeCell ref="AV153:BA154"/>
    <mergeCell ref="T153:T155"/>
    <mergeCell ref="V153:V155"/>
    <mergeCell ref="X153:X155"/>
    <mergeCell ref="Z153:Z155"/>
    <mergeCell ref="AB153:AB155"/>
    <mergeCell ref="AD153:AD155"/>
    <mergeCell ref="D146:I146"/>
    <mergeCell ref="AX146:BA146"/>
    <mergeCell ref="AV147:AY147"/>
    <mergeCell ref="AL143:AN143"/>
    <mergeCell ref="AV143:AZ145"/>
    <mergeCell ref="BA143:BE143"/>
    <mergeCell ref="BG143:BI143"/>
    <mergeCell ref="BJ143:BL143"/>
    <mergeCell ref="BS143:BV143"/>
    <mergeCell ref="AM139:AN139"/>
    <mergeCell ref="AL142:AN142"/>
    <mergeCell ref="CF142:CH142"/>
    <mergeCell ref="D143:H145"/>
    <mergeCell ref="I143:L143"/>
    <mergeCell ref="N143:P143"/>
    <mergeCell ref="Q143:S143"/>
    <mergeCell ref="Y143:AB143"/>
    <mergeCell ref="AD143:AF143"/>
    <mergeCell ref="AG143:AI143"/>
    <mergeCell ref="BX143:BZ143"/>
    <mergeCell ref="CA143:CC143"/>
    <mergeCell ref="CF143:CH143"/>
    <mergeCell ref="V131:X131"/>
    <mergeCell ref="AY131:AZ131"/>
    <mergeCell ref="BA131:BB131"/>
    <mergeCell ref="CD131:CG131"/>
    <mergeCell ref="CH131:CJ131"/>
    <mergeCell ref="AP135:AQ135"/>
    <mergeCell ref="CJ135:CK135"/>
    <mergeCell ref="D125:Y125"/>
    <mergeCell ref="AE125:BB125"/>
    <mergeCell ref="BH125:CJ125"/>
    <mergeCell ref="V130:X130"/>
    <mergeCell ref="AY130:AZ130"/>
    <mergeCell ref="BA130:BB130"/>
    <mergeCell ref="CD130:CG130"/>
    <mergeCell ref="CH130:CJ130"/>
    <mergeCell ref="CJ119:CK119"/>
    <mergeCell ref="Y123:Z123"/>
    <mergeCell ref="BA123:BC123"/>
    <mergeCell ref="CJ123:CK123"/>
    <mergeCell ref="E114:G114"/>
    <mergeCell ref="H114:L114"/>
    <mergeCell ref="N114:V114"/>
    <mergeCell ref="W114:Z114"/>
    <mergeCell ref="AB114:AG114"/>
    <mergeCell ref="AK114:AP114"/>
    <mergeCell ref="BI112:BN113"/>
    <mergeCell ref="BS113:BX115"/>
    <mergeCell ref="BZ113:BZ115"/>
    <mergeCell ref="CB113:CF115"/>
    <mergeCell ref="CG113:CJ115"/>
    <mergeCell ref="AQ114:AV114"/>
    <mergeCell ref="AW114:AY114"/>
    <mergeCell ref="BB114:BG114"/>
    <mergeCell ref="BI114:BN114"/>
    <mergeCell ref="AK112:AP113"/>
    <mergeCell ref="AQ112:AV113"/>
    <mergeCell ref="AW112:BA113"/>
    <mergeCell ref="BB112:BH113"/>
    <mergeCell ref="E112:G113"/>
    <mergeCell ref="H112:L113"/>
    <mergeCell ref="N112:V113"/>
    <mergeCell ref="W112:Z113"/>
    <mergeCell ref="AB112:AG113"/>
    <mergeCell ref="BS107:BX108"/>
    <mergeCell ref="CB108:CF108"/>
    <mergeCell ref="CG108:CJ108"/>
    <mergeCell ref="BS110:BX111"/>
    <mergeCell ref="CB111:CF111"/>
    <mergeCell ref="CG111:CJ111"/>
    <mergeCell ref="CJ102:CK102"/>
    <mergeCell ref="D104:H104"/>
    <mergeCell ref="J104:M104"/>
    <mergeCell ref="AD104:AG104"/>
    <mergeCell ref="AJ104:AQ104"/>
    <mergeCell ref="AR104:AT104"/>
    <mergeCell ref="AU104:AW104"/>
    <mergeCell ref="BK104:BN104"/>
    <mergeCell ref="BT104:CK105"/>
    <mergeCell ref="AU111:AV111"/>
    <mergeCell ref="AZ111:BA111"/>
    <mergeCell ref="BG111:BH111"/>
    <mergeCell ref="AU89:AX89"/>
    <mergeCell ref="AU91:AX91"/>
    <mergeCell ref="BR96:CB97"/>
    <mergeCell ref="CC96:CK97"/>
    <mergeCell ref="BS98:BS99"/>
    <mergeCell ref="BT98:BX99"/>
    <mergeCell ref="CC98:CD99"/>
    <mergeCell ref="CE98:CK100"/>
    <mergeCell ref="AU93:AX93"/>
    <mergeCell ref="AU96:AX96"/>
    <mergeCell ref="AZ96:BE96"/>
    <mergeCell ref="AZ93:BE93"/>
    <mergeCell ref="AZ91:BE91"/>
    <mergeCell ref="AZ89:BE89"/>
    <mergeCell ref="BI96:BM96"/>
    <mergeCell ref="BI93:BM93"/>
    <mergeCell ref="BI91:BM91"/>
    <mergeCell ref="BI89:BM89"/>
    <mergeCell ref="BU85:BW85"/>
    <mergeCell ref="BX85:BZ85"/>
    <mergeCell ref="AU87:AX87"/>
    <mergeCell ref="CJ78:CK78"/>
    <mergeCell ref="AD82:AF82"/>
    <mergeCell ref="BA83:BG83"/>
    <mergeCell ref="BK83:BM83"/>
    <mergeCell ref="BU84:BW84"/>
    <mergeCell ref="BX84:BZ84"/>
    <mergeCell ref="AZ87:BE87"/>
    <mergeCell ref="BI87:BM87"/>
    <mergeCell ref="BI85:BM85"/>
    <mergeCell ref="AZ85:BE85"/>
    <mergeCell ref="AU85:AX85"/>
    <mergeCell ref="H74:R74"/>
    <mergeCell ref="T74:AC74"/>
    <mergeCell ref="AF74:AP74"/>
    <mergeCell ref="BA74:BM74"/>
    <mergeCell ref="BN74:BX74"/>
    <mergeCell ref="BZ74:CJ74"/>
    <mergeCell ref="BL54:BM54"/>
    <mergeCell ref="BN54:BO54"/>
    <mergeCell ref="CJ54:CK54"/>
    <mergeCell ref="AN58:AP58"/>
    <mergeCell ref="CH58:CJ58"/>
    <mergeCell ref="D71:G73"/>
    <mergeCell ref="AW71:AZ73"/>
    <mergeCell ref="CF49:CG50"/>
    <mergeCell ref="CH49:CJ50"/>
    <mergeCell ref="BA50:BE50"/>
    <mergeCell ref="Y54:Z54"/>
    <mergeCell ref="AA54:AB54"/>
    <mergeCell ref="BA54:BC54"/>
    <mergeCell ref="BD54:BE54"/>
    <mergeCell ref="BF54:BG54"/>
    <mergeCell ref="BH54:BI54"/>
    <mergeCell ref="BJ54:BK54"/>
    <mergeCell ref="D49:N50"/>
    <mergeCell ref="O49:X50"/>
    <mergeCell ref="BA49:BE49"/>
    <mergeCell ref="BM49:BW50"/>
    <mergeCell ref="BX49:BZ50"/>
    <mergeCell ref="CA49:CB50"/>
    <mergeCell ref="BA42:BF42"/>
    <mergeCell ref="BX42:CD42"/>
    <mergeCell ref="CF42:CJ42"/>
    <mergeCell ref="BA45:BE45"/>
    <mergeCell ref="BM45:BW46"/>
    <mergeCell ref="BX45:BZ46"/>
    <mergeCell ref="D47:N48"/>
    <mergeCell ref="O47:X48"/>
    <mergeCell ref="BM47:BW48"/>
    <mergeCell ref="BX47:BZ48"/>
    <mergeCell ref="CA47:CB48"/>
    <mergeCell ref="CF47:CG48"/>
    <mergeCell ref="BA48:BE48"/>
    <mergeCell ref="CA45:CB46"/>
    <mergeCell ref="CF45:CG46"/>
    <mergeCell ref="D45:N46"/>
    <mergeCell ref="O45:X46"/>
    <mergeCell ref="CH45:CJ46"/>
    <mergeCell ref="AC46:AV47"/>
    <mergeCell ref="AX46:AX47"/>
    <mergeCell ref="BA46:BE47"/>
    <mergeCell ref="CH47:CJ48"/>
    <mergeCell ref="AR42:AV42"/>
    <mergeCell ref="AX42:AY42"/>
    <mergeCell ref="D23:D24"/>
    <mergeCell ref="E24:I24"/>
    <mergeCell ref="AJ25:AL26"/>
    <mergeCell ref="BI25:BK26"/>
    <mergeCell ref="CJ36:CK36"/>
    <mergeCell ref="BE40:BG40"/>
    <mergeCell ref="CI40:CJ40"/>
    <mergeCell ref="CE17:CI17"/>
    <mergeCell ref="E18:I18"/>
    <mergeCell ref="D19:D20"/>
    <mergeCell ref="E20:I20"/>
    <mergeCell ref="D21:D22"/>
    <mergeCell ref="E22:I22"/>
    <mergeCell ref="R31:AC31"/>
    <mergeCell ref="R30:AC30"/>
    <mergeCell ref="R29:AC29"/>
    <mergeCell ref="F31:Q31"/>
    <mergeCell ref="F30:Q30"/>
    <mergeCell ref="F29:Q29"/>
    <mergeCell ref="D13:D14"/>
    <mergeCell ref="E14:I14"/>
    <mergeCell ref="D15:D16"/>
    <mergeCell ref="E16:I16"/>
    <mergeCell ref="AJ16:AL17"/>
    <mergeCell ref="BI16:BK17"/>
    <mergeCell ref="D17:D18"/>
    <mergeCell ref="AD3:BE4"/>
    <mergeCell ref="CG4:CK4"/>
    <mergeCell ref="BZ6:CL6"/>
    <mergeCell ref="CJ8:CK8"/>
    <mergeCell ref="AB12:AD12"/>
  </mergeCells>
  <conditionalFormatting sqref="Y40">
    <cfRule type="iconSet" priority="188">
      <iconSet iconSet="5Rating" showValue="0">
        <cfvo type="percent" val="0"/>
        <cfvo type="num" val="1" gte="0"/>
        <cfvo type="num" val="2" gte="0"/>
        <cfvo type="num" val="3" gte="0"/>
        <cfvo type="num" val="4" gte="0"/>
      </iconSet>
    </cfRule>
    <cfRule type="iconSet" priority="189">
      <iconSet iconSet="5Rating" showValue="0">
        <cfvo type="percent" val="0"/>
        <cfvo type="num" val="1" gte="0"/>
        <cfvo type="num" val="2" gte="0"/>
        <cfvo type="num" val="3" gte="0"/>
        <cfvo type="num" val="4" gte="0"/>
      </iconSet>
    </cfRule>
  </conditionalFormatting>
  <conditionalFormatting sqref="Y130:Y131">
    <cfRule type="iconSet" priority="186">
      <iconSet iconSet="5Rating" showValue="0">
        <cfvo type="percent" val="0"/>
        <cfvo type="num" val="1" gte="0"/>
        <cfvo type="num" val="2" gte="0"/>
        <cfvo type="num" val="3" gte="0"/>
        <cfvo type="num" val="4" gte="0"/>
      </iconSet>
    </cfRule>
  </conditionalFormatting>
  <conditionalFormatting sqref="AD104 BK104 AD82">
    <cfRule type="iconSet" priority="357">
      <iconSet iconSet="5Rating" showValue="0">
        <cfvo type="percent" val="0"/>
        <cfvo type="num" val="1" gte="0"/>
        <cfvo type="num" val="2" gte="0"/>
        <cfvo type="num" val="3" gte="0"/>
        <cfvo type="num" val="4" gte="0"/>
      </iconSet>
    </cfRule>
  </conditionalFormatting>
  <conditionalFormatting sqref="AN58">
    <cfRule type="iconSet" priority="194">
      <iconSet iconSet="5Rating" showValue="0">
        <cfvo type="percent" val="0"/>
        <cfvo type="num" val="1" gte="0"/>
        <cfvo type="num" val="2" gte="0"/>
        <cfvo type="num" val="3" gte="0"/>
        <cfvo type="num" val="4" gte="0"/>
      </iconSet>
    </cfRule>
  </conditionalFormatting>
  <conditionalFormatting sqref="AY85 AY87 AY89 AY91 AY93 AY96">
    <cfRule type="iconSet" priority="162">
      <iconSet iconSet="5Rating" showValue="0">
        <cfvo type="percent" val="0"/>
        <cfvo type="num" val="1" gte="0"/>
        <cfvo type="num" val="2" gte="0"/>
        <cfvo type="num" val="3" gte="0"/>
        <cfvo type="num" val="4" gte="0"/>
      </iconSet>
    </cfRule>
  </conditionalFormatting>
  <conditionalFormatting sqref="BA130:BA131">
    <cfRule type="iconSet" priority="185">
      <iconSet iconSet="5Rating" showValue="0">
        <cfvo type="percent" val="0"/>
        <cfvo type="num" val="1" gte="0"/>
        <cfvo type="num" val="2" gte="0"/>
        <cfvo type="num" val="3" gte="0"/>
        <cfvo type="num" val="4" gte="0"/>
      </iconSet>
    </cfRule>
  </conditionalFormatting>
  <conditionalFormatting sqref="BE40 AB12 AJ25 AJ16 BI25 BI16 AN58 CI40">
    <cfRule type="iconSet" priority="195">
      <iconSet iconSet="5Rating" showValue="0">
        <cfvo type="percent" val="0"/>
        <cfvo type="num" val="1" gte="0"/>
        <cfvo type="num" val="2" gte="0"/>
        <cfvo type="num" val="3" gte="0"/>
        <cfvo type="num" val="4" gte="0"/>
      </iconSet>
    </cfRule>
  </conditionalFormatting>
  <conditionalFormatting sqref="BE40 AX41:AZ41">
    <cfRule type="iconSet" priority="193">
      <iconSet iconSet="5Rating" showValue="0">
        <cfvo type="percent" val="0"/>
        <cfvo type="num" val="1" gte="0"/>
        <cfvo type="num" val="2" gte="0"/>
        <cfvo type="num" val="3" gte="0"/>
        <cfvo type="num" val="4" gte="0"/>
      </iconSet>
    </cfRule>
  </conditionalFormatting>
  <conditionalFormatting sqref="BG85 BG87 BG89 BG91 BG93 BG96">
    <cfRule type="iconSet" priority="161">
      <iconSet iconSet="5Rating" showValue="0">
        <cfvo type="percent" val="0"/>
        <cfvo type="num" val="1" gte="0"/>
        <cfvo type="num" val="2" gte="0"/>
        <cfvo type="num" val="3" gte="0"/>
        <cfvo type="num" val="4" gte="0"/>
      </iconSet>
    </cfRule>
  </conditionalFormatting>
  <conditionalFormatting sqref="BS85 BU84:BU85 BX84:BX85">
    <cfRule type="iconSet" priority="187">
      <iconSet iconSet="5Rating" showValue="0">
        <cfvo type="percent" val="0"/>
        <cfvo type="num" val="1" gte="0"/>
        <cfvo type="num" val="2" gte="0"/>
        <cfvo type="num" val="3" gte="0"/>
        <cfvo type="num" val="4" gte="0"/>
      </iconSet>
    </cfRule>
  </conditionalFormatting>
  <conditionalFormatting sqref="BZ113 BZ108 BZ111">
    <cfRule type="iconSet" priority="181">
      <iconSet iconSet="5Rating" showValue="0">
        <cfvo type="percent" val="0"/>
        <cfvo type="num" val="1" gte="0"/>
        <cfvo type="num" val="2" gte="0"/>
        <cfvo type="num" val="3" gte="0"/>
        <cfvo type="num" val="4" gte="0"/>
      </iconSet>
    </cfRule>
  </conditionalFormatting>
  <conditionalFormatting sqref="CH58">
    <cfRule type="iconSet" priority="190">
      <iconSet iconSet="5Rating" showValue="0">
        <cfvo type="percent" val="0"/>
        <cfvo type="num" val="1" gte="0"/>
        <cfvo type="num" val="2" gte="0"/>
        <cfvo type="num" val="3" gte="0"/>
        <cfvo type="num" val="4" gte="0"/>
      </iconSet>
    </cfRule>
    <cfRule type="iconSet" priority="191">
      <iconSet iconSet="5Rating" showValue="0">
        <cfvo type="percent" val="0"/>
        <cfvo type="num" val="1" gte="0"/>
        <cfvo type="num" val="2" gte="0"/>
        <cfvo type="num" val="3" gte="0"/>
        <cfvo type="num" val="4" gte="0"/>
      </iconSet>
    </cfRule>
  </conditionalFormatting>
  <conditionalFormatting sqref="CH130:CH131">
    <cfRule type="iconSet" priority="184">
      <iconSet iconSet="5Rating" showValue="0">
        <cfvo type="percent" val="0"/>
        <cfvo type="num" val="1" gte="0"/>
        <cfvo type="num" val="2" gte="0"/>
        <cfvo type="num" val="3" gte="0"/>
        <cfvo type="num" val="4" gte="0"/>
      </iconSet>
    </cfRule>
  </conditionalFormatting>
  <conditionalFormatting sqref="CJ41 CI40">
    <cfRule type="iconSet" priority="192">
      <iconSet iconSet="5Rating" showValue="0">
        <cfvo type="percent" val="0"/>
        <cfvo type="num" val="1" gte="0"/>
        <cfvo type="num" val="2" gte="0"/>
        <cfvo type="num" val="3" gte="0"/>
        <cfvo type="num" val="4" gte="0"/>
      </iconSet>
    </cfRule>
  </conditionalFormatting>
  <conditionalFormatting sqref="CJ102">
    <cfRule type="iconSet" priority="183">
      <iconSet iconSet="5Rating" showValue="0">
        <cfvo type="percent" val="0"/>
        <cfvo type="num" val="1" gte="0"/>
        <cfvo type="num" val="2" gte="0"/>
        <cfvo type="num" val="3" gte="0"/>
        <cfvo type="num" val="4" gte="0"/>
      </iconSet>
    </cfRule>
    <cfRule type="iconSet" priority="182">
      <iconSet iconSet="5Rating" showValue="0">
        <cfvo type="percent" val="0"/>
        <cfvo type="num" val="1" gte="0"/>
        <cfvo type="num" val="2" gte="0"/>
        <cfvo type="num" val="3" gte="0"/>
        <cfvo type="num" val="4" gte="0"/>
      </iconSet>
    </cfRule>
  </conditionalFormatting>
  <conditionalFormatting sqref="CJ123 BA123:BB123 Y123">
    <cfRule type="iconSet" priority="196">
      <iconSet iconSet="5Rating" showValue="0">
        <cfvo type="percent" val="0"/>
        <cfvo type="num" val="2"/>
        <cfvo type="num" val="3"/>
        <cfvo type="num" val="4"/>
        <cfvo type="num" val="5"/>
      </iconSet>
    </cfRule>
  </conditionalFormatting>
  <pageMargins left="1.1599999999999999" right="1.24" top="0.82677165354330717" bottom="0.35433070866141736" header="0.31496062992125984" footer="0.23622047244094491"/>
  <pageSetup paperSize="3" scale="49" fitToHeight="0" orientation="portrait" r:id="rId1"/>
  <headerFooter>
    <oddFooter xml:space="preserve">&amp;L&amp;10Version 1.0    © CERIU, 2023&amp;R&amp;10Onglet SOMMAIRE PGA Eau potable
Page &amp;P / &amp;N
</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45" id="{55868C98-A6F8-4157-8811-63ED8400F431}">
            <xm:f>'CALCULS Eaux pluviales'!E$327&gt;4</xm:f>
            <x14:dxf>
              <fill>
                <patternFill>
                  <bgColor theme="9"/>
                </patternFill>
              </fill>
            </x14:dxf>
          </x14:cfRule>
          <xm:sqref>J147</xm:sqref>
        </x14:conditionalFormatting>
        <x14:conditionalFormatting xmlns:xm="http://schemas.microsoft.com/office/excel/2006/main">
          <x14:cfRule type="expression" priority="144" id="{332267FE-415C-4F5E-AE5E-BA0071D32543}">
            <xm:f>'CALCULS Eaux pluviales'!E$327&gt;3</xm:f>
            <x14:dxf>
              <fill>
                <patternFill>
                  <bgColor theme="9"/>
                </patternFill>
              </fill>
            </x14:dxf>
          </x14:cfRule>
          <xm:sqref>J148</xm:sqref>
        </x14:conditionalFormatting>
        <x14:conditionalFormatting xmlns:xm="http://schemas.microsoft.com/office/excel/2006/main">
          <x14:cfRule type="expression" priority="143" id="{1FF57A96-4055-42D1-B252-D0992F1C9299}">
            <xm:f>'CALCULS Eaux pluviales'!E$327&gt;2</xm:f>
            <x14:dxf>
              <fill>
                <patternFill>
                  <bgColor theme="9"/>
                </patternFill>
              </fill>
            </x14:dxf>
          </x14:cfRule>
          <xm:sqref>J149</xm:sqref>
        </x14:conditionalFormatting>
        <x14:conditionalFormatting xmlns:xm="http://schemas.microsoft.com/office/excel/2006/main">
          <x14:cfRule type="expression" priority="142" id="{8D303820-C9B3-42C3-8DB2-539C0833F910}">
            <xm:f>'CALCULS Eaux pluviales'!E$327&gt;1</xm:f>
            <x14:dxf>
              <fill>
                <patternFill>
                  <bgColor theme="9"/>
                </patternFill>
              </fill>
            </x14:dxf>
          </x14:cfRule>
          <xm:sqref>J150</xm:sqref>
        </x14:conditionalFormatting>
        <x14:conditionalFormatting xmlns:xm="http://schemas.microsoft.com/office/excel/2006/main">
          <x14:cfRule type="expression" priority="141" id="{A3A5E658-1CE8-450D-B5A0-1C28C86DDBC6}">
            <xm:f>'CALCULS Eaux pluviales'!E$327&gt;0</xm:f>
            <x14:dxf>
              <fill>
                <patternFill>
                  <bgColor theme="9"/>
                </patternFill>
              </fill>
            </x14:dxf>
          </x14:cfRule>
          <xm:sqref>J151</xm:sqref>
        </x14:conditionalFormatting>
        <x14:conditionalFormatting xmlns:xm="http://schemas.microsoft.com/office/excel/2006/main">
          <x14:cfRule type="expression" priority="150" id="{717AD444-1CBD-4B9E-812F-7E7CBAA8B371}">
            <xm:f>'CALCULS Eaux pluviales'!F$327&gt;4</xm:f>
            <x14:dxf>
              <fill>
                <patternFill>
                  <bgColor theme="9"/>
                </patternFill>
              </fill>
            </x14:dxf>
          </x14:cfRule>
          <xm:sqref>L147</xm:sqref>
        </x14:conditionalFormatting>
        <x14:conditionalFormatting xmlns:xm="http://schemas.microsoft.com/office/excel/2006/main">
          <x14:cfRule type="expression" priority="149" id="{56AD0F78-B4A1-4D89-98C8-0B2D538FDD7C}">
            <xm:f>'CALCULS Eaux pluviales'!F$327&gt;3</xm:f>
            <x14:dxf>
              <fill>
                <patternFill>
                  <bgColor theme="9"/>
                </patternFill>
              </fill>
            </x14:dxf>
          </x14:cfRule>
          <xm:sqref>L148</xm:sqref>
        </x14:conditionalFormatting>
        <x14:conditionalFormatting xmlns:xm="http://schemas.microsoft.com/office/excel/2006/main">
          <x14:cfRule type="expression" priority="148" id="{4FAE6DC4-A7C8-4B26-87E4-7A2E867E783C}">
            <xm:f>'CALCULS Eaux pluviales'!F$327&gt;2</xm:f>
            <x14:dxf>
              <fill>
                <patternFill>
                  <bgColor theme="9"/>
                </patternFill>
              </fill>
            </x14:dxf>
          </x14:cfRule>
          <xm:sqref>L149</xm:sqref>
        </x14:conditionalFormatting>
        <x14:conditionalFormatting xmlns:xm="http://schemas.microsoft.com/office/excel/2006/main">
          <x14:cfRule type="expression" priority="147" id="{2965D571-C3F6-4C0D-AEDB-ECE922A6763E}">
            <xm:f>'CALCULS Eaux pluviales'!F$327&gt;1</xm:f>
            <x14:dxf>
              <fill>
                <patternFill>
                  <bgColor theme="9"/>
                </patternFill>
              </fill>
            </x14:dxf>
          </x14:cfRule>
          <xm:sqref>L150</xm:sqref>
        </x14:conditionalFormatting>
        <x14:conditionalFormatting xmlns:xm="http://schemas.microsoft.com/office/excel/2006/main">
          <x14:cfRule type="expression" priority="146" id="{447FCFD5-C503-48B7-9DB3-5E2A15AA453A}">
            <xm:f>'CALCULS Eaux pluviales'!F$327&gt;0</xm:f>
            <x14:dxf>
              <fill>
                <patternFill>
                  <bgColor theme="9"/>
                </patternFill>
              </fill>
            </x14:dxf>
          </x14:cfRule>
          <xm:sqref>L151</xm:sqref>
        </x14:conditionalFormatting>
        <x14:conditionalFormatting xmlns:xm="http://schemas.microsoft.com/office/excel/2006/main">
          <x14:cfRule type="expression" priority="155" id="{359EDAFA-8D12-494F-AF25-AD6262A95838}">
            <xm:f>'CALCULS Eaux pluviales'!G$327&gt;4</xm:f>
            <x14:dxf>
              <fill>
                <patternFill>
                  <bgColor theme="9"/>
                </patternFill>
              </fill>
            </x14:dxf>
          </x14:cfRule>
          <xm:sqref>N147</xm:sqref>
        </x14:conditionalFormatting>
        <x14:conditionalFormatting xmlns:xm="http://schemas.microsoft.com/office/excel/2006/main">
          <x14:cfRule type="expression" priority="154" id="{1B88DEA4-0F78-49DC-AFF6-B942234185D9}">
            <xm:f>'CALCULS Eaux pluviales'!G$327&gt;3</xm:f>
            <x14:dxf>
              <fill>
                <patternFill>
                  <bgColor theme="9"/>
                </patternFill>
              </fill>
            </x14:dxf>
          </x14:cfRule>
          <xm:sqref>N148</xm:sqref>
        </x14:conditionalFormatting>
        <x14:conditionalFormatting xmlns:xm="http://schemas.microsoft.com/office/excel/2006/main">
          <x14:cfRule type="expression" priority="153" id="{27C21EB6-44C0-4989-9E39-5B514290D9B8}">
            <xm:f>'CALCULS Eaux pluviales'!G$327&gt;2</xm:f>
            <x14:dxf>
              <fill>
                <patternFill>
                  <bgColor theme="9"/>
                </patternFill>
              </fill>
            </x14:dxf>
          </x14:cfRule>
          <xm:sqref>N149</xm:sqref>
        </x14:conditionalFormatting>
        <x14:conditionalFormatting xmlns:xm="http://schemas.microsoft.com/office/excel/2006/main">
          <x14:cfRule type="expression" priority="152" id="{3D716500-FE0F-4820-9C0B-E3535DD8F052}">
            <xm:f>'CALCULS Eaux pluviales'!G$327&gt;1</xm:f>
            <x14:dxf>
              <fill>
                <patternFill>
                  <bgColor theme="9"/>
                </patternFill>
              </fill>
            </x14:dxf>
          </x14:cfRule>
          <xm:sqref>N150</xm:sqref>
        </x14:conditionalFormatting>
        <x14:conditionalFormatting xmlns:xm="http://schemas.microsoft.com/office/excel/2006/main">
          <x14:cfRule type="expression" priority="151" id="{FA198E4C-3CE3-4B99-8265-ED9482B8137C}">
            <xm:f>'CALCULS Eaux pluviales'!G$327&gt;0</xm:f>
            <x14:dxf>
              <fill>
                <patternFill>
                  <bgColor theme="9"/>
                </patternFill>
              </fill>
            </x14:dxf>
          </x14:cfRule>
          <xm:sqref>N151</xm:sqref>
        </x14:conditionalFormatting>
        <x14:conditionalFormatting xmlns:xm="http://schemas.microsoft.com/office/excel/2006/main">
          <x14:cfRule type="expression" priority="6259" id="{BA6B823C-D917-4A43-A8F2-B02BCA6FBA8B}">
            <xm:f>'CALCULS Eaux pluviales'!H$327&gt;4</xm:f>
            <x14:dxf>
              <fill>
                <patternFill>
                  <bgColor theme="9"/>
                </patternFill>
              </fill>
            </x14:dxf>
          </x14:cfRule>
          <xm:sqref>P147</xm:sqref>
        </x14:conditionalFormatting>
        <x14:conditionalFormatting xmlns:xm="http://schemas.microsoft.com/office/excel/2006/main">
          <x14:cfRule type="expression" priority="6260" id="{EBDB8FDA-2FEC-4430-84BB-D6BD779C30C1}">
            <xm:f>'CALCULS Eaux pluviales'!H$327&gt;3</xm:f>
            <x14:dxf>
              <fill>
                <patternFill>
                  <bgColor theme="9"/>
                </patternFill>
              </fill>
            </x14:dxf>
          </x14:cfRule>
          <xm:sqref>P148</xm:sqref>
        </x14:conditionalFormatting>
        <x14:conditionalFormatting xmlns:xm="http://schemas.microsoft.com/office/excel/2006/main">
          <x14:cfRule type="expression" priority="6261" id="{5212D3DE-57F0-45EC-9838-31832DB3E4C2}">
            <xm:f>'CALCULS Eaux pluviales'!H$327&gt;2</xm:f>
            <x14:dxf>
              <fill>
                <patternFill>
                  <bgColor theme="9"/>
                </patternFill>
              </fill>
            </x14:dxf>
          </x14:cfRule>
          <xm:sqref>P149</xm:sqref>
        </x14:conditionalFormatting>
        <x14:conditionalFormatting xmlns:xm="http://schemas.microsoft.com/office/excel/2006/main">
          <x14:cfRule type="expression" priority="6262" id="{9100BE33-0D18-4C9E-9961-3CD418753B33}">
            <xm:f>'CALCULS Eaux pluviales'!H$327&gt;1</xm:f>
            <x14:dxf>
              <fill>
                <patternFill>
                  <bgColor theme="9"/>
                </patternFill>
              </fill>
            </x14:dxf>
          </x14:cfRule>
          <xm:sqref>P150</xm:sqref>
        </x14:conditionalFormatting>
        <x14:conditionalFormatting xmlns:xm="http://schemas.microsoft.com/office/excel/2006/main">
          <x14:cfRule type="expression" priority="6263" id="{43722B48-117C-4E4F-B360-D90A7A733CCC}">
            <xm:f>'CALCULS Eaux pluviales'!H$327&gt;0</xm:f>
            <x14:dxf>
              <fill>
                <patternFill>
                  <bgColor theme="9"/>
                </patternFill>
              </fill>
            </x14:dxf>
          </x14:cfRule>
          <xm:sqref>P151</xm:sqref>
        </x14:conditionalFormatting>
        <x14:conditionalFormatting xmlns:xm="http://schemas.microsoft.com/office/excel/2006/main">
          <x14:cfRule type="expression" priority="6264" id="{55868C98-A6F8-4157-8811-63ED8400F431}">
            <xm:f>'CALCULS Eaux pluviales'!I$327&gt;4</xm:f>
            <x14:dxf>
              <fill>
                <patternFill>
                  <bgColor theme="9"/>
                </patternFill>
              </fill>
            </x14:dxf>
          </x14:cfRule>
          <xm:sqref>R147</xm:sqref>
        </x14:conditionalFormatting>
        <x14:conditionalFormatting xmlns:xm="http://schemas.microsoft.com/office/excel/2006/main">
          <x14:cfRule type="expression" priority="6265" id="{332267FE-415C-4F5E-AE5E-BA0071D32543}">
            <xm:f>'CALCULS Eaux pluviales'!I$327&gt;3</xm:f>
            <x14:dxf>
              <fill>
                <patternFill>
                  <bgColor theme="9"/>
                </patternFill>
              </fill>
            </x14:dxf>
          </x14:cfRule>
          <xm:sqref>R148</xm:sqref>
        </x14:conditionalFormatting>
        <x14:conditionalFormatting xmlns:xm="http://schemas.microsoft.com/office/excel/2006/main">
          <x14:cfRule type="expression" priority="6266" id="{1FF57A96-4055-42D1-B252-D0992F1C9299}">
            <xm:f>'CALCULS Eaux pluviales'!I$327&gt;2</xm:f>
            <x14:dxf>
              <fill>
                <patternFill>
                  <bgColor theme="9"/>
                </patternFill>
              </fill>
            </x14:dxf>
          </x14:cfRule>
          <xm:sqref>R149</xm:sqref>
        </x14:conditionalFormatting>
        <x14:conditionalFormatting xmlns:xm="http://schemas.microsoft.com/office/excel/2006/main">
          <x14:cfRule type="expression" priority="6267" id="{8D303820-C9B3-42C3-8DB2-539C0833F910}">
            <xm:f>'CALCULS Eaux pluviales'!I$327&gt;1</xm:f>
            <x14:dxf>
              <fill>
                <patternFill>
                  <bgColor theme="9"/>
                </patternFill>
              </fill>
            </x14:dxf>
          </x14:cfRule>
          <xm:sqref>R150</xm:sqref>
        </x14:conditionalFormatting>
        <x14:conditionalFormatting xmlns:xm="http://schemas.microsoft.com/office/excel/2006/main">
          <x14:cfRule type="expression" priority="6268" id="{A3A5E658-1CE8-450D-B5A0-1C28C86DDBC6}">
            <xm:f>'CALCULS Eaux pluviales'!I$327&gt;0</xm:f>
            <x14:dxf>
              <fill>
                <patternFill>
                  <bgColor theme="9"/>
                </patternFill>
              </fill>
            </x14:dxf>
          </x14:cfRule>
          <xm:sqref>R151</xm:sqref>
        </x14:conditionalFormatting>
        <x14:conditionalFormatting xmlns:xm="http://schemas.microsoft.com/office/excel/2006/main">
          <x14:cfRule type="expression" priority="6269" id="{717AD444-1CBD-4B9E-812F-7E7CBAA8B371}">
            <xm:f>'CALCULS Eaux pluviales'!J$327&gt;4</xm:f>
            <x14:dxf>
              <fill>
                <patternFill>
                  <bgColor theme="9"/>
                </patternFill>
              </fill>
            </x14:dxf>
          </x14:cfRule>
          <xm:sqref>T147</xm:sqref>
        </x14:conditionalFormatting>
        <x14:conditionalFormatting xmlns:xm="http://schemas.microsoft.com/office/excel/2006/main">
          <x14:cfRule type="expression" priority="6270" id="{56AD0F78-B4A1-4D89-98C8-0B2D538FDD7C}">
            <xm:f>'CALCULS Eaux pluviales'!J$327&gt;3</xm:f>
            <x14:dxf>
              <fill>
                <patternFill>
                  <bgColor theme="9"/>
                </patternFill>
              </fill>
            </x14:dxf>
          </x14:cfRule>
          <xm:sqref>T148</xm:sqref>
        </x14:conditionalFormatting>
        <x14:conditionalFormatting xmlns:xm="http://schemas.microsoft.com/office/excel/2006/main">
          <x14:cfRule type="expression" priority="6271" id="{4FAE6DC4-A7C8-4B26-87E4-7A2E867E783C}">
            <xm:f>'CALCULS Eaux pluviales'!J$327&gt;2</xm:f>
            <x14:dxf>
              <fill>
                <patternFill>
                  <bgColor theme="9"/>
                </patternFill>
              </fill>
            </x14:dxf>
          </x14:cfRule>
          <xm:sqref>T149</xm:sqref>
        </x14:conditionalFormatting>
        <x14:conditionalFormatting xmlns:xm="http://schemas.microsoft.com/office/excel/2006/main">
          <x14:cfRule type="expression" priority="6272" id="{2965D571-C3F6-4C0D-AEDB-ECE922A6763E}">
            <xm:f>'CALCULS Eaux pluviales'!J$327&gt;1</xm:f>
            <x14:dxf>
              <fill>
                <patternFill>
                  <bgColor theme="9"/>
                </patternFill>
              </fill>
            </x14:dxf>
          </x14:cfRule>
          <xm:sqref>T150</xm:sqref>
        </x14:conditionalFormatting>
        <x14:conditionalFormatting xmlns:xm="http://schemas.microsoft.com/office/excel/2006/main">
          <x14:cfRule type="expression" priority="6273" id="{447FCFD5-C503-48B7-9DB3-5E2A15AA453A}">
            <xm:f>'CALCULS Eaux pluviales'!J$327&gt;0</xm:f>
            <x14:dxf>
              <fill>
                <patternFill>
                  <bgColor theme="9"/>
                </patternFill>
              </fill>
            </x14:dxf>
          </x14:cfRule>
          <xm:sqref>T151</xm:sqref>
        </x14:conditionalFormatting>
        <x14:conditionalFormatting xmlns:xm="http://schemas.microsoft.com/office/excel/2006/main">
          <x14:cfRule type="expression" priority="6274" id="{359EDAFA-8D12-494F-AF25-AD6262A95838}">
            <xm:f>'CALCULS Eaux pluviales'!K$327&gt;4</xm:f>
            <x14:dxf>
              <fill>
                <patternFill>
                  <bgColor theme="9"/>
                </patternFill>
              </fill>
            </x14:dxf>
          </x14:cfRule>
          <xm:sqref>V147</xm:sqref>
        </x14:conditionalFormatting>
        <x14:conditionalFormatting xmlns:xm="http://schemas.microsoft.com/office/excel/2006/main">
          <x14:cfRule type="expression" priority="6275" id="{1B88DEA4-0F78-49DC-AFF6-B942234185D9}">
            <xm:f>'CALCULS Eaux pluviales'!K$327&gt;3</xm:f>
            <x14:dxf>
              <fill>
                <patternFill>
                  <bgColor theme="9"/>
                </patternFill>
              </fill>
            </x14:dxf>
          </x14:cfRule>
          <xm:sqref>V148</xm:sqref>
        </x14:conditionalFormatting>
        <x14:conditionalFormatting xmlns:xm="http://schemas.microsoft.com/office/excel/2006/main">
          <x14:cfRule type="expression" priority="6276" id="{27C21EB6-44C0-4989-9E39-5B514290D9B8}">
            <xm:f>'CALCULS Eaux pluviales'!K$327&gt;2</xm:f>
            <x14:dxf>
              <fill>
                <patternFill>
                  <bgColor theme="9"/>
                </patternFill>
              </fill>
            </x14:dxf>
          </x14:cfRule>
          <xm:sqref>V149</xm:sqref>
        </x14:conditionalFormatting>
        <x14:conditionalFormatting xmlns:xm="http://schemas.microsoft.com/office/excel/2006/main">
          <x14:cfRule type="expression" priority="6277" id="{3D716500-FE0F-4820-9C0B-E3535DD8F052}">
            <xm:f>'CALCULS Eaux pluviales'!K$327&gt;1</xm:f>
            <x14:dxf>
              <fill>
                <patternFill>
                  <bgColor theme="9"/>
                </patternFill>
              </fill>
            </x14:dxf>
          </x14:cfRule>
          <xm:sqref>V150</xm:sqref>
        </x14:conditionalFormatting>
        <x14:conditionalFormatting xmlns:xm="http://schemas.microsoft.com/office/excel/2006/main">
          <x14:cfRule type="expression" priority="6278" id="{FA198E4C-3CE3-4B99-8265-ED9482B8137C}">
            <xm:f>'CALCULS Eaux pluviales'!K$327&gt;0</xm:f>
            <x14:dxf>
              <fill>
                <patternFill>
                  <bgColor theme="9"/>
                </patternFill>
              </fill>
            </x14:dxf>
          </x14:cfRule>
          <xm:sqref>V151</xm:sqref>
        </x14:conditionalFormatting>
        <x14:conditionalFormatting xmlns:xm="http://schemas.microsoft.com/office/excel/2006/main">
          <x14:cfRule type="expression" priority="6279" id="{2B12916A-6CF7-40E8-8422-64AA68ADBF19}">
            <xm:f>'CALCULS Eaux pluviales'!L$327&gt;4</xm:f>
            <x14:dxf>
              <fill>
                <patternFill>
                  <bgColor theme="9" tint="-0.499984740745262"/>
                </patternFill>
              </fill>
            </x14:dxf>
          </x14:cfRule>
          <xm:sqref>X147</xm:sqref>
        </x14:conditionalFormatting>
        <x14:conditionalFormatting xmlns:xm="http://schemas.microsoft.com/office/excel/2006/main">
          <x14:cfRule type="expression" priority="6280" id="{C273A0B4-8415-45B6-A818-80BB857506D3}">
            <xm:f>'CALCULS Eaux pluviales'!L$327&gt;3</xm:f>
            <x14:dxf>
              <fill>
                <patternFill>
                  <bgColor theme="9" tint="-0.499984740745262"/>
                </patternFill>
              </fill>
            </x14:dxf>
          </x14:cfRule>
          <xm:sqref>X148</xm:sqref>
        </x14:conditionalFormatting>
        <x14:conditionalFormatting xmlns:xm="http://schemas.microsoft.com/office/excel/2006/main">
          <x14:cfRule type="expression" priority="6281" id="{5F54CA1D-C6A6-4995-9BB8-5A40AF094451}">
            <xm:f>'CALCULS Eaux pluviales'!L$327&gt;2</xm:f>
            <x14:dxf>
              <fill>
                <patternFill>
                  <bgColor theme="9" tint="-0.499984740745262"/>
                </patternFill>
              </fill>
            </x14:dxf>
          </x14:cfRule>
          <xm:sqref>X149</xm:sqref>
        </x14:conditionalFormatting>
        <x14:conditionalFormatting xmlns:xm="http://schemas.microsoft.com/office/excel/2006/main">
          <x14:cfRule type="expression" priority="6282" id="{A0C9C635-A5F0-44AF-B0A7-6D0351DE6A81}">
            <xm:f>'CALCULS Eaux pluviales'!L$327&gt;1</xm:f>
            <x14:dxf>
              <fill>
                <patternFill>
                  <bgColor theme="9" tint="-0.499984740745262"/>
                </patternFill>
              </fill>
            </x14:dxf>
          </x14:cfRule>
          <xm:sqref>X150</xm:sqref>
        </x14:conditionalFormatting>
        <x14:conditionalFormatting xmlns:xm="http://schemas.microsoft.com/office/excel/2006/main">
          <x14:cfRule type="expression" priority="6283" id="{496FEE27-31D3-474F-9131-DA7E59C395BB}">
            <xm:f>'CALCULS Eaux pluviales'!L$327&gt;0</xm:f>
            <x14:dxf>
              <fill>
                <patternFill>
                  <bgColor theme="9" tint="-0.499984740745262"/>
                </patternFill>
              </fill>
            </x14:dxf>
          </x14:cfRule>
          <xm:sqref>X151</xm:sqref>
        </x14:conditionalFormatting>
        <x14:conditionalFormatting xmlns:xm="http://schemas.microsoft.com/office/excel/2006/main">
          <x14:cfRule type="expression" priority="105" id="{23C5B1F7-068A-47D5-8610-D597548862F5}">
            <xm:f>'CALCULS Eaux pluviales'!E$329&gt;4</xm:f>
            <x14:dxf>
              <fill>
                <patternFill>
                  <bgColor theme="9"/>
                </patternFill>
              </fill>
            </x14:dxf>
          </x14:cfRule>
          <xm:sqref>Z147</xm:sqref>
        </x14:conditionalFormatting>
        <x14:conditionalFormatting xmlns:xm="http://schemas.microsoft.com/office/excel/2006/main">
          <x14:cfRule type="expression" priority="104" id="{459A24C9-26F5-4D83-B481-9D7AE65DAE77}">
            <xm:f>'CALCULS Eaux pluviales'!E$329&gt;3</xm:f>
            <x14:dxf>
              <fill>
                <patternFill>
                  <bgColor theme="9"/>
                </patternFill>
              </fill>
            </x14:dxf>
          </x14:cfRule>
          <xm:sqref>Z148</xm:sqref>
        </x14:conditionalFormatting>
        <x14:conditionalFormatting xmlns:xm="http://schemas.microsoft.com/office/excel/2006/main">
          <x14:cfRule type="expression" priority="103" id="{FDC014C4-97ED-40B3-8BD8-18CAEBA8C39C}">
            <xm:f>'CALCULS Eaux pluviales'!E$329&gt;2</xm:f>
            <x14:dxf>
              <fill>
                <patternFill>
                  <bgColor theme="9"/>
                </patternFill>
              </fill>
            </x14:dxf>
          </x14:cfRule>
          <xm:sqref>Z149</xm:sqref>
        </x14:conditionalFormatting>
        <x14:conditionalFormatting xmlns:xm="http://schemas.microsoft.com/office/excel/2006/main">
          <x14:cfRule type="expression" priority="102" id="{1F21BD92-49B0-44DE-B876-1B9F06FB36A5}">
            <xm:f>'CALCULS Eaux pluviales'!E$329&gt;1</xm:f>
            <x14:dxf>
              <fill>
                <patternFill>
                  <bgColor theme="9"/>
                </patternFill>
              </fill>
            </x14:dxf>
          </x14:cfRule>
          <xm:sqref>Z150</xm:sqref>
        </x14:conditionalFormatting>
        <x14:conditionalFormatting xmlns:xm="http://schemas.microsoft.com/office/excel/2006/main">
          <x14:cfRule type="expression" priority="101" id="{E033254A-A834-4052-8F64-7672E94E8FAD}">
            <xm:f>'CALCULS Eaux pluviales'!E$329&gt;0</xm:f>
            <x14:dxf>
              <fill>
                <patternFill>
                  <bgColor theme="9"/>
                </patternFill>
              </fill>
            </x14:dxf>
          </x14:cfRule>
          <xm:sqref>Z151</xm:sqref>
        </x14:conditionalFormatting>
        <x14:conditionalFormatting xmlns:xm="http://schemas.microsoft.com/office/excel/2006/main">
          <x14:cfRule type="expression" priority="110" id="{953CED71-964E-4737-89E2-95630D3002E2}">
            <xm:f>'CALCULS Eaux pluviales'!F$329&gt;4</xm:f>
            <x14:dxf>
              <fill>
                <patternFill>
                  <bgColor theme="9"/>
                </patternFill>
              </fill>
            </x14:dxf>
          </x14:cfRule>
          <xm:sqref>AB147</xm:sqref>
        </x14:conditionalFormatting>
        <x14:conditionalFormatting xmlns:xm="http://schemas.microsoft.com/office/excel/2006/main">
          <x14:cfRule type="expression" priority="109" id="{E3D55192-E6D3-41AC-935D-0C6097108D4D}">
            <xm:f>'CALCULS Eaux pluviales'!F$329&gt;3</xm:f>
            <x14:dxf>
              <fill>
                <patternFill>
                  <bgColor theme="9"/>
                </patternFill>
              </fill>
            </x14:dxf>
          </x14:cfRule>
          <xm:sqref>AB148</xm:sqref>
        </x14:conditionalFormatting>
        <x14:conditionalFormatting xmlns:xm="http://schemas.microsoft.com/office/excel/2006/main">
          <x14:cfRule type="expression" priority="108" id="{996252DD-AE08-4127-ADC9-8E056A121B90}">
            <xm:f>'CALCULS Eaux pluviales'!F$329&gt;2</xm:f>
            <x14:dxf>
              <fill>
                <patternFill>
                  <bgColor theme="9"/>
                </patternFill>
              </fill>
            </x14:dxf>
          </x14:cfRule>
          <xm:sqref>AB149</xm:sqref>
        </x14:conditionalFormatting>
        <x14:conditionalFormatting xmlns:xm="http://schemas.microsoft.com/office/excel/2006/main">
          <x14:cfRule type="expression" priority="107" id="{4EFA62DA-52BF-41E2-8D36-38ACB39E9CF1}">
            <xm:f>'CALCULS Eaux pluviales'!F$329&gt;1</xm:f>
            <x14:dxf>
              <fill>
                <patternFill>
                  <bgColor theme="9"/>
                </patternFill>
              </fill>
            </x14:dxf>
          </x14:cfRule>
          <xm:sqref>AB150</xm:sqref>
        </x14:conditionalFormatting>
        <x14:conditionalFormatting xmlns:xm="http://schemas.microsoft.com/office/excel/2006/main">
          <x14:cfRule type="expression" priority="106" id="{BE966F89-949A-463F-A02A-D1F8F9D567C6}">
            <xm:f>'CALCULS Eaux pluviales'!F$329&gt;0</xm:f>
            <x14:dxf>
              <fill>
                <patternFill>
                  <bgColor theme="9"/>
                </patternFill>
              </fill>
            </x14:dxf>
          </x14:cfRule>
          <xm:sqref>AB151</xm:sqref>
        </x14:conditionalFormatting>
        <x14:conditionalFormatting xmlns:xm="http://schemas.microsoft.com/office/excel/2006/main">
          <x14:cfRule type="expression" priority="115" id="{16658E6A-3C8B-47EF-B7D4-82F947ED7891}">
            <xm:f>'CALCULS Eaux pluviales'!G$329&gt;4</xm:f>
            <x14:dxf>
              <fill>
                <patternFill>
                  <bgColor theme="9"/>
                </patternFill>
              </fill>
            </x14:dxf>
          </x14:cfRule>
          <xm:sqref>AD147</xm:sqref>
        </x14:conditionalFormatting>
        <x14:conditionalFormatting xmlns:xm="http://schemas.microsoft.com/office/excel/2006/main">
          <x14:cfRule type="expression" priority="114" id="{FF8D2314-B860-495A-883A-6DBEA4DAB503}">
            <xm:f>'CALCULS Eaux pluviales'!G$329&gt;3</xm:f>
            <x14:dxf>
              <fill>
                <patternFill>
                  <bgColor theme="9"/>
                </patternFill>
              </fill>
            </x14:dxf>
          </x14:cfRule>
          <xm:sqref>AD148</xm:sqref>
        </x14:conditionalFormatting>
        <x14:conditionalFormatting xmlns:xm="http://schemas.microsoft.com/office/excel/2006/main">
          <x14:cfRule type="expression" priority="113" id="{891A4E47-2C25-4926-B344-D034D2A68B8B}">
            <xm:f>'CALCULS Eaux pluviales'!G$329&gt;2</xm:f>
            <x14:dxf>
              <fill>
                <patternFill>
                  <bgColor theme="9"/>
                </patternFill>
              </fill>
            </x14:dxf>
          </x14:cfRule>
          <xm:sqref>AD149</xm:sqref>
        </x14:conditionalFormatting>
        <x14:conditionalFormatting xmlns:xm="http://schemas.microsoft.com/office/excel/2006/main">
          <x14:cfRule type="expression" priority="112" id="{46B28061-CB85-4BBB-B3B4-B29D31D62997}">
            <xm:f>'CALCULS Eaux pluviales'!G$329&gt;1</xm:f>
            <x14:dxf>
              <fill>
                <patternFill>
                  <bgColor theme="9"/>
                </patternFill>
              </fill>
            </x14:dxf>
          </x14:cfRule>
          <xm:sqref>AD150</xm:sqref>
        </x14:conditionalFormatting>
        <x14:conditionalFormatting xmlns:xm="http://schemas.microsoft.com/office/excel/2006/main">
          <x14:cfRule type="expression" priority="111" id="{99A22E95-1E6D-4C7A-9F36-6591D4B0B1D9}">
            <xm:f>'CALCULS Eaux pluviales'!G$329&gt;0</xm:f>
            <x14:dxf>
              <fill>
                <patternFill>
                  <bgColor theme="9"/>
                </patternFill>
              </fill>
            </x14:dxf>
          </x14:cfRule>
          <xm:sqref>AD151</xm:sqref>
        </x14:conditionalFormatting>
        <x14:conditionalFormatting xmlns:xm="http://schemas.microsoft.com/office/excel/2006/main">
          <x14:cfRule type="expression" priority="6768" id="{B5ACE440-3BC0-4A03-A674-D1BB5332372F}">
            <xm:f>'CALCULS Eaux pluviales'!H$329&gt;4</xm:f>
            <x14:dxf>
              <fill>
                <patternFill>
                  <bgColor theme="9"/>
                </patternFill>
              </fill>
            </x14:dxf>
          </x14:cfRule>
          <xm:sqref>AF147</xm:sqref>
        </x14:conditionalFormatting>
        <x14:conditionalFormatting xmlns:xm="http://schemas.microsoft.com/office/excel/2006/main">
          <x14:cfRule type="expression" priority="6769" id="{F0430F8B-AB27-4B63-998B-2188D9A7FEA1}">
            <xm:f>'CALCULS Eaux pluviales'!H$329&gt;3</xm:f>
            <x14:dxf>
              <fill>
                <patternFill>
                  <bgColor theme="9"/>
                </patternFill>
              </fill>
            </x14:dxf>
          </x14:cfRule>
          <xm:sqref>AF148</xm:sqref>
        </x14:conditionalFormatting>
        <x14:conditionalFormatting xmlns:xm="http://schemas.microsoft.com/office/excel/2006/main">
          <x14:cfRule type="expression" priority="6770" id="{75FA754F-07E7-412A-BA5B-DADEFCC4E656}">
            <xm:f>'CALCULS Eaux pluviales'!H$329&gt;2</xm:f>
            <x14:dxf>
              <fill>
                <patternFill>
                  <bgColor theme="9"/>
                </patternFill>
              </fill>
            </x14:dxf>
          </x14:cfRule>
          <xm:sqref>AF149</xm:sqref>
        </x14:conditionalFormatting>
        <x14:conditionalFormatting xmlns:xm="http://schemas.microsoft.com/office/excel/2006/main">
          <x14:cfRule type="expression" priority="6771" id="{F3732C4E-9D33-4E2B-B0E4-145B68B3775B}">
            <xm:f>'CALCULS Eaux pluviales'!H$329&gt;1</xm:f>
            <x14:dxf>
              <fill>
                <patternFill>
                  <bgColor theme="9"/>
                </patternFill>
              </fill>
            </x14:dxf>
          </x14:cfRule>
          <xm:sqref>AF150</xm:sqref>
        </x14:conditionalFormatting>
        <x14:conditionalFormatting xmlns:xm="http://schemas.microsoft.com/office/excel/2006/main">
          <x14:cfRule type="expression" priority="6772" id="{B1F316D8-4694-469D-B0A2-7EC76561B6AD}">
            <xm:f>'CALCULS Eaux pluviales'!H$329&gt;0</xm:f>
            <x14:dxf>
              <fill>
                <patternFill>
                  <bgColor theme="9"/>
                </patternFill>
              </fill>
            </x14:dxf>
          </x14:cfRule>
          <xm:sqref>AF151</xm:sqref>
        </x14:conditionalFormatting>
        <x14:conditionalFormatting xmlns:xm="http://schemas.microsoft.com/office/excel/2006/main">
          <x14:cfRule type="expression" priority="6773" id="{23C5B1F7-068A-47D5-8610-D597548862F5}">
            <xm:f>'CALCULS Eaux pluviales'!I$329&gt;4</xm:f>
            <x14:dxf>
              <fill>
                <patternFill>
                  <bgColor theme="9"/>
                </patternFill>
              </fill>
            </x14:dxf>
          </x14:cfRule>
          <xm:sqref>AH147</xm:sqref>
        </x14:conditionalFormatting>
        <x14:conditionalFormatting xmlns:xm="http://schemas.microsoft.com/office/excel/2006/main">
          <x14:cfRule type="expression" priority="6774" id="{459A24C9-26F5-4D83-B481-9D7AE65DAE77}">
            <xm:f>'CALCULS Eaux pluviales'!I$329&gt;3</xm:f>
            <x14:dxf>
              <fill>
                <patternFill>
                  <bgColor theme="9"/>
                </patternFill>
              </fill>
            </x14:dxf>
          </x14:cfRule>
          <xm:sqref>AH148</xm:sqref>
        </x14:conditionalFormatting>
        <x14:conditionalFormatting xmlns:xm="http://schemas.microsoft.com/office/excel/2006/main">
          <x14:cfRule type="expression" priority="6775" id="{FDC014C4-97ED-40B3-8BD8-18CAEBA8C39C}">
            <xm:f>'CALCULS Eaux pluviales'!I$329&gt;2</xm:f>
            <x14:dxf>
              <fill>
                <patternFill>
                  <bgColor theme="9"/>
                </patternFill>
              </fill>
            </x14:dxf>
          </x14:cfRule>
          <xm:sqref>AH149</xm:sqref>
        </x14:conditionalFormatting>
        <x14:conditionalFormatting xmlns:xm="http://schemas.microsoft.com/office/excel/2006/main">
          <x14:cfRule type="expression" priority="6776" id="{1F21BD92-49B0-44DE-B876-1B9F06FB36A5}">
            <xm:f>'CALCULS Eaux pluviales'!I$329&gt;1</xm:f>
            <x14:dxf>
              <fill>
                <patternFill>
                  <bgColor theme="9"/>
                </patternFill>
              </fill>
            </x14:dxf>
          </x14:cfRule>
          <xm:sqref>AH150</xm:sqref>
        </x14:conditionalFormatting>
        <x14:conditionalFormatting xmlns:xm="http://schemas.microsoft.com/office/excel/2006/main">
          <x14:cfRule type="expression" priority="6777" id="{E033254A-A834-4052-8F64-7672E94E8FAD}">
            <xm:f>'CALCULS Eaux pluviales'!I$329&gt;0</xm:f>
            <x14:dxf>
              <fill>
                <patternFill>
                  <bgColor theme="9"/>
                </patternFill>
              </fill>
            </x14:dxf>
          </x14:cfRule>
          <xm:sqref>AH151</xm:sqref>
        </x14:conditionalFormatting>
        <x14:conditionalFormatting xmlns:xm="http://schemas.microsoft.com/office/excel/2006/main">
          <x14:cfRule type="expression" priority="6778" id="{953CED71-964E-4737-89E2-95630D3002E2}">
            <xm:f>'CALCULS Eaux pluviales'!J$329&gt;4</xm:f>
            <x14:dxf>
              <fill>
                <patternFill>
                  <bgColor theme="9"/>
                </patternFill>
              </fill>
            </x14:dxf>
          </x14:cfRule>
          <xm:sqref>AJ147</xm:sqref>
        </x14:conditionalFormatting>
        <x14:conditionalFormatting xmlns:xm="http://schemas.microsoft.com/office/excel/2006/main">
          <x14:cfRule type="expression" priority="6779" id="{E3D55192-E6D3-41AC-935D-0C6097108D4D}">
            <xm:f>'CALCULS Eaux pluviales'!J$329&gt;3</xm:f>
            <x14:dxf>
              <fill>
                <patternFill>
                  <bgColor theme="9"/>
                </patternFill>
              </fill>
            </x14:dxf>
          </x14:cfRule>
          <xm:sqref>AJ148</xm:sqref>
        </x14:conditionalFormatting>
        <x14:conditionalFormatting xmlns:xm="http://schemas.microsoft.com/office/excel/2006/main">
          <x14:cfRule type="expression" priority="6780" id="{996252DD-AE08-4127-ADC9-8E056A121B90}">
            <xm:f>'CALCULS Eaux pluviales'!J$329&gt;2</xm:f>
            <x14:dxf>
              <fill>
                <patternFill>
                  <bgColor theme="9"/>
                </patternFill>
              </fill>
            </x14:dxf>
          </x14:cfRule>
          <xm:sqref>AJ149</xm:sqref>
        </x14:conditionalFormatting>
        <x14:conditionalFormatting xmlns:xm="http://schemas.microsoft.com/office/excel/2006/main">
          <x14:cfRule type="expression" priority="6781" id="{4EFA62DA-52BF-41E2-8D36-38ACB39E9CF1}">
            <xm:f>'CALCULS Eaux pluviales'!J$329&gt;1</xm:f>
            <x14:dxf>
              <fill>
                <patternFill>
                  <bgColor theme="9"/>
                </patternFill>
              </fill>
            </x14:dxf>
          </x14:cfRule>
          <xm:sqref>AJ150</xm:sqref>
        </x14:conditionalFormatting>
        <x14:conditionalFormatting xmlns:xm="http://schemas.microsoft.com/office/excel/2006/main">
          <x14:cfRule type="expression" priority="6782" id="{BE966F89-949A-463F-A02A-D1F8F9D567C6}">
            <xm:f>'CALCULS Eaux pluviales'!J$329&gt;0</xm:f>
            <x14:dxf>
              <fill>
                <patternFill>
                  <bgColor theme="9"/>
                </patternFill>
              </fill>
            </x14:dxf>
          </x14:cfRule>
          <xm:sqref>AJ151</xm:sqref>
        </x14:conditionalFormatting>
        <x14:conditionalFormatting xmlns:xm="http://schemas.microsoft.com/office/excel/2006/main">
          <x14:cfRule type="expression" priority="6783" id="{16658E6A-3C8B-47EF-B7D4-82F947ED7891}">
            <xm:f>'CALCULS Eaux pluviales'!K$329&gt;4</xm:f>
            <x14:dxf>
              <fill>
                <patternFill>
                  <bgColor theme="9"/>
                </patternFill>
              </fill>
            </x14:dxf>
          </x14:cfRule>
          <xm:sqref>AL147</xm:sqref>
        </x14:conditionalFormatting>
        <x14:conditionalFormatting xmlns:xm="http://schemas.microsoft.com/office/excel/2006/main">
          <x14:cfRule type="expression" priority="6784" id="{FF8D2314-B860-495A-883A-6DBEA4DAB503}">
            <xm:f>'CALCULS Eaux pluviales'!K$329&gt;3</xm:f>
            <x14:dxf>
              <fill>
                <patternFill>
                  <bgColor theme="9"/>
                </patternFill>
              </fill>
            </x14:dxf>
          </x14:cfRule>
          <xm:sqref>AL148</xm:sqref>
        </x14:conditionalFormatting>
        <x14:conditionalFormatting xmlns:xm="http://schemas.microsoft.com/office/excel/2006/main">
          <x14:cfRule type="expression" priority="6785" id="{891A4E47-2C25-4926-B344-D034D2A68B8B}">
            <xm:f>'CALCULS Eaux pluviales'!K$329&gt;2</xm:f>
            <x14:dxf>
              <fill>
                <patternFill>
                  <bgColor theme="9"/>
                </patternFill>
              </fill>
            </x14:dxf>
          </x14:cfRule>
          <xm:sqref>AL149</xm:sqref>
        </x14:conditionalFormatting>
        <x14:conditionalFormatting xmlns:xm="http://schemas.microsoft.com/office/excel/2006/main">
          <x14:cfRule type="expression" priority="6786" id="{46B28061-CB85-4BBB-B3B4-B29D31D62997}">
            <xm:f>'CALCULS Eaux pluviales'!K$329&gt;1</xm:f>
            <x14:dxf>
              <fill>
                <patternFill>
                  <bgColor theme="9"/>
                </patternFill>
              </fill>
            </x14:dxf>
          </x14:cfRule>
          <xm:sqref>AL150</xm:sqref>
        </x14:conditionalFormatting>
        <x14:conditionalFormatting xmlns:xm="http://schemas.microsoft.com/office/excel/2006/main">
          <x14:cfRule type="expression" priority="6787" id="{99A22E95-1E6D-4C7A-9F36-6591D4B0B1D9}">
            <xm:f>'CALCULS Eaux pluviales'!K$329&gt;0</xm:f>
            <x14:dxf>
              <fill>
                <patternFill>
                  <bgColor theme="9"/>
                </patternFill>
              </fill>
            </x14:dxf>
          </x14:cfRule>
          <xm:sqref>AL151</xm:sqref>
        </x14:conditionalFormatting>
        <x14:conditionalFormatting xmlns:xm="http://schemas.microsoft.com/office/excel/2006/main">
          <x14:cfRule type="expression" priority="6788" id="{1E1163E9-8205-4B3B-B0B2-C93B0826439E}">
            <xm:f>'CALCULS Eaux pluviales'!L$329&gt;4</xm:f>
            <x14:dxf>
              <fill>
                <patternFill>
                  <bgColor theme="9" tint="-0.499984740745262"/>
                </patternFill>
              </fill>
            </x14:dxf>
          </x14:cfRule>
          <xm:sqref>AN147</xm:sqref>
        </x14:conditionalFormatting>
        <x14:conditionalFormatting xmlns:xm="http://schemas.microsoft.com/office/excel/2006/main">
          <x14:cfRule type="expression" priority="6789" id="{21020AA8-B000-459A-87C4-B20CC99890DE}">
            <xm:f>'CALCULS Eaux pluviales'!L$329&gt;3</xm:f>
            <x14:dxf>
              <fill>
                <patternFill>
                  <bgColor theme="9" tint="-0.499984740745262"/>
                </patternFill>
              </fill>
            </x14:dxf>
          </x14:cfRule>
          <xm:sqref>AN148</xm:sqref>
        </x14:conditionalFormatting>
        <x14:conditionalFormatting xmlns:xm="http://schemas.microsoft.com/office/excel/2006/main">
          <x14:cfRule type="expression" priority="6790" id="{A9B8E356-6641-4091-A9BA-A02CCD7EF96A}">
            <xm:f>'CALCULS Eaux pluviales'!L$329&gt;2</xm:f>
            <x14:dxf>
              <fill>
                <patternFill>
                  <bgColor theme="9" tint="-0.499984740745262"/>
                </patternFill>
              </fill>
            </x14:dxf>
          </x14:cfRule>
          <xm:sqref>AN149</xm:sqref>
        </x14:conditionalFormatting>
        <x14:conditionalFormatting xmlns:xm="http://schemas.microsoft.com/office/excel/2006/main">
          <x14:cfRule type="expression" priority="6791" id="{E92A41C8-CCD8-4A33-AB89-8A2B6ADD71D0}">
            <xm:f>'CALCULS Eaux pluviales'!L$329&gt;1</xm:f>
            <x14:dxf>
              <fill>
                <patternFill>
                  <bgColor theme="9" tint="-0.499984740745262"/>
                </patternFill>
              </fill>
            </x14:dxf>
          </x14:cfRule>
          <xm:sqref>AN150</xm:sqref>
        </x14:conditionalFormatting>
        <x14:conditionalFormatting xmlns:xm="http://schemas.microsoft.com/office/excel/2006/main">
          <x14:cfRule type="expression" priority="6792" id="{116F3DA3-D4A6-48DA-BF18-8EAB59004A64}">
            <xm:f>'CALCULS Eaux pluviales'!L$329&gt;0</xm:f>
            <x14:dxf>
              <fill>
                <patternFill>
                  <bgColor theme="9" tint="-0.499984740745262"/>
                </patternFill>
              </fill>
            </x14:dxf>
          </x14:cfRule>
          <xm:sqref>AN151</xm:sqref>
        </x14:conditionalFormatting>
        <x14:conditionalFormatting xmlns:xm="http://schemas.microsoft.com/office/excel/2006/main">
          <x14:cfRule type="expression" priority="179" id="{5B3B5A67-AA3F-4319-9D7E-4040949B51CF}">
            <xm:f>OR('CALCULS Eaux pluviales'!$I$105=1,'CALCULS Eaux pluviales'!$I$105=4)</xm:f>
            <x14:dxf>
              <fill>
                <patternFill>
                  <bgColor rgb="FF7030A0"/>
                </patternFill>
              </fill>
            </x14:dxf>
          </x14:cfRule>
          <xm:sqref>BA61:BM61</xm:sqref>
        </x14:conditionalFormatting>
        <x14:conditionalFormatting xmlns:xm="http://schemas.microsoft.com/office/excel/2006/main">
          <x14:cfRule type="expression" priority="180" id="{641FCB28-4EC0-4018-BC39-F96966FC4EE5}">
            <xm:f>OR('CALCULS Eaux pluviales'!$I$106=1,'CALCULS Eaux pluviales'!$I$106=4)</xm:f>
            <x14:dxf>
              <fill>
                <patternFill>
                  <bgColor rgb="FF7030A0"/>
                </patternFill>
              </fill>
            </x14:dxf>
          </x14:cfRule>
          <xm:sqref>BA63:BM63</xm:sqref>
        </x14:conditionalFormatting>
        <x14:conditionalFormatting xmlns:xm="http://schemas.microsoft.com/office/excel/2006/main">
          <x14:cfRule type="expression" priority="178" id="{73ECA0F5-FD55-48AC-8A38-D47D4311A239}">
            <xm:f>OR('CALCULS Eaux pluviales'!$I$107=1,'CALCULS Eaux pluviales'!$I$107=4)</xm:f>
            <x14:dxf>
              <fill>
                <patternFill>
                  <bgColor rgb="FF7030A0"/>
                </patternFill>
              </fill>
            </x14:dxf>
          </x14:cfRule>
          <xm:sqref>BA65:BM65</xm:sqref>
        </x14:conditionalFormatting>
        <x14:conditionalFormatting xmlns:xm="http://schemas.microsoft.com/office/excel/2006/main">
          <x14:cfRule type="expression" priority="177" id="{FDCD8839-1916-4BE4-8EF7-7A47A2E9B125}">
            <xm:f>OR('CALCULS Eaux pluviales'!$I$108=1,'CALCULS Eaux pluviales'!$I$108=4)</xm:f>
            <x14:dxf>
              <fill>
                <patternFill>
                  <bgColor rgb="FF7030A0"/>
                </patternFill>
              </fill>
            </x14:dxf>
          </x14:cfRule>
          <xm:sqref>BA67:BM67</xm:sqref>
        </x14:conditionalFormatting>
        <x14:conditionalFormatting xmlns:xm="http://schemas.microsoft.com/office/excel/2006/main">
          <x14:cfRule type="expression" priority="176" id="{0DAFC9D9-EB71-470C-92A3-5FF09BFEB1AF}">
            <xm:f>OR('CALCULS Eaux pluviales'!$I$109=1,'CALCULS Eaux pluviales'!$I$109=4)</xm:f>
            <x14:dxf>
              <fill>
                <patternFill>
                  <bgColor rgb="FF7030A0"/>
                </patternFill>
              </fill>
            </x14:dxf>
          </x14:cfRule>
          <xm:sqref>BA69:BM69</xm:sqref>
        </x14:conditionalFormatting>
        <x14:conditionalFormatting xmlns:xm="http://schemas.microsoft.com/office/excel/2006/main">
          <x14:cfRule type="expression" priority="175" id="{C483F659-0173-40D4-9698-96C48AA55C9D}">
            <xm:f>OR('CALCULS Eaux pluviales'!$I$110=1,'CALCULS Eaux pluviales'!$I$110=4)</xm:f>
            <x14:dxf>
              <fill>
                <patternFill>
                  <bgColor rgb="FF7030A0"/>
                </patternFill>
              </fill>
            </x14:dxf>
          </x14:cfRule>
          <xm:sqref>BA71:BM71</xm:sqref>
        </x14:conditionalFormatting>
        <x14:conditionalFormatting xmlns:xm="http://schemas.microsoft.com/office/excel/2006/main">
          <x14:cfRule type="expression" priority="7267" id="{EF03AE24-8290-43B0-BA11-75DDBB4CD29D}">
            <xm:f>'CALCULS Eaux pluviales'!E$339&gt;4</xm:f>
            <x14:dxf>
              <fill>
                <patternFill>
                  <bgColor rgb="FF428BCE"/>
                </patternFill>
              </fill>
            </x14:dxf>
          </x14:cfRule>
          <xm:sqref>BC147</xm:sqref>
        </x14:conditionalFormatting>
        <x14:conditionalFormatting xmlns:xm="http://schemas.microsoft.com/office/excel/2006/main">
          <x14:cfRule type="expression" priority="7268" id="{9ACB5C4A-0A2D-452D-98A8-C575BFEF677A}">
            <xm:f>'CALCULS Eaux pluviales'!E$339&gt;3</xm:f>
            <x14:dxf>
              <fill>
                <patternFill>
                  <bgColor rgb="FF428BCE"/>
                </patternFill>
              </fill>
            </x14:dxf>
          </x14:cfRule>
          <xm:sqref>BC148</xm:sqref>
        </x14:conditionalFormatting>
        <x14:conditionalFormatting xmlns:xm="http://schemas.microsoft.com/office/excel/2006/main">
          <x14:cfRule type="expression" priority="7269" id="{3A372135-D4B9-4E93-840B-5414F8F750AC}">
            <xm:f>'CALCULS Eaux pluviales'!E$339&gt;2</xm:f>
            <x14:dxf>
              <fill>
                <patternFill>
                  <bgColor rgb="FF428BCE"/>
                </patternFill>
              </fill>
            </x14:dxf>
          </x14:cfRule>
          <xm:sqref>BC149</xm:sqref>
        </x14:conditionalFormatting>
        <x14:conditionalFormatting xmlns:xm="http://schemas.microsoft.com/office/excel/2006/main">
          <x14:cfRule type="expression" priority="7270" id="{51C61DC1-DC7F-4825-BBCE-C69D757AE263}">
            <xm:f>'CALCULS Eaux pluviales'!E$339&gt;1</xm:f>
            <x14:dxf>
              <fill>
                <patternFill>
                  <bgColor rgb="FF428BCE"/>
                </patternFill>
              </fill>
            </x14:dxf>
          </x14:cfRule>
          <xm:sqref>BC150</xm:sqref>
        </x14:conditionalFormatting>
        <x14:conditionalFormatting xmlns:xm="http://schemas.microsoft.com/office/excel/2006/main">
          <x14:cfRule type="expression" priority="7271" id="{F7866BEA-8FE7-431D-A2B7-C79CD35F9BC8}">
            <xm:f>'CALCULS Eaux pluviales'!E$339&gt;0</xm:f>
            <x14:dxf>
              <fill>
                <patternFill>
                  <bgColor rgb="FF428BCE"/>
                </patternFill>
              </fill>
            </x14:dxf>
          </x14:cfRule>
          <xm:sqref>BC151</xm:sqref>
        </x14:conditionalFormatting>
        <x14:conditionalFormatting xmlns:xm="http://schemas.microsoft.com/office/excel/2006/main">
          <x14:cfRule type="expression" priority="7272" id="{D2A321A4-6AB1-48A8-9CCB-6DB4F78D838E}">
            <xm:f>'CALCULS Eaux pluviales'!F$339&gt;4</xm:f>
            <x14:dxf>
              <fill>
                <patternFill>
                  <bgColor rgb="FF428BCE"/>
                </patternFill>
              </fill>
            </x14:dxf>
          </x14:cfRule>
          <xm:sqref>BE147</xm:sqref>
        </x14:conditionalFormatting>
        <x14:conditionalFormatting xmlns:xm="http://schemas.microsoft.com/office/excel/2006/main">
          <x14:cfRule type="expression" priority="7273" id="{9C033F61-CDEC-4D24-AB48-B2C81D63B749}">
            <xm:f>'CALCULS Eaux pluviales'!F$339&gt;3</xm:f>
            <x14:dxf>
              <fill>
                <patternFill>
                  <bgColor rgb="FF428BCE"/>
                </patternFill>
              </fill>
            </x14:dxf>
          </x14:cfRule>
          <xm:sqref>BE148</xm:sqref>
        </x14:conditionalFormatting>
        <x14:conditionalFormatting xmlns:xm="http://schemas.microsoft.com/office/excel/2006/main">
          <x14:cfRule type="expression" priority="7274" id="{CC1D32BB-EEB8-4E20-8ABC-F81B6AA9A877}">
            <xm:f>'CALCULS Eaux pluviales'!F$339&gt;2</xm:f>
            <x14:dxf>
              <fill>
                <patternFill>
                  <bgColor rgb="FF428BCE"/>
                </patternFill>
              </fill>
            </x14:dxf>
          </x14:cfRule>
          <xm:sqref>BE149</xm:sqref>
        </x14:conditionalFormatting>
        <x14:conditionalFormatting xmlns:xm="http://schemas.microsoft.com/office/excel/2006/main">
          <x14:cfRule type="expression" priority="7275" id="{3EFA1420-7159-4C68-83D8-9B7C5E9CBE5E}">
            <xm:f>'CALCULS Eaux pluviales'!F$339&gt;1</xm:f>
            <x14:dxf>
              <fill>
                <patternFill>
                  <bgColor rgb="FF428BCE"/>
                </patternFill>
              </fill>
            </x14:dxf>
          </x14:cfRule>
          <xm:sqref>BE150</xm:sqref>
        </x14:conditionalFormatting>
        <x14:conditionalFormatting xmlns:xm="http://schemas.microsoft.com/office/excel/2006/main">
          <x14:cfRule type="expression" priority="7276" id="{EF1E9644-C461-419E-BD17-28AD16BCF312}">
            <xm:f>'CALCULS Eaux pluviales'!F$339&gt;0</xm:f>
            <x14:dxf>
              <fill>
                <patternFill>
                  <bgColor rgb="FF428BCE"/>
                </patternFill>
              </fill>
            </x14:dxf>
          </x14:cfRule>
          <xm:sqref>BE151</xm:sqref>
        </x14:conditionalFormatting>
        <x14:conditionalFormatting xmlns:xm="http://schemas.microsoft.com/office/excel/2006/main">
          <x14:cfRule type="expression" priority="7277" id="{82028A12-7323-4038-BE24-278DF5E2734B}">
            <xm:f>'CALCULS Eaux pluviales'!G$339&gt;4</xm:f>
            <x14:dxf>
              <fill>
                <patternFill>
                  <bgColor rgb="FF428BCE"/>
                </patternFill>
              </fill>
            </x14:dxf>
          </x14:cfRule>
          <xm:sqref>BG147</xm:sqref>
        </x14:conditionalFormatting>
        <x14:conditionalFormatting xmlns:xm="http://schemas.microsoft.com/office/excel/2006/main">
          <x14:cfRule type="expression" priority="7278" id="{95BBEB05-0806-4483-8A39-C92497A7F16A}">
            <xm:f>'CALCULS Eaux pluviales'!G$339&gt;3</xm:f>
            <x14:dxf>
              <fill>
                <patternFill>
                  <bgColor rgb="FF428BCE"/>
                </patternFill>
              </fill>
            </x14:dxf>
          </x14:cfRule>
          <xm:sqref>BG148</xm:sqref>
        </x14:conditionalFormatting>
        <x14:conditionalFormatting xmlns:xm="http://schemas.microsoft.com/office/excel/2006/main">
          <x14:cfRule type="expression" priority="7279" id="{7A01F04F-5150-43D5-BFA9-2C3894B283F4}">
            <xm:f>'CALCULS Eaux pluviales'!G$339&gt;2</xm:f>
            <x14:dxf>
              <fill>
                <patternFill>
                  <bgColor rgb="FF428BCE"/>
                </patternFill>
              </fill>
            </x14:dxf>
          </x14:cfRule>
          <xm:sqref>BG149</xm:sqref>
        </x14:conditionalFormatting>
        <x14:conditionalFormatting xmlns:xm="http://schemas.microsoft.com/office/excel/2006/main">
          <x14:cfRule type="expression" priority="7280" id="{839E9BB6-6C1F-4852-9E97-1273CE97D903}">
            <xm:f>'CALCULS Eaux pluviales'!G$339&gt;1</xm:f>
            <x14:dxf>
              <fill>
                <patternFill>
                  <bgColor rgb="FF428BCE"/>
                </patternFill>
              </fill>
            </x14:dxf>
          </x14:cfRule>
          <xm:sqref>BG150</xm:sqref>
        </x14:conditionalFormatting>
        <x14:conditionalFormatting xmlns:xm="http://schemas.microsoft.com/office/excel/2006/main">
          <x14:cfRule type="expression" priority="7281" id="{E6F2C51D-4B18-469D-8B43-AB4EDE7DB4BF}">
            <xm:f>'CALCULS Eaux pluviales'!G$339&gt;0</xm:f>
            <x14:dxf>
              <fill>
                <patternFill>
                  <bgColor rgb="FF428BCE"/>
                </patternFill>
              </fill>
            </x14:dxf>
          </x14:cfRule>
          <xm:sqref>BG151</xm:sqref>
        </x14:conditionalFormatting>
        <x14:conditionalFormatting xmlns:xm="http://schemas.microsoft.com/office/excel/2006/main">
          <x14:cfRule type="expression" priority="7282" id="{3A5CDDCF-7B0C-4AF8-90CC-7D13E2BA4CD5}">
            <xm:f>'CALCULS Eaux pluviales'!H$339&gt;4</xm:f>
            <x14:dxf>
              <fill>
                <patternFill>
                  <bgColor rgb="FF428BCE"/>
                </patternFill>
              </fill>
            </x14:dxf>
          </x14:cfRule>
          <xm:sqref>BI147</xm:sqref>
        </x14:conditionalFormatting>
        <x14:conditionalFormatting xmlns:xm="http://schemas.microsoft.com/office/excel/2006/main">
          <x14:cfRule type="expression" priority="7283" id="{A91178CD-9E96-4EDA-942D-92B7CC9CBBE5}">
            <xm:f>'CALCULS Eaux pluviales'!H$339&gt;3</xm:f>
            <x14:dxf>
              <fill>
                <patternFill>
                  <bgColor rgb="FF428BCE"/>
                </patternFill>
              </fill>
            </x14:dxf>
          </x14:cfRule>
          <xm:sqref>BI148</xm:sqref>
        </x14:conditionalFormatting>
        <x14:conditionalFormatting xmlns:xm="http://schemas.microsoft.com/office/excel/2006/main">
          <x14:cfRule type="expression" priority="7284" id="{447F2D87-3347-4AE2-BB05-ED8B2CEB8BA2}">
            <xm:f>'CALCULS Eaux pluviales'!H$339&gt;2</xm:f>
            <x14:dxf>
              <fill>
                <patternFill>
                  <bgColor rgb="FF428BCE"/>
                </patternFill>
              </fill>
            </x14:dxf>
          </x14:cfRule>
          <xm:sqref>BI149</xm:sqref>
        </x14:conditionalFormatting>
        <x14:conditionalFormatting xmlns:xm="http://schemas.microsoft.com/office/excel/2006/main">
          <x14:cfRule type="expression" priority="7285" id="{9815ED7A-5DD3-455F-A447-B9F0477E25D2}">
            <xm:f>'CALCULS Eaux pluviales'!H$339&gt;1</xm:f>
            <x14:dxf>
              <fill>
                <patternFill>
                  <bgColor rgb="FF428BCE"/>
                </patternFill>
              </fill>
            </x14:dxf>
          </x14:cfRule>
          <xm:sqref>BI150</xm:sqref>
        </x14:conditionalFormatting>
        <x14:conditionalFormatting xmlns:xm="http://schemas.microsoft.com/office/excel/2006/main">
          <x14:cfRule type="expression" priority="7286" id="{680BB3F0-69E8-4ED8-85DF-4D30CECEDC20}">
            <xm:f>'CALCULS Eaux pluviales'!H$339&gt;0</xm:f>
            <x14:dxf>
              <fill>
                <patternFill>
                  <bgColor rgb="FF428BCE"/>
                </patternFill>
              </fill>
            </x14:dxf>
          </x14:cfRule>
          <xm:sqref>BI151</xm:sqref>
        </x14:conditionalFormatting>
        <x14:conditionalFormatting xmlns:xm="http://schemas.microsoft.com/office/excel/2006/main">
          <x14:cfRule type="expression" priority="7287" id="{572E61BE-E5CC-42F9-881F-DDCDC3B73979}">
            <xm:f>'CALCULS Eaux pluviales'!I$339&gt;4</xm:f>
            <x14:dxf>
              <fill>
                <patternFill>
                  <bgColor rgb="FF428BCE"/>
                </patternFill>
              </fill>
            </x14:dxf>
          </x14:cfRule>
          <xm:sqref>BK147</xm:sqref>
        </x14:conditionalFormatting>
        <x14:conditionalFormatting xmlns:xm="http://schemas.microsoft.com/office/excel/2006/main">
          <x14:cfRule type="expression" priority="7288" id="{6756EDC8-9853-498D-83C1-2B9AF028FC32}">
            <xm:f>'CALCULS Eaux pluviales'!I$339&gt;3</xm:f>
            <x14:dxf>
              <fill>
                <patternFill>
                  <bgColor rgb="FF428BCE"/>
                </patternFill>
              </fill>
            </x14:dxf>
          </x14:cfRule>
          <xm:sqref>BK148</xm:sqref>
        </x14:conditionalFormatting>
        <x14:conditionalFormatting xmlns:xm="http://schemas.microsoft.com/office/excel/2006/main">
          <x14:cfRule type="expression" priority="7289" id="{F4833796-1CA3-457D-B98C-9D6968761F63}">
            <xm:f>'CALCULS Eaux pluviales'!I$339&gt;2</xm:f>
            <x14:dxf>
              <fill>
                <patternFill>
                  <bgColor rgb="FF428BCE"/>
                </patternFill>
              </fill>
            </x14:dxf>
          </x14:cfRule>
          <xm:sqref>BK149</xm:sqref>
        </x14:conditionalFormatting>
        <x14:conditionalFormatting xmlns:xm="http://schemas.microsoft.com/office/excel/2006/main">
          <x14:cfRule type="expression" priority="7290" id="{A57BD83D-5138-4D23-B15C-CDA5FBED9FC9}">
            <xm:f>'CALCULS Eaux pluviales'!I$339&gt;1</xm:f>
            <x14:dxf>
              <fill>
                <patternFill>
                  <bgColor rgb="FF428BCE"/>
                </patternFill>
              </fill>
            </x14:dxf>
          </x14:cfRule>
          <xm:sqref>BK150</xm:sqref>
        </x14:conditionalFormatting>
        <x14:conditionalFormatting xmlns:xm="http://schemas.microsoft.com/office/excel/2006/main">
          <x14:cfRule type="expression" priority="7291" id="{00608BE2-054B-4CB9-BC3E-4733332C1687}">
            <xm:f>'CALCULS Eaux pluviales'!I$339&gt;0</xm:f>
            <x14:dxf>
              <fill>
                <patternFill>
                  <bgColor rgb="FF428BCE"/>
                </patternFill>
              </fill>
            </x14:dxf>
          </x14:cfRule>
          <xm:sqref>BK151</xm:sqref>
        </x14:conditionalFormatting>
        <x14:conditionalFormatting xmlns:xm="http://schemas.microsoft.com/office/excel/2006/main">
          <x14:cfRule type="expression" priority="7292" id="{5FE31953-61A6-4685-9E69-CDA7F996639E}">
            <xm:f>'CALCULS Eaux pluviales'!J$339&gt;4</xm:f>
            <x14:dxf>
              <fill>
                <patternFill>
                  <bgColor rgb="FF428BCE"/>
                </patternFill>
              </fill>
            </x14:dxf>
          </x14:cfRule>
          <xm:sqref>BM147</xm:sqref>
        </x14:conditionalFormatting>
        <x14:conditionalFormatting xmlns:xm="http://schemas.microsoft.com/office/excel/2006/main">
          <x14:cfRule type="expression" priority="7293" id="{69566792-AABC-4BFA-8275-D69E5D2D68B4}">
            <xm:f>'CALCULS Eaux pluviales'!J$339&gt;3</xm:f>
            <x14:dxf>
              <fill>
                <patternFill>
                  <bgColor rgb="FF428BCE"/>
                </patternFill>
              </fill>
            </x14:dxf>
          </x14:cfRule>
          <xm:sqref>BM148</xm:sqref>
        </x14:conditionalFormatting>
        <x14:conditionalFormatting xmlns:xm="http://schemas.microsoft.com/office/excel/2006/main">
          <x14:cfRule type="expression" priority="7294" id="{D43AF0CD-B53E-498A-99ED-CDD341531306}">
            <xm:f>'CALCULS Eaux pluviales'!J$339&gt;2</xm:f>
            <x14:dxf>
              <fill>
                <patternFill>
                  <bgColor rgb="FF428BCE"/>
                </patternFill>
              </fill>
            </x14:dxf>
          </x14:cfRule>
          <xm:sqref>BM149</xm:sqref>
        </x14:conditionalFormatting>
        <x14:conditionalFormatting xmlns:xm="http://schemas.microsoft.com/office/excel/2006/main">
          <x14:cfRule type="expression" priority="7295" id="{11C4E803-65BD-41F5-958F-4B332E8CE64A}">
            <xm:f>'CALCULS Eaux pluviales'!J$339&gt;1</xm:f>
            <x14:dxf>
              <fill>
                <patternFill>
                  <bgColor rgb="FF428BCE"/>
                </patternFill>
              </fill>
            </x14:dxf>
          </x14:cfRule>
          <xm:sqref>BM150</xm:sqref>
        </x14:conditionalFormatting>
        <x14:conditionalFormatting xmlns:xm="http://schemas.microsoft.com/office/excel/2006/main">
          <x14:cfRule type="expression" priority="7296" id="{E2A1FA99-8A87-444F-BD8E-C32DF8F3A088}">
            <xm:f>'CALCULS Eaux pluviales'!J$339&gt;0</xm:f>
            <x14:dxf>
              <fill>
                <patternFill>
                  <bgColor rgb="FF428BCE"/>
                </patternFill>
              </fill>
            </x14:dxf>
          </x14:cfRule>
          <xm:sqref>BM151</xm:sqref>
        </x14:conditionalFormatting>
        <x14:conditionalFormatting xmlns:xm="http://schemas.microsoft.com/office/excel/2006/main">
          <x14:cfRule type="expression" priority="174" id="{F7F854E8-AEC2-4407-A02D-3DC604B1D198}">
            <xm:f>OR('CALCULS Eaux pluviales'!$I$105=2,'CALCULS Eaux pluviales'!$I$105=4)</xm:f>
            <x14:dxf>
              <fill>
                <patternFill>
                  <bgColor rgb="FF7030A0"/>
                </patternFill>
              </fill>
            </x14:dxf>
          </x14:cfRule>
          <xm:sqref>BN61:BX61</xm:sqref>
        </x14:conditionalFormatting>
        <x14:conditionalFormatting xmlns:xm="http://schemas.microsoft.com/office/excel/2006/main">
          <x14:cfRule type="expression" priority="173" id="{46DA9F58-3469-4912-B058-72A12AD6A3FC}">
            <xm:f>OR('CALCULS Eaux pluviales'!$I$106=2,'CALCULS Eaux pluviales'!$I$106=4)</xm:f>
            <x14:dxf>
              <fill>
                <patternFill>
                  <bgColor rgb="FF7030A0"/>
                </patternFill>
              </fill>
            </x14:dxf>
          </x14:cfRule>
          <xm:sqref>BN63:BX63</xm:sqref>
        </x14:conditionalFormatting>
        <x14:conditionalFormatting xmlns:xm="http://schemas.microsoft.com/office/excel/2006/main">
          <x14:cfRule type="expression" priority="172" id="{ECA9B835-A2AF-42D4-A464-6F374CD549EE}">
            <xm:f>OR('CALCULS Eaux pluviales'!$I$107=2,'CALCULS Eaux pluviales'!$I$107=4)</xm:f>
            <x14:dxf>
              <fill>
                <patternFill>
                  <bgColor rgb="FF7030A0"/>
                </patternFill>
              </fill>
            </x14:dxf>
          </x14:cfRule>
          <xm:sqref>BN65:BX65</xm:sqref>
        </x14:conditionalFormatting>
        <x14:conditionalFormatting xmlns:xm="http://schemas.microsoft.com/office/excel/2006/main">
          <x14:cfRule type="expression" priority="171" id="{E4A69C51-7A9B-40FD-9DE8-F29146DAB6E2}">
            <xm:f>OR('CALCULS Eaux pluviales'!$I$108=2,'CALCULS Eaux pluviales'!$I$108=4)</xm:f>
            <x14:dxf>
              <fill>
                <patternFill>
                  <bgColor rgb="FF7030A0"/>
                </patternFill>
              </fill>
            </x14:dxf>
          </x14:cfRule>
          <xm:sqref>BN67:BX67</xm:sqref>
        </x14:conditionalFormatting>
        <x14:conditionalFormatting xmlns:xm="http://schemas.microsoft.com/office/excel/2006/main">
          <x14:cfRule type="expression" priority="170" id="{DB807D01-8C8F-43F5-9ACA-4CBFFC35B2EB}">
            <xm:f>OR('CALCULS Eaux pluviales'!$I$109=2,'CALCULS Eaux pluviales'!$I$109=4)</xm:f>
            <x14:dxf>
              <fill>
                <patternFill>
                  <bgColor rgb="FF7030A0"/>
                </patternFill>
              </fill>
            </x14:dxf>
          </x14:cfRule>
          <xm:sqref>BN69:BX69</xm:sqref>
        </x14:conditionalFormatting>
        <x14:conditionalFormatting xmlns:xm="http://schemas.microsoft.com/office/excel/2006/main">
          <x14:cfRule type="expression" priority="169" id="{DA8C7BE4-9B6F-4F11-877E-4821FFE54121}">
            <xm:f>OR('CALCULS Eaux pluviales'!$I$110=2,'CALCULS Eaux pluviales'!$I$110=4)</xm:f>
            <x14:dxf>
              <fill>
                <patternFill>
                  <bgColor rgb="FF7030A0"/>
                </patternFill>
              </fill>
            </x14:dxf>
          </x14:cfRule>
          <xm:sqref>BN71:BX71</xm:sqref>
        </x14:conditionalFormatting>
        <x14:conditionalFormatting xmlns:xm="http://schemas.microsoft.com/office/excel/2006/main">
          <x14:cfRule type="expression" priority="7297" id="{0124AB16-5ED4-4E74-A1C2-3B1379C68F26}">
            <xm:f>'CALCULS Eaux pluviales'!K$339&gt;4</xm:f>
            <x14:dxf>
              <fill>
                <patternFill>
                  <bgColor rgb="FF428BCE"/>
                </patternFill>
              </fill>
            </x14:dxf>
          </x14:cfRule>
          <xm:sqref>BO147</xm:sqref>
        </x14:conditionalFormatting>
        <x14:conditionalFormatting xmlns:xm="http://schemas.microsoft.com/office/excel/2006/main">
          <x14:cfRule type="expression" priority="7298" id="{98D158A9-ED37-4B89-93DE-BFAAF9D69F81}">
            <xm:f>'CALCULS Eaux pluviales'!K$339&gt;3</xm:f>
            <x14:dxf>
              <fill>
                <patternFill>
                  <bgColor rgb="FF428BCE"/>
                </patternFill>
              </fill>
            </x14:dxf>
          </x14:cfRule>
          <xm:sqref>BO148</xm:sqref>
        </x14:conditionalFormatting>
        <x14:conditionalFormatting xmlns:xm="http://schemas.microsoft.com/office/excel/2006/main">
          <x14:cfRule type="expression" priority="7299" id="{EF32E11D-20DC-4CB7-B385-EC0F29907C47}">
            <xm:f>'CALCULS Eaux pluviales'!K$339&gt;2</xm:f>
            <x14:dxf>
              <fill>
                <patternFill>
                  <bgColor rgb="FF428BCE"/>
                </patternFill>
              </fill>
            </x14:dxf>
          </x14:cfRule>
          <xm:sqref>BO149</xm:sqref>
        </x14:conditionalFormatting>
        <x14:conditionalFormatting xmlns:xm="http://schemas.microsoft.com/office/excel/2006/main">
          <x14:cfRule type="expression" priority="7300" id="{CB7FDA4C-3E53-406D-A79A-4590126B0790}">
            <xm:f>'CALCULS Eaux pluviales'!K$339&gt;1</xm:f>
            <x14:dxf>
              <fill>
                <patternFill>
                  <bgColor rgb="FF428BCE"/>
                </patternFill>
              </fill>
            </x14:dxf>
          </x14:cfRule>
          <xm:sqref>BO150</xm:sqref>
        </x14:conditionalFormatting>
        <x14:conditionalFormatting xmlns:xm="http://schemas.microsoft.com/office/excel/2006/main">
          <x14:cfRule type="expression" priority="7301" id="{54AB2654-1118-44FF-A6A7-A053FE8B70FF}">
            <xm:f>'CALCULS Eaux pluviales'!K$339&gt;0</xm:f>
            <x14:dxf>
              <fill>
                <patternFill>
                  <bgColor rgb="FF428BCE"/>
                </patternFill>
              </fill>
            </x14:dxf>
          </x14:cfRule>
          <xm:sqref>BO151</xm:sqref>
        </x14:conditionalFormatting>
        <x14:conditionalFormatting xmlns:xm="http://schemas.microsoft.com/office/excel/2006/main">
          <x14:cfRule type="expression" priority="7302" id="{51191183-CD85-427A-BB51-FF933FC97FFD}">
            <xm:f>'CALCULS Eaux pluviales'!L$339&gt;4</xm:f>
            <x14:dxf>
              <fill>
                <patternFill>
                  <bgColor theme="8" tint="-0.499984740745262"/>
                </patternFill>
              </fill>
            </x14:dxf>
          </x14:cfRule>
          <xm:sqref>BQ147</xm:sqref>
        </x14:conditionalFormatting>
        <x14:conditionalFormatting xmlns:xm="http://schemas.microsoft.com/office/excel/2006/main">
          <x14:cfRule type="expression" priority="7303" id="{117E482F-D7E6-47EC-B65C-1EE55B48DA4F}">
            <xm:f>'CALCULS Eaux pluviales'!L$339&gt;3</xm:f>
            <x14:dxf>
              <fill>
                <patternFill>
                  <bgColor theme="8" tint="-0.499984740745262"/>
                </patternFill>
              </fill>
            </x14:dxf>
          </x14:cfRule>
          <xm:sqref>BQ148</xm:sqref>
        </x14:conditionalFormatting>
        <x14:conditionalFormatting xmlns:xm="http://schemas.microsoft.com/office/excel/2006/main">
          <x14:cfRule type="expression" priority="7304" id="{8B30D77F-5743-4663-AD0F-B86881771E60}">
            <xm:f>'CALCULS Eaux pluviales'!L$339&gt;2</xm:f>
            <x14:dxf>
              <fill>
                <patternFill>
                  <bgColor theme="8" tint="-0.499984740745262"/>
                </patternFill>
              </fill>
            </x14:dxf>
          </x14:cfRule>
          <xm:sqref>BQ149</xm:sqref>
        </x14:conditionalFormatting>
        <x14:conditionalFormatting xmlns:xm="http://schemas.microsoft.com/office/excel/2006/main">
          <x14:cfRule type="expression" priority="7305" id="{A04C56FE-9F34-4860-9225-0240AB186AF9}">
            <xm:f>'CALCULS Eaux pluviales'!L$339&gt;1</xm:f>
            <x14:dxf>
              <fill>
                <patternFill>
                  <bgColor theme="8" tint="-0.499984740745262"/>
                </patternFill>
              </fill>
            </x14:dxf>
          </x14:cfRule>
          <xm:sqref>BQ150</xm:sqref>
        </x14:conditionalFormatting>
        <x14:conditionalFormatting xmlns:xm="http://schemas.microsoft.com/office/excel/2006/main">
          <x14:cfRule type="expression" priority="7306" id="{F1D74715-CE96-4F34-9CD8-F4E0A2D06855}">
            <xm:f>'CALCULS Eaux pluviales'!L$339&gt;0</xm:f>
            <x14:dxf>
              <fill>
                <patternFill>
                  <bgColor theme="8" tint="-0.499984740745262"/>
                </patternFill>
              </fill>
            </x14:dxf>
          </x14:cfRule>
          <xm:sqref>BQ151</xm:sqref>
        </x14:conditionalFormatting>
        <x14:conditionalFormatting xmlns:xm="http://schemas.microsoft.com/office/excel/2006/main">
          <x14:cfRule type="expression" priority="351" id="{2CA6C5DA-1AD9-4D19-A460-2AD15CF8C548}">
            <xm:f>'CALCULS Eau potable'!M$339&gt;4</xm:f>
            <x14:dxf>
              <fill>
                <patternFill>
                  <bgColor theme="8" tint="-0.499984740745262"/>
                </patternFill>
              </fill>
            </x14:dxf>
          </x14:cfRule>
          <xm:sqref>BR147</xm:sqref>
        </x14:conditionalFormatting>
        <x14:conditionalFormatting xmlns:xm="http://schemas.microsoft.com/office/excel/2006/main">
          <x14:cfRule type="expression" priority="350" id="{920F0701-C9CD-4A8C-8D02-3A448341B64C}">
            <xm:f>'CALCULS Eau potable'!M$339&gt;3</xm:f>
            <x14:dxf>
              <fill>
                <patternFill>
                  <bgColor theme="8" tint="-0.499984740745262"/>
                </patternFill>
              </fill>
            </x14:dxf>
          </x14:cfRule>
          <xm:sqref>BR148</xm:sqref>
        </x14:conditionalFormatting>
        <x14:conditionalFormatting xmlns:xm="http://schemas.microsoft.com/office/excel/2006/main">
          <x14:cfRule type="expression" priority="349" id="{DB4857F0-9D5F-481E-8F15-39628A7533E8}">
            <xm:f>'CALCULS Eau potable'!M$339&gt;2</xm:f>
            <x14:dxf>
              <fill>
                <patternFill>
                  <bgColor theme="8" tint="-0.499984740745262"/>
                </patternFill>
              </fill>
            </x14:dxf>
          </x14:cfRule>
          <xm:sqref>BR149</xm:sqref>
        </x14:conditionalFormatting>
        <x14:conditionalFormatting xmlns:xm="http://schemas.microsoft.com/office/excel/2006/main">
          <x14:cfRule type="expression" priority="348" id="{4DA91F7B-2390-4C0B-AEEC-8D5E68109150}">
            <xm:f>'CALCULS Eau potable'!M$339&gt;1</xm:f>
            <x14:dxf>
              <fill>
                <patternFill>
                  <bgColor theme="8" tint="-0.499984740745262"/>
                </patternFill>
              </fill>
            </x14:dxf>
          </x14:cfRule>
          <xm:sqref>BR150</xm:sqref>
        </x14:conditionalFormatting>
        <x14:conditionalFormatting xmlns:xm="http://schemas.microsoft.com/office/excel/2006/main">
          <x14:cfRule type="expression" priority="347" id="{F79875DA-BBE6-4FD1-93CB-262C987D9487}">
            <xm:f>'CALCULS Eau potable'!M$339&gt;0</xm:f>
            <x14:dxf>
              <fill>
                <patternFill>
                  <bgColor theme="8" tint="-0.499984740745262"/>
                </patternFill>
              </fill>
            </x14:dxf>
          </x14:cfRule>
          <xm:sqref>BR151</xm:sqref>
        </x14:conditionalFormatting>
        <x14:conditionalFormatting xmlns:xm="http://schemas.microsoft.com/office/excel/2006/main">
          <x14:cfRule type="expression" priority="7781" id="{4B366D9D-4F32-4C41-9583-F8160821698A}">
            <xm:f>'CALCULS Eaux pluviales'!E$341&gt;4</xm:f>
            <x14:dxf>
              <fill>
                <patternFill>
                  <bgColor rgb="FF428BCE"/>
                </patternFill>
              </fill>
            </x14:dxf>
          </x14:cfRule>
          <xm:sqref>BT147</xm:sqref>
        </x14:conditionalFormatting>
        <x14:conditionalFormatting xmlns:xm="http://schemas.microsoft.com/office/excel/2006/main">
          <x14:cfRule type="expression" priority="7782" id="{38303325-2B86-4C7C-B657-61A03870868D}">
            <xm:f>'CALCULS Eaux pluviales'!E$341&gt;3</xm:f>
            <x14:dxf>
              <fill>
                <patternFill>
                  <bgColor rgb="FF428BCE"/>
                </patternFill>
              </fill>
            </x14:dxf>
          </x14:cfRule>
          <xm:sqref>BT148</xm:sqref>
        </x14:conditionalFormatting>
        <x14:conditionalFormatting xmlns:xm="http://schemas.microsoft.com/office/excel/2006/main">
          <x14:cfRule type="expression" priority="7783" id="{C0C81FF3-723D-48F3-A99A-592D0312EA59}">
            <xm:f>'CALCULS Eaux pluviales'!E$341&gt;2</xm:f>
            <x14:dxf>
              <fill>
                <patternFill>
                  <bgColor rgb="FF428BCE"/>
                </patternFill>
              </fill>
            </x14:dxf>
          </x14:cfRule>
          <xm:sqref>BT149</xm:sqref>
        </x14:conditionalFormatting>
        <x14:conditionalFormatting xmlns:xm="http://schemas.microsoft.com/office/excel/2006/main">
          <x14:cfRule type="expression" priority="7784" id="{41EF8567-5477-485A-89B3-EEC872B84AF0}">
            <xm:f>'CALCULS Eaux pluviales'!E$341&gt;1</xm:f>
            <x14:dxf>
              <fill>
                <patternFill>
                  <bgColor rgb="FF428BCE"/>
                </patternFill>
              </fill>
            </x14:dxf>
          </x14:cfRule>
          <xm:sqref>BT150</xm:sqref>
        </x14:conditionalFormatting>
        <x14:conditionalFormatting xmlns:xm="http://schemas.microsoft.com/office/excel/2006/main">
          <x14:cfRule type="expression" priority="7785" id="{AE910FD8-687F-4F1A-B545-CB26D6813F73}">
            <xm:f>'CALCULS Eaux pluviales'!E$341&gt;0</xm:f>
            <x14:dxf>
              <fill>
                <patternFill>
                  <bgColor rgb="FF428BCE"/>
                </patternFill>
              </fill>
            </x14:dxf>
          </x14:cfRule>
          <xm:sqref>BT151</xm:sqref>
        </x14:conditionalFormatting>
        <x14:conditionalFormatting xmlns:xm="http://schemas.microsoft.com/office/excel/2006/main">
          <x14:cfRule type="expression" priority="7786" id="{D06F097B-E3D5-4514-AAB1-B90117B22D80}">
            <xm:f>'CALCULS Eaux pluviales'!F$341&gt;4</xm:f>
            <x14:dxf>
              <fill>
                <patternFill>
                  <bgColor rgb="FF428BCE"/>
                </patternFill>
              </fill>
            </x14:dxf>
          </x14:cfRule>
          <xm:sqref>BV147</xm:sqref>
        </x14:conditionalFormatting>
        <x14:conditionalFormatting xmlns:xm="http://schemas.microsoft.com/office/excel/2006/main">
          <x14:cfRule type="expression" priority="7787" id="{DA1A872B-8938-4001-BD36-1084ADD29F8C}">
            <xm:f>'CALCULS Eaux pluviales'!F$341&gt;3</xm:f>
            <x14:dxf>
              <fill>
                <patternFill>
                  <bgColor rgb="FF428BCE"/>
                </patternFill>
              </fill>
            </x14:dxf>
          </x14:cfRule>
          <xm:sqref>BV148</xm:sqref>
        </x14:conditionalFormatting>
        <x14:conditionalFormatting xmlns:xm="http://schemas.microsoft.com/office/excel/2006/main">
          <x14:cfRule type="expression" priority="7788" id="{E698B60B-FA9A-478F-9E40-41BECE28807A}">
            <xm:f>'CALCULS Eaux pluviales'!F$341&gt;2</xm:f>
            <x14:dxf>
              <fill>
                <patternFill>
                  <bgColor rgb="FF428BCE"/>
                </patternFill>
              </fill>
            </x14:dxf>
          </x14:cfRule>
          <xm:sqref>BV149</xm:sqref>
        </x14:conditionalFormatting>
        <x14:conditionalFormatting xmlns:xm="http://schemas.microsoft.com/office/excel/2006/main">
          <x14:cfRule type="expression" priority="7789" id="{F71E82ED-9BD9-4F7D-8AC9-BE4A1E68E5A7}">
            <xm:f>'CALCULS Eaux pluviales'!F$341&gt;1</xm:f>
            <x14:dxf>
              <fill>
                <patternFill>
                  <bgColor rgb="FF428BCE"/>
                </patternFill>
              </fill>
            </x14:dxf>
          </x14:cfRule>
          <xm:sqref>BV150</xm:sqref>
        </x14:conditionalFormatting>
        <x14:conditionalFormatting xmlns:xm="http://schemas.microsoft.com/office/excel/2006/main">
          <x14:cfRule type="expression" priority="7790" id="{C5403BED-4202-4045-B4A0-204D2654E159}">
            <xm:f>'CALCULS Eaux pluviales'!F$341&gt;0</xm:f>
            <x14:dxf>
              <fill>
                <patternFill>
                  <bgColor rgb="FF428BCE"/>
                </patternFill>
              </fill>
            </x14:dxf>
          </x14:cfRule>
          <xm:sqref>BV151</xm:sqref>
        </x14:conditionalFormatting>
        <x14:conditionalFormatting xmlns:xm="http://schemas.microsoft.com/office/excel/2006/main">
          <x14:cfRule type="expression" priority="7791" id="{F0A01D76-8DEB-4C2E-8539-9C6D83CC19C7}">
            <xm:f>'CALCULS Eaux pluviales'!G$341&gt;4</xm:f>
            <x14:dxf>
              <fill>
                <patternFill>
                  <bgColor rgb="FF428BCE"/>
                </patternFill>
              </fill>
            </x14:dxf>
          </x14:cfRule>
          <xm:sqref>BX147</xm:sqref>
        </x14:conditionalFormatting>
        <x14:conditionalFormatting xmlns:xm="http://schemas.microsoft.com/office/excel/2006/main">
          <x14:cfRule type="expression" priority="7792" id="{52DF2D51-3291-43D7-AFCF-954CA4E1EE05}">
            <xm:f>'CALCULS Eaux pluviales'!G$341&gt;3</xm:f>
            <x14:dxf>
              <fill>
                <patternFill>
                  <bgColor rgb="FF428BCE"/>
                </patternFill>
              </fill>
            </x14:dxf>
          </x14:cfRule>
          <xm:sqref>BX148</xm:sqref>
        </x14:conditionalFormatting>
        <x14:conditionalFormatting xmlns:xm="http://schemas.microsoft.com/office/excel/2006/main">
          <x14:cfRule type="expression" priority="7793" id="{31406E98-3296-4ED8-B5BA-952EB87B1DCC}">
            <xm:f>'CALCULS Eaux pluviales'!G$341&gt;2</xm:f>
            <x14:dxf>
              <fill>
                <patternFill>
                  <bgColor rgb="FF428BCE"/>
                </patternFill>
              </fill>
            </x14:dxf>
          </x14:cfRule>
          <xm:sqref>BX149</xm:sqref>
        </x14:conditionalFormatting>
        <x14:conditionalFormatting xmlns:xm="http://schemas.microsoft.com/office/excel/2006/main">
          <x14:cfRule type="expression" priority="7794" id="{F9E4055B-7D57-47A5-85F0-C300B527D444}">
            <xm:f>'CALCULS Eaux pluviales'!G$341&gt;1</xm:f>
            <x14:dxf>
              <fill>
                <patternFill>
                  <bgColor rgb="FF428BCE"/>
                </patternFill>
              </fill>
            </x14:dxf>
          </x14:cfRule>
          <xm:sqref>BX150</xm:sqref>
        </x14:conditionalFormatting>
        <x14:conditionalFormatting xmlns:xm="http://schemas.microsoft.com/office/excel/2006/main">
          <x14:cfRule type="expression" priority="7795" id="{16D18E77-324E-4069-A51D-0D1C7A456317}">
            <xm:f>'CALCULS Eaux pluviales'!G$341&gt;0</xm:f>
            <x14:dxf>
              <fill>
                <patternFill>
                  <bgColor rgb="FF428BCE"/>
                </patternFill>
              </fill>
            </x14:dxf>
          </x14:cfRule>
          <xm:sqref>BX151</xm:sqref>
        </x14:conditionalFormatting>
        <x14:conditionalFormatting xmlns:xm="http://schemas.microsoft.com/office/excel/2006/main">
          <x14:cfRule type="expression" priority="163" id="{D8265FE1-39A0-4723-AC86-461D9A19B10B}">
            <xm:f>OR('CALCULS Eaux pluviales'!$I$105=3,'CALCULS Eaux pluviales'!$I$105=4)</xm:f>
            <x14:dxf>
              <fill>
                <patternFill>
                  <bgColor rgb="FF7030A0"/>
                </patternFill>
              </fill>
            </x14:dxf>
          </x14:cfRule>
          <xm:sqref>BY61:CJ61</xm:sqref>
        </x14:conditionalFormatting>
        <x14:conditionalFormatting xmlns:xm="http://schemas.microsoft.com/office/excel/2006/main">
          <x14:cfRule type="expression" priority="164" id="{7D865F03-75A3-424D-84AA-794721834D13}">
            <xm:f>OR('CALCULS Eaux pluviales'!$I$106=3,'CALCULS Eaux pluviales'!$I$106=4)</xm:f>
            <x14:dxf>
              <fill>
                <patternFill>
                  <bgColor rgb="FF7030A0"/>
                </patternFill>
              </fill>
            </x14:dxf>
          </x14:cfRule>
          <xm:sqref>BY63:CJ63</xm:sqref>
        </x14:conditionalFormatting>
        <x14:conditionalFormatting xmlns:xm="http://schemas.microsoft.com/office/excel/2006/main">
          <x14:cfRule type="expression" priority="165" id="{8FFF0E3E-AB34-4C93-BA5B-DC503A7C3992}">
            <xm:f>OR('CALCULS Eaux pluviales'!$I$107=3,'CALCULS Eaux pluviales'!$I$107=4)</xm:f>
            <x14:dxf>
              <fill>
                <patternFill>
                  <bgColor rgb="FF7030A0"/>
                </patternFill>
              </fill>
            </x14:dxf>
          </x14:cfRule>
          <xm:sqref>BY65:CJ65</xm:sqref>
        </x14:conditionalFormatting>
        <x14:conditionalFormatting xmlns:xm="http://schemas.microsoft.com/office/excel/2006/main">
          <x14:cfRule type="expression" priority="166" id="{84D7BEE6-46D5-4884-9604-7CAD18386DE8}">
            <xm:f>OR('CALCULS Eaux pluviales'!$I$108=3,'CALCULS Eaux pluviales'!$I$108=4)</xm:f>
            <x14:dxf>
              <fill>
                <patternFill>
                  <bgColor rgb="FF7030A0"/>
                </patternFill>
              </fill>
            </x14:dxf>
          </x14:cfRule>
          <xm:sqref>BY67:CJ67</xm:sqref>
        </x14:conditionalFormatting>
        <x14:conditionalFormatting xmlns:xm="http://schemas.microsoft.com/office/excel/2006/main">
          <x14:cfRule type="expression" priority="167" id="{8B618ADF-F474-4002-AC33-DEFB8999A813}">
            <xm:f>OR('CALCULS Eaux pluviales'!$I$109=3,'CALCULS Eaux pluviales'!$I$109=4)</xm:f>
            <x14:dxf>
              <fill>
                <patternFill>
                  <bgColor rgb="FF7030A0"/>
                </patternFill>
              </fill>
            </x14:dxf>
          </x14:cfRule>
          <xm:sqref>BY69:CJ69</xm:sqref>
        </x14:conditionalFormatting>
        <x14:conditionalFormatting xmlns:xm="http://schemas.microsoft.com/office/excel/2006/main">
          <x14:cfRule type="expression" priority="168" id="{6DF48502-E8F3-45CF-BF90-F480C251343E}">
            <xm:f>OR('CALCULS Eaux pluviales'!$I$110=3,'CALCULS Eaux pluviales'!$I$110=4)</xm:f>
            <x14:dxf>
              <fill>
                <patternFill>
                  <bgColor rgb="FF7030A0"/>
                </patternFill>
              </fill>
            </x14:dxf>
          </x14:cfRule>
          <xm:sqref>BY71:CJ71</xm:sqref>
        </x14:conditionalFormatting>
        <x14:conditionalFormatting xmlns:xm="http://schemas.microsoft.com/office/excel/2006/main">
          <x14:cfRule type="expression" priority="7796" id="{B0A0596C-C832-403C-ABC4-2A28E7F77A6B}">
            <xm:f>'CALCULS Eaux pluviales'!H$341&gt;4</xm:f>
            <x14:dxf>
              <fill>
                <patternFill>
                  <bgColor rgb="FF428BCE"/>
                </patternFill>
              </fill>
            </x14:dxf>
          </x14:cfRule>
          <xm:sqref>BZ147</xm:sqref>
        </x14:conditionalFormatting>
        <x14:conditionalFormatting xmlns:xm="http://schemas.microsoft.com/office/excel/2006/main">
          <x14:cfRule type="expression" priority="7797" id="{1118C55C-9888-4B71-B70D-E832179484C4}">
            <xm:f>'CALCULS Eaux pluviales'!H$341&gt;3</xm:f>
            <x14:dxf>
              <fill>
                <patternFill>
                  <bgColor rgb="FF428BCE"/>
                </patternFill>
              </fill>
            </x14:dxf>
          </x14:cfRule>
          <xm:sqref>BZ148</xm:sqref>
        </x14:conditionalFormatting>
        <x14:conditionalFormatting xmlns:xm="http://schemas.microsoft.com/office/excel/2006/main">
          <x14:cfRule type="expression" priority="7798" id="{DB883CA0-85C7-43E8-822B-8823E7A8F4EA}">
            <xm:f>'CALCULS Eaux pluviales'!H$341&gt;2</xm:f>
            <x14:dxf>
              <fill>
                <patternFill>
                  <bgColor rgb="FF428BCE"/>
                </patternFill>
              </fill>
            </x14:dxf>
          </x14:cfRule>
          <xm:sqref>BZ149</xm:sqref>
        </x14:conditionalFormatting>
        <x14:conditionalFormatting xmlns:xm="http://schemas.microsoft.com/office/excel/2006/main">
          <x14:cfRule type="expression" priority="7799" id="{55A75807-F3BA-4F19-9C39-1EE95CE7FBB4}">
            <xm:f>'CALCULS Eaux pluviales'!H$341&gt;1</xm:f>
            <x14:dxf>
              <fill>
                <patternFill>
                  <bgColor rgb="FF428BCE"/>
                </patternFill>
              </fill>
            </x14:dxf>
          </x14:cfRule>
          <xm:sqref>BZ150</xm:sqref>
        </x14:conditionalFormatting>
        <x14:conditionalFormatting xmlns:xm="http://schemas.microsoft.com/office/excel/2006/main">
          <x14:cfRule type="expression" priority="7800" id="{111CE977-690F-47DD-8DC4-91CA25BBAB3D}">
            <xm:f>'CALCULS Eaux pluviales'!H$341&gt;0</xm:f>
            <x14:dxf>
              <fill>
                <patternFill>
                  <bgColor rgb="FF428BCE"/>
                </patternFill>
              </fill>
            </x14:dxf>
          </x14:cfRule>
          <xm:sqref>BZ151</xm:sqref>
        </x14:conditionalFormatting>
        <x14:conditionalFormatting xmlns:xm="http://schemas.microsoft.com/office/excel/2006/main">
          <x14:cfRule type="expression" priority="7801" id="{B6A01201-722D-4934-BEE7-4CE347F7D2E9}">
            <xm:f>'CALCULS Eaux pluviales'!I$341&gt;4</xm:f>
            <x14:dxf>
              <fill>
                <patternFill>
                  <bgColor rgb="FF428BCE"/>
                </patternFill>
              </fill>
            </x14:dxf>
          </x14:cfRule>
          <xm:sqref>CB147</xm:sqref>
        </x14:conditionalFormatting>
        <x14:conditionalFormatting xmlns:xm="http://schemas.microsoft.com/office/excel/2006/main">
          <x14:cfRule type="expression" priority="7802" id="{7939635D-3F78-44EE-B08B-DB61DA2E13A0}">
            <xm:f>'CALCULS Eaux pluviales'!I$341&gt;3</xm:f>
            <x14:dxf>
              <fill>
                <patternFill>
                  <bgColor rgb="FF428BCE"/>
                </patternFill>
              </fill>
            </x14:dxf>
          </x14:cfRule>
          <xm:sqref>CB148</xm:sqref>
        </x14:conditionalFormatting>
        <x14:conditionalFormatting xmlns:xm="http://schemas.microsoft.com/office/excel/2006/main">
          <x14:cfRule type="expression" priority="7803" id="{CF69AFC6-57AD-4991-B7D9-3F00FCE2B282}">
            <xm:f>'CALCULS Eaux pluviales'!I$341&gt;2</xm:f>
            <x14:dxf>
              <fill>
                <patternFill>
                  <bgColor rgb="FF428BCE"/>
                </patternFill>
              </fill>
            </x14:dxf>
          </x14:cfRule>
          <xm:sqref>CB149</xm:sqref>
        </x14:conditionalFormatting>
        <x14:conditionalFormatting xmlns:xm="http://schemas.microsoft.com/office/excel/2006/main">
          <x14:cfRule type="expression" priority="7804" id="{5464A3A9-B63C-484C-85D9-67A84AB5E36E}">
            <xm:f>'CALCULS Eaux pluviales'!I$341&gt;1</xm:f>
            <x14:dxf>
              <fill>
                <patternFill>
                  <bgColor rgb="FF428BCE"/>
                </patternFill>
              </fill>
            </x14:dxf>
          </x14:cfRule>
          <xm:sqref>CB150</xm:sqref>
        </x14:conditionalFormatting>
        <x14:conditionalFormatting xmlns:xm="http://schemas.microsoft.com/office/excel/2006/main">
          <x14:cfRule type="expression" priority="7805" id="{C1544C15-536C-4BF0-B20C-2C426BE581DA}">
            <xm:f>'CALCULS Eaux pluviales'!I$341&gt;0</xm:f>
            <x14:dxf>
              <fill>
                <patternFill>
                  <bgColor rgb="FF428BCE"/>
                </patternFill>
              </fill>
            </x14:dxf>
          </x14:cfRule>
          <xm:sqref>CB151</xm:sqref>
        </x14:conditionalFormatting>
        <x14:conditionalFormatting xmlns:xm="http://schemas.microsoft.com/office/excel/2006/main">
          <x14:cfRule type="expression" priority="7806" id="{24A986BE-8A4A-460F-BD10-6742F4A08D63}">
            <xm:f>'CALCULS Eaux pluviales'!J$341&gt;4</xm:f>
            <x14:dxf>
              <fill>
                <patternFill>
                  <bgColor rgb="FF428BCE"/>
                </patternFill>
              </fill>
            </x14:dxf>
          </x14:cfRule>
          <xm:sqref>CD147</xm:sqref>
        </x14:conditionalFormatting>
        <x14:conditionalFormatting xmlns:xm="http://schemas.microsoft.com/office/excel/2006/main">
          <x14:cfRule type="expression" priority="7807" id="{5FBDC1E2-4CD2-45D8-A864-BC01C677C999}">
            <xm:f>'CALCULS Eaux pluviales'!J$341&gt;3</xm:f>
            <x14:dxf>
              <fill>
                <patternFill>
                  <bgColor rgb="FF428BCE"/>
                </patternFill>
              </fill>
            </x14:dxf>
          </x14:cfRule>
          <xm:sqref>CD148</xm:sqref>
        </x14:conditionalFormatting>
        <x14:conditionalFormatting xmlns:xm="http://schemas.microsoft.com/office/excel/2006/main">
          <x14:cfRule type="expression" priority="7808" id="{E32E3D5A-11C5-4E74-8FFD-8EF4D1E10C80}">
            <xm:f>'CALCULS Eaux pluviales'!J$341&gt;2</xm:f>
            <x14:dxf>
              <fill>
                <patternFill>
                  <bgColor rgb="FF428BCE"/>
                </patternFill>
              </fill>
            </x14:dxf>
          </x14:cfRule>
          <xm:sqref>CD149</xm:sqref>
        </x14:conditionalFormatting>
        <x14:conditionalFormatting xmlns:xm="http://schemas.microsoft.com/office/excel/2006/main">
          <x14:cfRule type="expression" priority="7809" id="{31F02FD3-187F-423F-A818-E5665DBCDA67}">
            <xm:f>'CALCULS Eaux pluviales'!J$341&gt;1</xm:f>
            <x14:dxf>
              <fill>
                <patternFill>
                  <bgColor rgb="FF428BCE"/>
                </patternFill>
              </fill>
            </x14:dxf>
          </x14:cfRule>
          <xm:sqref>CD150</xm:sqref>
        </x14:conditionalFormatting>
        <x14:conditionalFormatting xmlns:xm="http://schemas.microsoft.com/office/excel/2006/main">
          <x14:cfRule type="expression" priority="7810" id="{9A4F7B26-3627-43A5-853A-ABAB72CC61E5}">
            <xm:f>'CALCULS Eaux pluviales'!J$341&gt;0</xm:f>
            <x14:dxf>
              <fill>
                <patternFill>
                  <bgColor rgb="FF428BCE"/>
                </patternFill>
              </fill>
            </x14:dxf>
          </x14:cfRule>
          <xm:sqref>CD151</xm:sqref>
        </x14:conditionalFormatting>
        <x14:conditionalFormatting xmlns:xm="http://schemas.microsoft.com/office/excel/2006/main">
          <x14:cfRule type="expression" priority="7811" id="{4E2A8C2C-D710-43C4-A285-C148703D4D2A}">
            <xm:f>'CALCULS Eaux pluviales'!K$341&gt;4</xm:f>
            <x14:dxf>
              <fill>
                <patternFill>
                  <bgColor rgb="FF428BCE"/>
                </patternFill>
              </fill>
            </x14:dxf>
          </x14:cfRule>
          <xm:sqref>CF147</xm:sqref>
        </x14:conditionalFormatting>
        <x14:conditionalFormatting xmlns:xm="http://schemas.microsoft.com/office/excel/2006/main">
          <x14:cfRule type="expression" priority="7812" id="{6D30182B-9544-4508-AFEA-3EAEE974CFF9}">
            <xm:f>'CALCULS Eaux pluviales'!K$341&gt;3</xm:f>
            <x14:dxf>
              <fill>
                <patternFill>
                  <bgColor rgb="FF428BCE"/>
                </patternFill>
              </fill>
            </x14:dxf>
          </x14:cfRule>
          <xm:sqref>CF148</xm:sqref>
        </x14:conditionalFormatting>
        <x14:conditionalFormatting xmlns:xm="http://schemas.microsoft.com/office/excel/2006/main">
          <x14:cfRule type="expression" priority="7813" id="{D6B2D7E0-BABC-4C6B-9015-873CEE5870B3}">
            <xm:f>'CALCULS Eaux pluviales'!K$341&gt;2</xm:f>
            <x14:dxf>
              <fill>
                <patternFill>
                  <bgColor rgb="FF428BCE"/>
                </patternFill>
              </fill>
            </x14:dxf>
          </x14:cfRule>
          <xm:sqref>CF149</xm:sqref>
        </x14:conditionalFormatting>
        <x14:conditionalFormatting xmlns:xm="http://schemas.microsoft.com/office/excel/2006/main">
          <x14:cfRule type="expression" priority="7814" id="{B8AE5246-CC98-4F9F-AE9F-9D277B1A5A26}">
            <xm:f>'CALCULS Eaux pluviales'!K$341&gt;1</xm:f>
            <x14:dxf>
              <fill>
                <patternFill>
                  <bgColor rgb="FF428BCE"/>
                </patternFill>
              </fill>
            </x14:dxf>
          </x14:cfRule>
          <xm:sqref>CF150</xm:sqref>
        </x14:conditionalFormatting>
        <x14:conditionalFormatting xmlns:xm="http://schemas.microsoft.com/office/excel/2006/main">
          <x14:cfRule type="expression" priority="7815" id="{77637A43-F245-49E5-93F7-032D7A0D0B59}">
            <xm:f>'CALCULS Eaux pluviales'!K$341&gt;0</xm:f>
            <x14:dxf>
              <fill>
                <patternFill>
                  <bgColor rgb="FF428BCE"/>
                </patternFill>
              </fill>
            </x14:dxf>
          </x14:cfRule>
          <xm:sqref>CF151</xm:sqref>
        </x14:conditionalFormatting>
        <x14:conditionalFormatting xmlns:xm="http://schemas.microsoft.com/office/excel/2006/main">
          <x14:cfRule type="expression" priority="7816" id="{53B0853F-2298-4B7B-AB09-EF726F5AFF9E}">
            <xm:f>'CALCULS Eaux pluviales'!L$341&gt;4</xm:f>
            <x14:dxf>
              <fill>
                <patternFill>
                  <bgColor theme="8" tint="-0.499984740745262"/>
                </patternFill>
              </fill>
            </x14:dxf>
          </x14:cfRule>
          <xm:sqref>CH147</xm:sqref>
        </x14:conditionalFormatting>
        <x14:conditionalFormatting xmlns:xm="http://schemas.microsoft.com/office/excel/2006/main">
          <x14:cfRule type="expression" priority="7817" id="{CCC017D5-9748-45D8-BF41-A2547DD5DA01}">
            <xm:f>'CALCULS Eaux pluviales'!L$341&gt;3</xm:f>
            <x14:dxf>
              <fill>
                <patternFill>
                  <bgColor theme="8" tint="-0.499984740745262"/>
                </patternFill>
              </fill>
            </x14:dxf>
          </x14:cfRule>
          <xm:sqref>CH148</xm:sqref>
        </x14:conditionalFormatting>
        <x14:conditionalFormatting xmlns:xm="http://schemas.microsoft.com/office/excel/2006/main">
          <x14:cfRule type="expression" priority="7818" id="{7F3E0686-3B96-48F7-8840-842A56AAFE81}">
            <xm:f>'CALCULS Eaux pluviales'!L$341&gt;2</xm:f>
            <x14:dxf>
              <fill>
                <patternFill>
                  <bgColor theme="8" tint="-0.499984740745262"/>
                </patternFill>
              </fill>
            </x14:dxf>
          </x14:cfRule>
          <xm:sqref>CH149</xm:sqref>
        </x14:conditionalFormatting>
        <x14:conditionalFormatting xmlns:xm="http://schemas.microsoft.com/office/excel/2006/main">
          <x14:cfRule type="expression" priority="7819" id="{C5A881DF-D9D6-4EA0-AD11-AB238CBA7A44}">
            <xm:f>'CALCULS Eaux pluviales'!L$341&gt;1</xm:f>
            <x14:dxf>
              <fill>
                <patternFill>
                  <bgColor theme="8" tint="-0.499984740745262"/>
                </patternFill>
              </fill>
            </x14:dxf>
          </x14:cfRule>
          <xm:sqref>CH150</xm:sqref>
        </x14:conditionalFormatting>
        <x14:conditionalFormatting xmlns:xm="http://schemas.microsoft.com/office/excel/2006/main">
          <x14:cfRule type="expression" priority="7820" id="{7662744A-0F15-4CA4-8F7F-57199F4CD920}">
            <xm:f>'CALCULS Eaux pluviales'!L$341&gt;0</xm:f>
            <x14:dxf>
              <fill>
                <patternFill>
                  <bgColor theme="8" tint="-0.499984740745262"/>
                </patternFill>
              </fill>
            </x14:dxf>
          </x14:cfRule>
          <xm:sqref>CH151</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2060"/>
    <pageSetUpPr fitToPage="1"/>
  </sheetPr>
  <dimension ref="A1:Q386"/>
  <sheetViews>
    <sheetView zoomScaleNormal="100" workbookViewId="0">
      <selection activeCell="K20" sqref="K20"/>
    </sheetView>
  </sheetViews>
  <sheetFormatPr baseColWidth="10" defaultColWidth="11.44140625" defaultRowHeight="14.4"/>
  <cols>
    <col min="1" max="1" width="3.6640625" style="1" customWidth="1"/>
    <col min="2" max="2" width="21.88671875" customWidth="1"/>
    <col min="3" max="3" width="25.5546875" customWidth="1"/>
    <col min="4" max="4" width="13.44140625" customWidth="1"/>
    <col min="5" max="13" width="11.6640625" customWidth="1"/>
    <col min="14" max="14" width="15.88671875" customWidth="1"/>
    <col min="15" max="15" width="83.6640625" customWidth="1"/>
    <col min="16" max="16" width="27.44140625" customWidth="1"/>
  </cols>
  <sheetData>
    <row r="1" spans="1:16" s="1" customFormat="1" ht="9" customHeight="1" thickBot="1"/>
    <row r="2" spans="1:16" s="1" customFormat="1" ht="32.25" customHeight="1">
      <c r="B2" s="3772" t="s">
        <v>860</v>
      </c>
      <c r="C2" s="3773"/>
      <c r="D2" s="3773"/>
      <c r="E2" s="3773"/>
      <c r="F2" s="3773"/>
      <c r="G2" s="3773"/>
      <c r="H2" s="3773"/>
      <c r="I2" s="3773"/>
      <c r="J2" s="3773"/>
      <c r="K2" s="3773"/>
      <c r="L2" s="3773"/>
      <c r="M2" s="3773"/>
      <c r="N2" s="3773"/>
      <c r="O2" s="3773"/>
      <c r="P2" s="840"/>
    </row>
    <row r="3" spans="1:16" s="1" customFormat="1" ht="61.5" customHeight="1">
      <c r="O3" s="2956" t="s">
        <v>2395</v>
      </c>
    </row>
    <row r="4" spans="1:16" ht="26.25" customHeight="1">
      <c r="B4" s="1581" t="s">
        <v>7</v>
      </c>
      <c r="C4" s="837"/>
      <c r="D4" s="837"/>
      <c r="E4" s="837"/>
      <c r="F4" s="837"/>
      <c r="G4" s="837"/>
      <c r="H4" s="837"/>
      <c r="I4" s="837"/>
      <c r="J4" s="837"/>
      <c r="K4" s="837"/>
      <c r="L4" s="837"/>
      <c r="M4" s="837"/>
      <c r="N4" s="837"/>
      <c r="O4" s="837"/>
      <c r="P4" s="837"/>
    </row>
    <row r="5" spans="1:16" ht="21">
      <c r="B5" s="223"/>
    </row>
    <row r="6" spans="1:16" s="28" customFormat="1">
      <c r="A6" s="55"/>
      <c r="C6" s="1240" t="str">
        <f>IF(IDENTIFICATION!$D$62='MENU DÉROULANT'!$D$19,"MUNICIPALITÉ :  ",IF(IDENTIFICATION!$D$62='MENU DÉROULANT'!$D$20,"RÉGIE :  ","ORGANISATION :  "))</f>
        <v xml:space="preserve">ORGANISATION :  </v>
      </c>
      <c r="D6" s="1241"/>
      <c r="F6" s="1242" t="str">
        <f>IF(AND(IDENTIFICATION!$D$62='MENU DÉROULANT'!$D$19,IDENTIFICATION!$H$72&lt;&gt;""),IDENTIFICATION!$H$72,IF(AND(IDENTIFICATION!$D$62='MENU DÉROULANT'!$D$20,IDENTIFICATION!$H$81&lt;&gt;""),IDENTIFICATION!$H$81,IF(AND(IDENTIFICATION!$D$62='MENU DÉROULANT'!$D$21,IDENTIFICATION!$H$102&lt;&gt;""),IDENTIFICATION!$H$102,"##")))</f>
        <v>##</v>
      </c>
      <c r="G6" s="1243"/>
      <c r="H6" s="1243"/>
      <c r="I6" s="1243"/>
      <c r="J6" s="1241"/>
      <c r="L6" s="1404"/>
      <c r="M6" s="1346"/>
      <c r="N6" s="2889" t="s">
        <v>2281</v>
      </c>
      <c r="O6" s="2890">
        <f>IDENTIFICATION!$F$126</f>
        <v>0</v>
      </c>
    </row>
    <row r="7" spans="1:16" s="28" customFormat="1">
      <c r="A7" s="55"/>
      <c r="C7" s="1240" t="str">
        <f>IF(IDENTIFICATION!$D$62='MENU DÉROULANT'!$D$19,"CODE GÉOGRAPHIQUE :  ",IF(IDENTIFICATION!$D$62='MENU DÉROULANT'!$D$20,"CODE DE LA RÉGIE :  ",IF(AND(IDENTIFICATION!$D$62='MENU DÉROULANT'!$D$21,IDENTIFICATION!C100=""),"","CODE DE L'ORGANISATION :  ")))</f>
        <v xml:space="preserve">CODE DE L'ORGANISATION :  </v>
      </c>
      <c r="D7" s="1241"/>
      <c r="F7" s="1242" t="str">
        <f>IF(AND(IDENTIFICATION!$D$62='MENU DÉROULANT'!$D$19,IDENTIFICATION!$D$72&lt;&gt;""),IDENTIFICATION!$D$72,IF(AND(IDENTIFICATION!$D$62='MENU DÉROULANT'!$D$20,IDENTIFICATION!$D$81&lt;&gt;""),IDENTIFICATION!$D$81,IF(AND(IDENTIFICATION!$D$62='MENU DÉROULANT'!$D$21,IDENTIFICATION!$D$102=""),"",IF(AND(IDENTIFICATION!$D$62='MENU DÉROULANT'!$D$21,IDENTIFICATION!$D$102&lt;&gt;""),IDENTIFICATION!$D$102,"##"))))</f>
        <v>##</v>
      </c>
      <c r="G7" s="1243"/>
      <c r="H7" s="1243"/>
      <c r="I7" s="1243"/>
      <c r="J7" s="1241"/>
      <c r="L7" s="104"/>
      <c r="N7" s="1098" t="s">
        <v>2282</v>
      </c>
      <c r="O7" s="2891">
        <f>IDENTIFICATION!$I$126</f>
        <v>0</v>
      </c>
    </row>
    <row r="8" spans="1:16" s="28" customFormat="1">
      <c r="A8" s="55"/>
      <c r="C8" s="1240" t="str">
        <f>IF(IDENTIFICATION!$D$62='MENU DÉROULANT'!$D$19,"RÉGION ADMINISTRATIVE :  ",IF(IDENTIFICATION!$D$62='MENU DÉROULANT'!$D$20,"RÉGION ADMINISTRATIVE :  ",IF(AND(IDENTIFICATION!$D$62='MENU DÉROULANT'!$D$21,IDENTIFICATION!M100=""),"","RÉGION ADMINISTRATIVE :  ")))</f>
        <v xml:space="preserve">RÉGION ADMINISTRATIVE :  </v>
      </c>
      <c r="D8" s="1241"/>
      <c r="F8" s="1242" t="str">
        <f>IF(AND(IDENTIFICATION!$D$62='MENU DÉROULANT'!$D$19,IDENTIFICATION!$N$72&lt;&gt;""),IDENTIFICATION!$N$72,IF(AND(IDENTIFICATION!$D$62='MENU DÉROULANT'!$D$20,IDENTIFICATION!$N$81&lt;&gt;""),IDENTIFICATION!$N$81,IF(AND(IDENTIFICATION!$D$62='MENU DÉROULANT'!$D$21,IDENTIFICATION!$N$102=""),"",IF(AND(IDENTIFICATION!$D$62='MENU DÉROULANT'!$D$21,IDENTIFICATION!$N$102&lt;&gt;""),IDENTIFICATION!$N$102,"##"))))</f>
        <v>##</v>
      </c>
      <c r="G8" s="1243"/>
      <c r="H8" s="1243"/>
      <c r="I8" s="1243"/>
      <c r="J8" s="1241"/>
      <c r="L8" s="1284"/>
      <c r="M8" s="509"/>
      <c r="N8" s="1411" t="s">
        <v>2283</v>
      </c>
      <c r="O8" s="2892">
        <f>IDENTIFICATION!$L$126</f>
        <v>0</v>
      </c>
    </row>
    <row r="9" spans="1:16" s="28" customFormat="1">
      <c r="A9" s="55"/>
      <c r="C9" s="1211" t="s">
        <v>4031</v>
      </c>
      <c r="D9" s="1586"/>
      <c r="F9" s="1244" t="str">
        <f>IF(ISBLANK(IDENTIFICATION!$E$116)=TRUE,"##",IDENTIFICATION!$E$116)</f>
        <v>##</v>
      </c>
      <c r="G9" s="1243"/>
      <c r="H9" s="1243"/>
      <c r="I9" s="1243"/>
      <c r="J9" s="1241"/>
      <c r="L9" s="3549" t="s">
        <v>2284</v>
      </c>
      <c r="M9" s="3550"/>
      <c r="N9" s="3550"/>
      <c r="O9" s="3547">
        <f>IDENTIFICATION!$G$142</f>
        <v>0</v>
      </c>
    </row>
    <row r="10" spans="1:16" s="28" customFormat="1">
      <c r="A10" s="55"/>
      <c r="C10" s="1587"/>
      <c r="D10" s="1588"/>
      <c r="F10" s="1245" t="str">
        <f>IF(IDENTIFICATION!$D$62="","","(")</f>
        <v/>
      </c>
      <c r="G10" s="1246" t="str">
        <f>IF(IDENTIFICATION!$D$62="","",IF(ISBLANK(IDENTIFICATION!$E$118)=TRUE,"##",IDENTIFICATION!$E$118))</f>
        <v/>
      </c>
      <c r="H10" s="1240" t="str">
        <f>IF(IDENTIFICATION!$D$62='MENU DÉROULANT'!$D$19,"  PGA remis par la municipalité)",IF(IDENTIFICATION!$D$62='MENU DÉROULANT'!$D$20,"  PGA remis par la régie)",IF(IDENTIFICATION!$D$62='MENU DÉROULANT'!$D$21,"  PGA réalisé par l'organisation)","")))</f>
        <v/>
      </c>
      <c r="I10" s="1243"/>
      <c r="J10" s="1241"/>
      <c r="L10" s="3551"/>
      <c r="M10" s="3552"/>
      <c r="N10" s="3552"/>
      <c r="O10" s="3548"/>
    </row>
    <row r="11" spans="1:16" s="28" customFormat="1">
      <c r="A11" s="55"/>
      <c r="C11" s="1240" t="s">
        <v>4032</v>
      </c>
      <c r="D11" s="1241"/>
      <c r="E11" s="55"/>
      <c r="F11" s="2254" t="str">
        <f>IF(ISBLANK(IDENTIFICATION!$F$187)=TRUE,"##",IDENTIFICATION!$F$187)</f>
        <v>##</v>
      </c>
      <c r="G11" s="1243"/>
      <c r="H11" s="1243"/>
      <c r="I11" s="1243"/>
      <c r="J11" s="1241"/>
    </row>
    <row r="14" spans="1:16" ht="26.25" customHeight="1">
      <c r="B14" s="1581" t="s">
        <v>861</v>
      </c>
      <c r="C14" s="837"/>
      <c r="D14" s="837"/>
      <c r="E14" s="837"/>
      <c r="F14" s="837"/>
      <c r="G14" s="837"/>
      <c r="H14" s="837"/>
      <c r="I14" s="837"/>
      <c r="J14" s="837"/>
      <c r="K14" s="837"/>
      <c r="L14" s="837"/>
      <c r="M14" s="837"/>
      <c r="N14" s="837"/>
      <c r="O14" s="837"/>
      <c r="P14" s="837"/>
    </row>
    <row r="15" spans="1:16" ht="21">
      <c r="B15" s="223"/>
    </row>
    <row r="16" spans="1:16" s="3" customFormat="1" ht="43.5" customHeight="1">
      <c r="A16" s="589"/>
      <c r="B16" s="219"/>
      <c r="C16" s="220"/>
      <c r="D16" s="1595" t="s">
        <v>22</v>
      </c>
      <c r="E16" s="1596" t="s">
        <v>23</v>
      </c>
      <c r="F16" s="1598" t="s">
        <v>862</v>
      </c>
      <c r="G16" s="220"/>
      <c r="H16" s="1597" t="s">
        <v>863</v>
      </c>
      <c r="I16" s="1580" t="s">
        <v>414</v>
      </c>
    </row>
    <row r="17" spans="2:15" ht="17.25" customHeight="1">
      <c r="B17" s="1589" t="s">
        <v>864</v>
      </c>
      <c r="C17" s="1583" t="s">
        <v>58</v>
      </c>
      <c r="D17" s="2552">
        <f>'CALCULS Eau potable'!E21+'CALCULS Eau potable'!E24</f>
        <v>0</v>
      </c>
      <c r="E17" s="1599" t="str">
        <f>IF(F17=0,"Aucun",F17)</f>
        <v>Aucun</v>
      </c>
      <c r="F17" s="1599">
        <f>'CALCULS Eau potable'!G21+'CALCULS Eau potable'!G24</f>
        <v>0</v>
      </c>
      <c r="G17" s="1440"/>
      <c r="H17" s="3769">
        <f>'CALCULS Eau potable'!J30</f>
        <v>0</v>
      </c>
      <c r="I17" s="3769">
        <f>IF(E30=2,(ROUNDDOWN(AVERAGE(H17:H22),0)),(ROUNDDOWN(AVERAGE(H17:H25),0)))</f>
        <v>0</v>
      </c>
      <c r="J17" s="2544"/>
      <c r="L17" s="1612"/>
      <c r="O17" s="2545"/>
    </row>
    <row r="18" spans="2:15" ht="17.25" customHeight="1">
      <c r="B18" s="1590"/>
      <c r="C18" s="1583" t="s">
        <v>59</v>
      </c>
      <c r="D18" s="2553">
        <f>'CALCULS Eau potable'!E22+'CALCULS Eau potable'!E25</f>
        <v>0</v>
      </c>
      <c r="E18" s="1600" t="str">
        <f>IF(F18=0,"Aucun",F18)</f>
        <v>Aucun</v>
      </c>
      <c r="F18" s="1600">
        <f>'CALCULS Eau potable'!G22+'CALCULS Eau potable'!G25</f>
        <v>0</v>
      </c>
      <c r="G18" s="218"/>
      <c r="H18" s="3770"/>
      <c r="I18" s="3770"/>
      <c r="J18" s="2546"/>
      <c r="L18" s="1612"/>
      <c r="O18" s="2545"/>
    </row>
    <row r="19" spans="2:15" ht="24" customHeight="1">
      <c r="B19" s="1590"/>
      <c r="C19" s="1606" t="s">
        <v>752</v>
      </c>
      <c r="D19" s="2554">
        <f>'CALCULS Eau potable'!E23+'CALCULS Eau potable'!E26</f>
        <v>0</v>
      </c>
      <c r="E19" s="1603" t="str">
        <f>IF(AND(F19=0,G19=0),"Aucun",CONCATENATE(F19," km; ",G19," ouvrages"))</f>
        <v>Aucun</v>
      </c>
      <c r="F19" s="1601">
        <f>'CALCULS Eau potable'!G23+'CALCULS Eau potable'!G26</f>
        <v>0</v>
      </c>
      <c r="G19" s="1973">
        <f>'CALCULS Eau potable'!H23+'CALCULS Eau potable'!H26</f>
        <v>0</v>
      </c>
      <c r="H19" s="3770"/>
      <c r="I19" s="3770"/>
      <c r="J19" s="2547"/>
      <c r="L19" s="1612"/>
      <c r="O19" s="2545"/>
    </row>
    <row r="20" spans="2:15" ht="17.25" customHeight="1">
      <c r="B20" s="1591" t="s">
        <v>865</v>
      </c>
      <c r="C20" s="1583" t="s">
        <v>58</v>
      </c>
      <c r="D20" s="2552">
        <f>'CALCULS Eaux usées'!E21+'CALCULS Eaux usées'!E24</f>
        <v>0</v>
      </c>
      <c r="E20" s="1599" t="str">
        <f>IF(F20=0,"Aucun",F20)</f>
        <v>Aucun</v>
      </c>
      <c r="F20" s="1599">
        <f>'CALCULS Eaux usées'!G21+'CALCULS Eaux usées'!G24</f>
        <v>0</v>
      </c>
      <c r="G20" s="1440"/>
      <c r="H20" s="3769">
        <f>'CALCULS Eaux usées'!J30</f>
        <v>0</v>
      </c>
      <c r="I20" s="3770"/>
      <c r="J20" s="2548"/>
      <c r="O20" s="2545"/>
    </row>
    <row r="21" spans="2:15" ht="17.25" customHeight="1">
      <c r="B21" s="1592"/>
      <c r="C21" s="1583" t="s">
        <v>59</v>
      </c>
      <c r="D21" s="2553">
        <f>'CALCULS Eaux usées'!E22+'CALCULS Eaux usées'!E25</f>
        <v>0</v>
      </c>
      <c r="E21" s="1600" t="str">
        <f>IF(F21=0,"Aucun",F21)</f>
        <v>Aucun</v>
      </c>
      <c r="F21" s="1600">
        <f>'CALCULS Eaux usées'!G22+'CALCULS Eaux usées'!G25</f>
        <v>0</v>
      </c>
      <c r="G21" s="218"/>
      <c r="H21" s="3770"/>
      <c r="I21" s="3770"/>
      <c r="J21" s="2549"/>
      <c r="O21" s="2545"/>
    </row>
    <row r="22" spans="2:15" ht="24" customHeight="1">
      <c r="B22" s="1592"/>
      <c r="C22" s="1607" t="s">
        <v>752</v>
      </c>
      <c r="D22" s="2554">
        <f>'CALCULS Eaux usées'!E23+'CALCULS Eaux usées'!E26</f>
        <v>0</v>
      </c>
      <c r="E22" s="1603" t="str">
        <f>IF(AND(F22=0,G22=0),"Aucun",CONCATENATE(F22," km; ",G22," ouvrages"))</f>
        <v>Aucun</v>
      </c>
      <c r="F22" s="1601">
        <f>'CALCULS Eaux usées'!G23+'CALCULS Eaux usées'!G26</f>
        <v>0</v>
      </c>
      <c r="G22" s="1602">
        <f>'CALCULS Eaux usées'!H23+'CALCULS Eaux usées'!H26</f>
        <v>0</v>
      </c>
      <c r="H22" s="3770"/>
      <c r="I22" s="3770"/>
      <c r="J22" s="2550"/>
      <c r="O22" s="2545"/>
    </row>
    <row r="23" spans="2:15" ht="17.25" customHeight="1">
      <c r="B23" s="1593" t="s">
        <v>866</v>
      </c>
      <c r="C23" s="1584" t="s">
        <v>58</v>
      </c>
      <c r="D23" s="2552">
        <f>'CALCULS Eaux pluviales'!E21+'CALCULS Eaux pluviales'!E24</f>
        <v>0</v>
      </c>
      <c r="E23" s="1599" t="str">
        <f>IF(F23=0,"Aucun",F23)</f>
        <v>Aucun</v>
      </c>
      <c r="F23" s="1599">
        <f>'CALCULS Eaux pluviales'!G21+'CALCULS Eaux pluviales'!G24</f>
        <v>0</v>
      </c>
      <c r="G23" s="1975"/>
      <c r="H23" s="3769">
        <f>'CALCULS Eaux pluviales'!J30</f>
        <v>0</v>
      </c>
      <c r="I23" s="3770"/>
      <c r="O23" s="2545"/>
    </row>
    <row r="24" spans="2:15" ht="17.25" customHeight="1">
      <c r="B24" s="1441"/>
      <c r="C24" s="1583" t="s">
        <v>59</v>
      </c>
      <c r="D24" s="2553">
        <f>'CALCULS Eaux pluviales'!E22+'CALCULS Eaux pluviales'!E25</f>
        <v>0</v>
      </c>
      <c r="E24" s="1600" t="str">
        <f>IF(F24=0,"Aucun",F24)</f>
        <v>Aucun</v>
      </c>
      <c r="F24" s="1600">
        <f>'CALCULS Eaux pluviales'!G22+'CALCULS Eaux pluviales'!G25</f>
        <v>0</v>
      </c>
      <c r="G24" s="218"/>
      <c r="H24" s="3770"/>
      <c r="I24" s="3770"/>
      <c r="O24" s="2545"/>
    </row>
    <row r="25" spans="2:15" ht="24" customHeight="1">
      <c r="B25" s="1582"/>
      <c r="C25" s="1608" t="s">
        <v>752</v>
      </c>
      <c r="D25" s="2554">
        <f>'CALCULS Eaux pluviales'!E23+'CALCULS Eaux pluviales'!E26</f>
        <v>0</v>
      </c>
      <c r="E25" s="1605" t="str">
        <f>IF(AND(F25=0,G25=0),"Aucun",CONCATENATE(F25," km; ",G25," ouvrages"))</f>
        <v>Aucun</v>
      </c>
      <c r="F25" s="1974">
        <f>'CALCULS Eaux pluviales'!G23+'CALCULS Eaux pluviales'!G26</f>
        <v>0</v>
      </c>
      <c r="G25" s="1973">
        <f>'CALCULS Eaux pluviales'!H23+'CALCULS Eaux pluviales'!H26</f>
        <v>0</v>
      </c>
      <c r="H25" s="3771"/>
      <c r="I25" s="3771"/>
      <c r="O25" s="2545"/>
    </row>
    <row r="26" spans="2:15" ht="17.25" customHeight="1">
      <c r="B26" s="10"/>
      <c r="C26" s="1442"/>
      <c r="D26" s="4"/>
      <c r="E26" s="592"/>
      <c r="F26" s="218"/>
      <c r="G26" s="1604"/>
      <c r="I26" s="1610"/>
      <c r="J26" s="1611"/>
      <c r="K26" s="1612"/>
      <c r="L26" s="1611"/>
      <c r="M26" s="1612"/>
      <c r="N26" s="1613"/>
    </row>
    <row r="27" spans="2:15" ht="17.25" customHeight="1">
      <c r="B27" s="10"/>
      <c r="C27" s="3782" t="s">
        <v>867</v>
      </c>
      <c r="D27" s="3559">
        <f>SUM(D17:D25)</f>
        <v>0</v>
      </c>
      <c r="E27" s="3559"/>
      <c r="F27" s="218"/>
      <c r="G27" s="1609"/>
      <c r="H27" s="2060" t="s">
        <v>868</v>
      </c>
      <c r="I27" s="1610"/>
      <c r="J27" s="1611"/>
      <c r="K27" s="1612"/>
      <c r="L27" s="1611"/>
      <c r="M27" s="1612"/>
      <c r="N27" s="1613"/>
    </row>
    <row r="28" spans="2:15" ht="17.25" customHeight="1">
      <c r="B28" s="10"/>
      <c r="C28" s="3782"/>
      <c r="D28" s="3559"/>
      <c r="E28" s="3559"/>
      <c r="F28" s="218"/>
      <c r="G28" s="1604"/>
      <c r="H28" s="2061" t="s">
        <v>869</v>
      </c>
      <c r="I28" s="1610"/>
      <c r="J28" s="1611"/>
      <c r="K28" s="1612"/>
      <c r="L28" s="1611"/>
      <c r="M28" s="1612"/>
      <c r="N28" s="1613"/>
    </row>
    <row r="29" spans="2:15" ht="17.25" customHeight="1">
      <c r="B29" s="10"/>
      <c r="C29" s="1442"/>
      <c r="D29" s="1594"/>
      <c r="E29" s="1594"/>
      <c r="F29" s="218"/>
      <c r="G29" s="1604"/>
      <c r="I29" s="1610"/>
      <c r="J29" s="1611"/>
      <c r="K29" s="1612"/>
      <c r="L29" s="1611"/>
      <c r="M29" s="1612"/>
      <c r="N29" s="1613"/>
    </row>
    <row r="30" spans="2:15" ht="57.75" customHeight="1">
      <c r="B30" s="2287" t="s">
        <v>870</v>
      </c>
      <c r="C30" s="3783">
        <f>IDENTIFICATION!G142</f>
        <v>0</v>
      </c>
      <c r="D30" s="3783"/>
      <c r="E30" s="2288" t="str">
        <f>IF(C30='MENU DÉROULANT'!C9,1,IF(C30='MENU DÉROULANT'!C10,2,""))</f>
        <v/>
      </c>
      <c r="F30" t="s">
        <v>552</v>
      </c>
      <c r="G30" s="2551" t="str">
        <f>IF(E30=2,"Note:  La municipalité a fait le choix d'intégrer sa gestion des infrastructures d'eaux pluviales avec celles des eaux usées.","")</f>
        <v/>
      </c>
      <c r="L30" s="2541"/>
      <c r="M30" s="2541"/>
      <c r="N30" s="2541"/>
    </row>
    <row r="31" spans="2:15" ht="15.75" customHeight="1"/>
    <row r="34" spans="2:16" ht="26.25" customHeight="1">
      <c r="B34" s="1581" t="s">
        <v>871</v>
      </c>
      <c r="C34" s="837"/>
      <c r="D34" s="837"/>
      <c r="E34" s="837"/>
      <c r="F34" s="837"/>
      <c r="G34" s="837"/>
      <c r="H34" s="837"/>
      <c r="I34" s="837"/>
      <c r="J34" s="837"/>
      <c r="K34" s="837"/>
      <c r="L34" s="837"/>
      <c r="M34" s="837"/>
      <c r="N34" s="837"/>
      <c r="O34" s="837"/>
      <c r="P34" s="837"/>
    </row>
    <row r="35" spans="2:16" ht="21">
      <c r="B35" s="223"/>
    </row>
    <row r="36" spans="2:16" ht="30.75" customHeight="1">
      <c r="B36" s="223"/>
      <c r="C36" s="1614" t="s">
        <v>864</v>
      </c>
    </row>
    <row r="37" spans="2:16" ht="24">
      <c r="C37" s="1622"/>
      <c r="D37" s="1633" t="s">
        <v>61</v>
      </c>
      <c r="E37" s="1632" t="s">
        <v>62</v>
      </c>
      <c r="F37" s="1632" t="s">
        <v>2290</v>
      </c>
      <c r="G37" s="1632" t="s">
        <v>64</v>
      </c>
      <c r="H37" s="1632" t="s">
        <v>65</v>
      </c>
      <c r="I37" s="1634" t="s">
        <v>66</v>
      </c>
      <c r="J37" s="585"/>
      <c r="L37" s="1644" t="s">
        <v>33</v>
      </c>
      <c r="M37" s="1644" t="s">
        <v>414</v>
      </c>
    </row>
    <row r="38" spans="2:16">
      <c r="C38" s="1623" t="s">
        <v>872</v>
      </c>
      <c r="D38" s="1635">
        <f>'CALCULS Eau potable'!E53</f>
        <v>0</v>
      </c>
      <c r="E38" s="1621">
        <f>'CALCULS Eau potable'!F53</f>
        <v>0</v>
      </c>
      <c r="F38" s="1621">
        <f>'CALCULS Eau potable'!G53</f>
        <v>0</v>
      </c>
      <c r="G38" s="1621">
        <f>'CALCULS Eau potable'!H53</f>
        <v>0</v>
      </c>
      <c r="H38" s="1621">
        <f>'CALCULS Eau potable'!I53</f>
        <v>0</v>
      </c>
      <c r="I38" s="1624">
        <f>'CALCULS Eau potable'!J53</f>
        <v>0</v>
      </c>
      <c r="J38" s="1624">
        <f>SUM(D38:I38)</f>
        <v>0</v>
      </c>
      <c r="L38" s="3766">
        <f>'CALCULS Eau potable'!M53</f>
        <v>0</v>
      </c>
      <c r="M38" s="3769">
        <f>'CALCULS Eau potable'!N53</f>
        <v>0</v>
      </c>
      <c r="N38" s="2221"/>
    </row>
    <row r="39" spans="2:16">
      <c r="C39" s="1625"/>
      <c r="D39" s="1638">
        <f>'CALCULS Eau potable'!E21</f>
        <v>0</v>
      </c>
      <c r="E39" s="221"/>
      <c r="F39" s="221"/>
      <c r="G39" s="221"/>
      <c r="H39" s="221"/>
      <c r="I39" s="1640"/>
      <c r="J39" s="1640"/>
      <c r="L39" s="3767"/>
      <c r="M39" s="3770"/>
      <c r="N39" s="2221"/>
    </row>
    <row r="40" spans="2:16">
      <c r="C40" s="1626" t="s">
        <v>873</v>
      </c>
      <c r="D40" s="1636">
        <f t="shared" ref="D40:J40" si="0">$D$39*D38</f>
        <v>0</v>
      </c>
      <c r="E40" s="1620">
        <f t="shared" si="0"/>
        <v>0</v>
      </c>
      <c r="F40" s="1620">
        <f t="shared" si="0"/>
        <v>0</v>
      </c>
      <c r="G40" s="1620">
        <f t="shared" si="0"/>
        <v>0</v>
      </c>
      <c r="H40" s="1620">
        <f t="shared" si="0"/>
        <v>0</v>
      </c>
      <c r="I40" s="1627">
        <f t="shared" si="0"/>
        <v>0</v>
      </c>
      <c r="J40" s="1627">
        <f t="shared" si="0"/>
        <v>0</v>
      </c>
      <c r="L40" s="3767"/>
      <c r="M40" s="3770"/>
    </row>
    <row r="41" spans="2:16">
      <c r="C41" s="1628" t="s">
        <v>874</v>
      </c>
      <c r="D41" s="1637">
        <f>'CALCULS Eau potable'!E54</f>
        <v>0</v>
      </c>
      <c r="E41" s="1618">
        <f>'CALCULS Eau potable'!F54</f>
        <v>0</v>
      </c>
      <c r="F41" s="1618">
        <f>'CALCULS Eau potable'!G54</f>
        <v>0</v>
      </c>
      <c r="G41" s="1618">
        <f>'CALCULS Eau potable'!H54</f>
        <v>0</v>
      </c>
      <c r="H41" s="1618">
        <f>'CALCULS Eau potable'!I54</f>
        <v>0</v>
      </c>
      <c r="I41" s="1629">
        <f>'CALCULS Eau potable'!J54</f>
        <v>0</v>
      </c>
      <c r="J41" s="1629">
        <f>SUM(D41:I41)</f>
        <v>0</v>
      </c>
      <c r="L41" s="3767"/>
      <c r="M41" s="3770"/>
    </row>
    <row r="42" spans="2:16">
      <c r="C42" s="1625"/>
      <c r="D42" s="1639">
        <f>'CALCULS Eau potable'!E22</f>
        <v>0</v>
      </c>
      <c r="E42" s="221"/>
      <c r="F42" s="221"/>
      <c r="G42" s="221"/>
      <c r="H42" s="221"/>
      <c r="I42" s="1640"/>
      <c r="J42" s="1640"/>
      <c r="L42" s="3767"/>
      <c r="M42" s="3770"/>
    </row>
    <row r="43" spans="2:16">
      <c r="C43" s="1626" t="s">
        <v>873</v>
      </c>
      <c r="D43" s="1638">
        <f t="shared" ref="D43:J43" si="1">$D$42*D41</f>
        <v>0</v>
      </c>
      <c r="E43" s="1619">
        <f t="shared" si="1"/>
        <v>0</v>
      </c>
      <c r="F43" s="1619">
        <f t="shared" si="1"/>
        <v>0</v>
      </c>
      <c r="G43" s="1619">
        <f t="shared" si="1"/>
        <v>0</v>
      </c>
      <c r="H43" s="1619">
        <f t="shared" si="1"/>
        <v>0</v>
      </c>
      <c r="I43" s="1630">
        <f t="shared" si="1"/>
        <v>0</v>
      </c>
      <c r="J43" s="1630">
        <f t="shared" si="1"/>
        <v>0</v>
      </c>
      <c r="L43" s="3768"/>
      <c r="M43" s="3770"/>
    </row>
    <row r="44" spans="2:16">
      <c r="C44" s="1623" t="s">
        <v>875</v>
      </c>
      <c r="D44" s="1635">
        <f>'CALCULS Eau potable'!E55</f>
        <v>0</v>
      </c>
      <c r="E44" s="1621">
        <f>'CALCULS Eau potable'!F55</f>
        <v>0</v>
      </c>
      <c r="F44" s="1621">
        <f>'CALCULS Eau potable'!G55</f>
        <v>0</v>
      </c>
      <c r="G44" s="1621">
        <f>'CALCULS Eau potable'!H55</f>
        <v>0</v>
      </c>
      <c r="H44" s="1621">
        <f>'CALCULS Eau potable'!I55</f>
        <v>0</v>
      </c>
      <c r="I44" s="1624">
        <f>'CALCULS Eau potable'!J55</f>
        <v>0</v>
      </c>
      <c r="J44" s="1624">
        <f>SUM(D44:I44)</f>
        <v>0</v>
      </c>
      <c r="L44" s="3766">
        <f>'CALCULS Eau potable'!M55</f>
        <v>0</v>
      </c>
      <c r="M44" s="3770"/>
    </row>
    <row r="45" spans="2:16">
      <c r="C45" s="1625"/>
      <c r="D45" s="1639">
        <f>'CALCULS Eau potable'!E24</f>
        <v>0</v>
      </c>
      <c r="E45" s="221"/>
      <c r="F45" s="221"/>
      <c r="G45" s="221"/>
      <c r="H45" s="221"/>
      <c r="I45" s="1640"/>
      <c r="J45" s="1640"/>
      <c r="L45" s="3767"/>
      <c r="M45" s="3770"/>
    </row>
    <row r="46" spans="2:16">
      <c r="C46" s="1626" t="s">
        <v>873</v>
      </c>
      <c r="D46" s="1636">
        <f t="shared" ref="D46:J46" si="2">$D$45*D44</f>
        <v>0</v>
      </c>
      <c r="E46" s="1620">
        <f t="shared" si="2"/>
        <v>0</v>
      </c>
      <c r="F46" s="1620">
        <f t="shared" si="2"/>
        <v>0</v>
      </c>
      <c r="G46" s="1620">
        <f t="shared" si="2"/>
        <v>0</v>
      </c>
      <c r="H46" s="1620">
        <f t="shared" si="2"/>
        <v>0</v>
      </c>
      <c r="I46" s="1627">
        <f t="shared" si="2"/>
        <v>0</v>
      </c>
      <c r="J46" s="1627">
        <f t="shared" si="2"/>
        <v>0</v>
      </c>
      <c r="L46" s="3767"/>
      <c r="M46" s="3770"/>
    </row>
    <row r="47" spans="2:16">
      <c r="C47" s="1628" t="s">
        <v>876</v>
      </c>
      <c r="D47" s="1637">
        <f>'CALCULS Eau potable'!E56</f>
        <v>0</v>
      </c>
      <c r="E47" s="1618">
        <f>'CALCULS Eau potable'!F56</f>
        <v>0</v>
      </c>
      <c r="F47" s="1618">
        <f>'CALCULS Eau potable'!G56</f>
        <v>0</v>
      </c>
      <c r="G47" s="1618">
        <f>'CALCULS Eau potable'!H56</f>
        <v>0</v>
      </c>
      <c r="H47" s="1618">
        <f>'CALCULS Eau potable'!I56</f>
        <v>0</v>
      </c>
      <c r="I47" s="1629">
        <f>'CALCULS Eau potable'!J56</f>
        <v>0</v>
      </c>
      <c r="J47" s="1629">
        <f>SUM(D47:I47)</f>
        <v>0</v>
      </c>
      <c r="L47" s="3767"/>
      <c r="M47" s="3770"/>
    </row>
    <row r="48" spans="2:16">
      <c r="C48" s="1625"/>
      <c r="D48" s="1639">
        <f>'CALCULS Eau potable'!E25</f>
        <v>0</v>
      </c>
      <c r="E48" s="221"/>
      <c r="F48" s="221"/>
      <c r="G48" s="221"/>
      <c r="H48" s="221"/>
      <c r="I48" s="1640"/>
      <c r="J48" s="1641"/>
      <c r="L48" s="3767"/>
      <c r="M48" s="3770"/>
    </row>
    <row r="49" spans="1:13">
      <c r="C49" s="1626" t="s">
        <v>873</v>
      </c>
      <c r="D49" s="1636">
        <f t="shared" ref="D49:J49" si="3">$D$48*D47</f>
        <v>0</v>
      </c>
      <c r="E49" s="1620">
        <f t="shared" si="3"/>
        <v>0</v>
      </c>
      <c r="F49" s="1620">
        <f t="shared" si="3"/>
        <v>0</v>
      </c>
      <c r="G49" s="1620">
        <f t="shared" si="3"/>
        <v>0</v>
      </c>
      <c r="H49" s="1620">
        <f t="shared" si="3"/>
        <v>0</v>
      </c>
      <c r="I49" s="1627">
        <f>$D$48*I47</f>
        <v>0</v>
      </c>
      <c r="J49" s="1627">
        <f t="shared" si="3"/>
        <v>0</v>
      </c>
      <c r="L49" s="3768"/>
      <c r="M49" s="3771"/>
    </row>
    <row r="50" spans="1:13">
      <c r="C50" s="1642" t="s">
        <v>877</v>
      </c>
      <c r="D50" s="1645">
        <f t="shared" ref="D50:J50" si="4">D40+D46</f>
        <v>0</v>
      </c>
      <c r="E50" s="1646">
        <f t="shared" si="4"/>
        <v>0</v>
      </c>
      <c r="F50" s="1646">
        <f t="shared" si="4"/>
        <v>0</v>
      </c>
      <c r="G50" s="1646">
        <f t="shared" si="4"/>
        <v>0</v>
      </c>
      <c r="H50" s="1646">
        <f t="shared" si="4"/>
        <v>0</v>
      </c>
      <c r="I50" s="1646">
        <f t="shared" si="4"/>
        <v>0</v>
      </c>
      <c r="J50" s="1647">
        <f t="shared" si="4"/>
        <v>0</v>
      </c>
      <c r="L50" s="221"/>
    </row>
    <row r="51" spans="1:13">
      <c r="C51" s="1631" t="s">
        <v>878</v>
      </c>
      <c r="D51" s="1638">
        <f t="shared" ref="D51:J51" si="5">D43+D49</f>
        <v>0</v>
      </c>
      <c r="E51" s="1619">
        <f t="shared" si="5"/>
        <v>0</v>
      </c>
      <c r="F51" s="1619">
        <f t="shared" si="5"/>
        <v>0</v>
      </c>
      <c r="G51" s="1619">
        <f t="shared" si="5"/>
        <v>0</v>
      </c>
      <c r="H51" s="1619">
        <f t="shared" si="5"/>
        <v>0</v>
      </c>
      <c r="I51" s="1619">
        <f t="shared" si="5"/>
        <v>0</v>
      </c>
      <c r="J51" s="1648">
        <f t="shared" si="5"/>
        <v>0</v>
      </c>
      <c r="L51" s="221"/>
    </row>
    <row r="52" spans="1:13" ht="20.25" customHeight="1">
      <c r="C52" s="1661"/>
      <c r="D52" s="1662"/>
      <c r="E52" s="1662"/>
      <c r="F52" s="1662"/>
      <c r="G52" s="1662"/>
      <c r="H52" s="1662"/>
      <c r="I52" s="1663"/>
      <c r="J52" s="1649">
        <f>J50+J51</f>
        <v>0</v>
      </c>
      <c r="K52" s="1650">
        <f>D39+D42+D45+D48</f>
        <v>0</v>
      </c>
      <c r="L52" s="1445" t="s">
        <v>879</v>
      </c>
    </row>
    <row r="53" spans="1:13" s="6" customFormat="1" ht="17.25" customHeight="1">
      <c r="A53" s="409"/>
      <c r="B53" s="222"/>
      <c r="C53" s="1449"/>
      <c r="D53" s="1446"/>
      <c r="E53" s="1446"/>
      <c r="F53" s="1446"/>
      <c r="G53" s="1446"/>
      <c r="H53" s="1446"/>
      <c r="I53" s="1446"/>
      <c r="J53" s="1447"/>
      <c r="K53" s="1448"/>
    </row>
    <row r="54" spans="1:13" ht="30.75" customHeight="1">
      <c r="B54" s="223"/>
      <c r="C54" s="1614" t="s">
        <v>865</v>
      </c>
    </row>
    <row r="55" spans="1:13" ht="24">
      <c r="C55" s="1651"/>
      <c r="D55" s="1655" t="s">
        <v>61</v>
      </c>
      <c r="E55" s="1652" t="s">
        <v>62</v>
      </c>
      <c r="F55" s="1652" t="s">
        <v>63</v>
      </c>
      <c r="G55" s="1652" t="s">
        <v>64</v>
      </c>
      <c r="H55" s="1652" t="s">
        <v>65</v>
      </c>
      <c r="I55" s="1656" t="s">
        <v>66</v>
      </c>
      <c r="J55" s="1653"/>
      <c r="K55" s="221"/>
      <c r="L55" s="1644" t="s">
        <v>33</v>
      </c>
      <c r="M55" s="1644" t="s">
        <v>414</v>
      </c>
    </row>
    <row r="56" spans="1:13">
      <c r="C56" s="1623" t="s">
        <v>880</v>
      </c>
      <c r="D56" s="1637">
        <f>'CALCULS Eaux usées'!E53</f>
        <v>0</v>
      </c>
      <c r="E56" s="1618">
        <f>'CALCULS Eaux usées'!F53</f>
        <v>0</v>
      </c>
      <c r="F56" s="1618">
        <f>'CALCULS Eaux usées'!G53</f>
        <v>0</v>
      </c>
      <c r="G56" s="1618">
        <f>'CALCULS Eaux usées'!H53</f>
        <v>0</v>
      </c>
      <c r="H56" s="1618">
        <f>'CALCULS Eaux usées'!I53</f>
        <v>0</v>
      </c>
      <c r="I56" s="1629">
        <f>'CALCULS Eaux usées'!J53</f>
        <v>0</v>
      </c>
      <c r="J56" s="1657">
        <f>SUM(D56:I56)</f>
        <v>0</v>
      </c>
      <c r="K56" s="1444"/>
      <c r="L56" s="3766">
        <f>'CALCULS Eaux usées'!M53</f>
        <v>0</v>
      </c>
      <c r="M56" s="3769">
        <f>'CALCULS Eaux usées'!N53</f>
        <v>0</v>
      </c>
    </row>
    <row r="57" spans="1:13">
      <c r="C57" s="1625"/>
      <c r="D57" s="1638">
        <f>'CALCULS Eaux usées'!E21</f>
        <v>0</v>
      </c>
      <c r="E57" s="221"/>
      <c r="F57" s="221"/>
      <c r="G57" s="221"/>
      <c r="H57" s="221"/>
      <c r="I57" s="1640"/>
      <c r="J57" s="1643"/>
      <c r="K57" s="221"/>
      <c r="L57" s="3767"/>
      <c r="M57" s="3770"/>
    </row>
    <row r="58" spans="1:13">
      <c r="C58" s="1626" t="s">
        <v>873</v>
      </c>
      <c r="D58" s="1636">
        <f>$D$57*D56</f>
        <v>0</v>
      </c>
      <c r="E58" s="1620">
        <f t="shared" ref="E58:J58" si="6">$D$57*E56</f>
        <v>0</v>
      </c>
      <c r="F58" s="1620">
        <f t="shared" si="6"/>
        <v>0</v>
      </c>
      <c r="G58" s="1620">
        <f t="shared" si="6"/>
        <v>0</v>
      </c>
      <c r="H58" s="1620">
        <f t="shared" si="6"/>
        <v>0</v>
      </c>
      <c r="I58" s="1627">
        <f t="shared" si="6"/>
        <v>0</v>
      </c>
      <c r="J58" s="1658">
        <f t="shared" si="6"/>
        <v>0</v>
      </c>
      <c r="K58" s="221"/>
      <c r="L58" s="3767"/>
      <c r="M58" s="3770"/>
    </row>
    <row r="59" spans="1:13">
      <c r="C59" s="1628" t="s">
        <v>881</v>
      </c>
      <c r="D59" s="1637">
        <f>'CALCULS Eaux usées'!E54</f>
        <v>0</v>
      </c>
      <c r="E59" s="1618">
        <f>'CALCULS Eaux usées'!F54</f>
        <v>0</v>
      </c>
      <c r="F59" s="1618">
        <f>'CALCULS Eaux usées'!G54</f>
        <v>0</v>
      </c>
      <c r="G59" s="1618">
        <f>'CALCULS Eaux usées'!H54</f>
        <v>0</v>
      </c>
      <c r="H59" s="1618">
        <f>'CALCULS Eaux usées'!I54</f>
        <v>0</v>
      </c>
      <c r="I59" s="1629">
        <f>'CALCULS Eaux usées'!J54</f>
        <v>0</v>
      </c>
      <c r="J59" s="1659">
        <f>SUM(D59:I59)</f>
        <v>0</v>
      </c>
      <c r="K59" s="1444"/>
      <c r="L59" s="3767"/>
      <c r="M59" s="3770"/>
    </row>
    <row r="60" spans="1:13">
      <c r="C60" s="1625"/>
      <c r="D60" s="1638">
        <f>'CALCULS Eaux usées'!E22</f>
        <v>0</v>
      </c>
      <c r="E60" s="221"/>
      <c r="F60" s="221"/>
      <c r="G60" s="221"/>
      <c r="H60" s="221"/>
      <c r="I60" s="1640"/>
      <c r="J60" s="1643"/>
      <c r="K60" s="221"/>
      <c r="L60" s="3767"/>
      <c r="M60" s="3770"/>
    </row>
    <row r="61" spans="1:13">
      <c r="C61" s="1626" t="s">
        <v>873</v>
      </c>
      <c r="D61" s="1636">
        <f>$D$60*D59</f>
        <v>0</v>
      </c>
      <c r="E61" s="1620">
        <f t="shared" ref="E61:J61" si="7">$D$60*E59</f>
        <v>0</v>
      </c>
      <c r="F61" s="1620">
        <f t="shared" si="7"/>
        <v>0</v>
      </c>
      <c r="G61" s="1620">
        <f t="shared" si="7"/>
        <v>0</v>
      </c>
      <c r="H61" s="1620">
        <f t="shared" si="7"/>
        <v>0</v>
      </c>
      <c r="I61" s="1627">
        <f t="shared" si="7"/>
        <v>0</v>
      </c>
      <c r="J61" s="1658">
        <f t="shared" si="7"/>
        <v>0</v>
      </c>
      <c r="K61" s="221"/>
      <c r="L61" s="3768"/>
      <c r="M61" s="3770"/>
    </row>
    <row r="62" spans="1:13">
      <c r="C62" s="1628" t="s">
        <v>882</v>
      </c>
      <c r="D62" s="1637">
        <f>'CALCULS Eaux usées'!E55</f>
        <v>0</v>
      </c>
      <c r="E62" s="1618">
        <f>'CALCULS Eaux usées'!F55</f>
        <v>0</v>
      </c>
      <c r="F62" s="1618">
        <f>'CALCULS Eaux usées'!G55</f>
        <v>0</v>
      </c>
      <c r="G62" s="1618">
        <f>'CALCULS Eaux usées'!H55</f>
        <v>0</v>
      </c>
      <c r="H62" s="1618">
        <f>'CALCULS Eaux usées'!I55</f>
        <v>0</v>
      </c>
      <c r="I62" s="1629">
        <f>'CALCULS Eaux usées'!J55</f>
        <v>0</v>
      </c>
      <c r="J62" s="1657">
        <f>SUM(D62:I62)</f>
        <v>0</v>
      </c>
      <c r="K62" s="1444"/>
      <c r="L62" s="3766">
        <f>'CALCULS Eaux usées'!M55</f>
        <v>0</v>
      </c>
      <c r="M62" s="3770"/>
    </row>
    <row r="63" spans="1:13">
      <c r="C63" s="1625"/>
      <c r="D63" s="1639">
        <f>'CALCULS Eaux usées'!E24</f>
        <v>0</v>
      </c>
      <c r="E63" s="221"/>
      <c r="F63" s="221"/>
      <c r="G63" s="221"/>
      <c r="H63" s="221"/>
      <c r="I63" s="1640"/>
      <c r="J63" s="1643"/>
      <c r="K63" s="221"/>
      <c r="L63" s="3767"/>
      <c r="M63" s="3770"/>
    </row>
    <row r="64" spans="1:13">
      <c r="C64" s="1626" t="s">
        <v>873</v>
      </c>
      <c r="D64" s="1636">
        <f>$D$63*D62</f>
        <v>0</v>
      </c>
      <c r="E64" s="1620">
        <f t="shared" ref="E64:J64" si="8">$D$63*E62</f>
        <v>0</v>
      </c>
      <c r="F64" s="1620">
        <f t="shared" si="8"/>
        <v>0</v>
      </c>
      <c r="G64" s="1620">
        <f t="shared" si="8"/>
        <v>0</v>
      </c>
      <c r="H64" s="1620">
        <f t="shared" si="8"/>
        <v>0</v>
      </c>
      <c r="I64" s="1627">
        <f t="shared" si="8"/>
        <v>0</v>
      </c>
      <c r="J64" s="1658">
        <f t="shared" si="8"/>
        <v>0</v>
      </c>
      <c r="K64" s="221"/>
      <c r="L64" s="3767"/>
      <c r="M64" s="3770"/>
    </row>
    <row r="65" spans="1:13">
      <c r="C65" s="1628" t="s">
        <v>883</v>
      </c>
      <c r="D65" s="1637">
        <f>'CALCULS Eaux usées'!E56</f>
        <v>0</v>
      </c>
      <c r="E65" s="1618">
        <f>'CALCULS Eaux usées'!F56</f>
        <v>0</v>
      </c>
      <c r="F65" s="1618">
        <f>'CALCULS Eaux usées'!G56</f>
        <v>0</v>
      </c>
      <c r="G65" s="1618">
        <f>'CALCULS Eaux usées'!H56</f>
        <v>0</v>
      </c>
      <c r="H65" s="1618">
        <f>'CALCULS Eaux usées'!I56</f>
        <v>0</v>
      </c>
      <c r="I65" s="1629">
        <f>'CALCULS Eaux usées'!J56</f>
        <v>0</v>
      </c>
      <c r="J65" s="1659">
        <f>SUM(D65:I65)</f>
        <v>0</v>
      </c>
      <c r="K65" s="1444"/>
      <c r="L65" s="3767"/>
      <c r="M65" s="3770"/>
    </row>
    <row r="66" spans="1:13">
      <c r="C66" s="1625"/>
      <c r="D66" s="1639">
        <f>'CALCULS Eaux usées'!E25</f>
        <v>0</v>
      </c>
      <c r="E66" s="221"/>
      <c r="F66" s="221"/>
      <c r="G66" s="221"/>
      <c r="H66" s="221"/>
      <c r="I66" s="1640"/>
      <c r="J66" s="977"/>
      <c r="K66" s="221"/>
      <c r="L66" s="3767"/>
      <c r="M66" s="3770"/>
    </row>
    <row r="67" spans="1:13">
      <c r="C67" s="1626" t="s">
        <v>873</v>
      </c>
      <c r="D67" s="1636">
        <f>$D$66*D65</f>
        <v>0</v>
      </c>
      <c r="E67" s="1620">
        <f t="shared" ref="E67:J67" si="9">$D$66*E65</f>
        <v>0</v>
      </c>
      <c r="F67" s="1620">
        <f t="shared" si="9"/>
        <v>0</v>
      </c>
      <c r="G67" s="1620">
        <f t="shared" si="9"/>
        <v>0</v>
      </c>
      <c r="H67" s="1620">
        <f t="shared" si="9"/>
        <v>0</v>
      </c>
      <c r="I67" s="1627">
        <f t="shared" si="9"/>
        <v>0</v>
      </c>
      <c r="J67" s="1658">
        <f t="shared" si="9"/>
        <v>0</v>
      </c>
      <c r="K67" s="221"/>
      <c r="L67" s="3768"/>
      <c r="M67" s="3771"/>
    </row>
    <row r="68" spans="1:13">
      <c r="C68" s="1654" t="s">
        <v>884</v>
      </c>
      <c r="D68" s="1638">
        <f>D58+D64</f>
        <v>0</v>
      </c>
      <c r="E68" s="1619">
        <f t="shared" ref="E68:J68" si="10">E58+E64</f>
        <v>0</v>
      </c>
      <c r="F68" s="1619">
        <f t="shared" si="10"/>
        <v>0</v>
      </c>
      <c r="G68" s="1619">
        <f t="shared" si="10"/>
        <v>0</v>
      </c>
      <c r="H68" s="1619">
        <f t="shared" si="10"/>
        <v>0</v>
      </c>
      <c r="I68" s="1630">
        <f t="shared" si="10"/>
        <v>0</v>
      </c>
      <c r="J68" s="1647">
        <f t="shared" si="10"/>
        <v>0</v>
      </c>
      <c r="K68" s="221"/>
    </row>
    <row r="69" spans="1:13">
      <c r="C69" s="1631" t="s">
        <v>885</v>
      </c>
      <c r="D69" s="1638">
        <f>D61+D67</f>
        <v>0</v>
      </c>
      <c r="E69" s="1619">
        <f t="shared" ref="E69:J69" si="11">E61+E67</f>
        <v>0</v>
      </c>
      <c r="F69" s="1619">
        <f t="shared" si="11"/>
        <v>0</v>
      </c>
      <c r="G69" s="1619">
        <f t="shared" si="11"/>
        <v>0</v>
      </c>
      <c r="H69" s="1619">
        <f t="shared" si="11"/>
        <v>0</v>
      </c>
      <c r="I69" s="1630">
        <f t="shared" si="11"/>
        <v>0</v>
      </c>
      <c r="J69" s="1648">
        <f t="shared" si="11"/>
        <v>0</v>
      </c>
      <c r="K69" s="221"/>
    </row>
    <row r="70" spans="1:13" ht="20.25" customHeight="1">
      <c r="C70" s="1661"/>
      <c r="D70" s="1662"/>
      <c r="E70" s="1662"/>
      <c r="F70" s="1662"/>
      <c r="G70" s="1662"/>
      <c r="H70" s="1662"/>
      <c r="I70" s="1663"/>
      <c r="J70" s="1649">
        <f>J68+J69</f>
        <v>0</v>
      </c>
      <c r="K70" s="1650">
        <f>D57+D60+D63+D66</f>
        <v>0</v>
      </c>
      <c r="L70" s="1445" t="s">
        <v>879</v>
      </c>
    </row>
    <row r="71" spans="1:13" s="6" customFormat="1" ht="18" customHeight="1">
      <c r="A71" s="409"/>
      <c r="B71" s="222"/>
      <c r="C71" s="1449"/>
      <c r="D71" s="1446"/>
      <c r="E71" s="1446"/>
      <c r="F71" s="1446"/>
      <c r="G71" s="1446"/>
      <c r="H71" s="1446"/>
      <c r="I71" s="1446"/>
      <c r="J71" s="1447"/>
      <c r="K71" s="1448"/>
    </row>
    <row r="72" spans="1:13" ht="30.75" customHeight="1">
      <c r="B72" s="223"/>
      <c r="C72" s="1614" t="s">
        <v>866</v>
      </c>
      <c r="D72" s="1450"/>
      <c r="E72" s="1450"/>
      <c r="F72" s="1450"/>
    </row>
    <row r="73" spans="1:13" ht="24">
      <c r="C73" s="1651"/>
      <c r="D73" s="1655" t="s">
        <v>61</v>
      </c>
      <c r="E73" s="1652" t="s">
        <v>62</v>
      </c>
      <c r="F73" s="1652" t="s">
        <v>63</v>
      </c>
      <c r="G73" s="1652" t="s">
        <v>64</v>
      </c>
      <c r="H73" s="1652" t="s">
        <v>65</v>
      </c>
      <c r="I73" s="1656" t="s">
        <v>66</v>
      </c>
      <c r="J73" s="1653"/>
      <c r="K73" s="221"/>
      <c r="L73" s="1644" t="s">
        <v>33</v>
      </c>
      <c r="M73" s="1644" t="s">
        <v>414</v>
      </c>
    </row>
    <row r="74" spans="1:13">
      <c r="C74" s="1623" t="s">
        <v>880</v>
      </c>
      <c r="D74" s="1637">
        <f>'CALCULS Eaux pluviales'!E53</f>
        <v>0</v>
      </c>
      <c r="E74" s="1618">
        <f>'CALCULS Eaux pluviales'!F53</f>
        <v>0</v>
      </c>
      <c r="F74" s="1618">
        <f>'CALCULS Eaux pluviales'!G53</f>
        <v>0</v>
      </c>
      <c r="G74" s="1618">
        <f>'CALCULS Eaux pluviales'!H53</f>
        <v>0</v>
      </c>
      <c r="H74" s="1618">
        <f>'CALCULS Eaux pluviales'!I53</f>
        <v>0</v>
      </c>
      <c r="I74" s="1629">
        <f>'CALCULS Eaux pluviales'!J53</f>
        <v>0</v>
      </c>
      <c r="J74" s="1657">
        <f>SUM(D74:I74)</f>
        <v>0</v>
      </c>
      <c r="K74" s="1444"/>
      <c r="L74" s="3766">
        <f>'CALCULS Eaux pluviales'!M53</f>
        <v>0</v>
      </c>
      <c r="M74" s="3769">
        <f>'CALCULS Eaux pluviales'!N53</f>
        <v>0</v>
      </c>
    </row>
    <row r="75" spans="1:13">
      <c r="C75" s="1625"/>
      <c r="D75" s="1638">
        <f>'CALCULS Eaux pluviales'!E21</f>
        <v>0</v>
      </c>
      <c r="E75" s="221"/>
      <c r="F75" s="221"/>
      <c r="G75" s="221"/>
      <c r="H75" s="221"/>
      <c r="I75" s="1640"/>
      <c r="J75" s="1643"/>
      <c r="K75" s="221"/>
      <c r="L75" s="3767"/>
      <c r="M75" s="3770"/>
    </row>
    <row r="76" spans="1:13">
      <c r="C76" s="1626" t="s">
        <v>873</v>
      </c>
      <c r="D76" s="1636">
        <f>$D$75*D74</f>
        <v>0</v>
      </c>
      <c r="E76" s="1620">
        <f t="shared" ref="E76:J76" si="12">$D$75*E74</f>
        <v>0</v>
      </c>
      <c r="F76" s="1620">
        <f t="shared" si="12"/>
        <v>0</v>
      </c>
      <c r="G76" s="1620">
        <f t="shared" si="12"/>
        <v>0</v>
      </c>
      <c r="H76" s="1620">
        <f t="shared" si="12"/>
        <v>0</v>
      </c>
      <c r="I76" s="1627">
        <f t="shared" si="12"/>
        <v>0</v>
      </c>
      <c r="J76" s="1658">
        <f t="shared" si="12"/>
        <v>0</v>
      </c>
      <c r="K76" s="221"/>
      <c r="L76" s="3767"/>
      <c r="M76" s="3770"/>
    </row>
    <row r="77" spans="1:13">
      <c r="C77" s="1628" t="s">
        <v>881</v>
      </c>
      <c r="D77" s="1637">
        <f>'CALCULS Eaux pluviales'!E54</f>
        <v>0</v>
      </c>
      <c r="E77" s="1618">
        <f>'CALCULS Eaux pluviales'!F54</f>
        <v>0</v>
      </c>
      <c r="F77" s="1618">
        <f>'CALCULS Eaux pluviales'!G54</f>
        <v>0</v>
      </c>
      <c r="G77" s="1618">
        <f>'CALCULS Eaux pluviales'!H54</f>
        <v>0</v>
      </c>
      <c r="H77" s="1618">
        <f>'CALCULS Eaux pluviales'!I54</f>
        <v>0</v>
      </c>
      <c r="I77" s="1629">
        <f>'CALCULS Eaux pluviales'!J54</f>
        <v>0</v>
      </c>
      <c r="J77" s="1659">
        <f>SUM(D77:I77)</f>
        <v>0</v>
      </c>
      <c r="K77" s="1444"/>
      <c r="L77" s="3767"/>
      <c r="M77" s="3770"/>
    </row>
    <row r="78" spans="1:13">
      <c r="C78" s="1625"/>
      <c r="D78" s="1638">
        <f>'CALCULS Eaux pluviales'!E22</f>
        <v>0</v>
      </c>
      <c r="E78" s="221"/>
      <c r="F78" s="221"/>
      <c r="G78" s="221"/>
      <c r="H78" s="221"/>
      <c r="I78" s="1640"/>
      <c r="J78" s="1643"/>
      <c r="K78" s="221"/>
      <c r="L78" s="3767"/>
      <c r="M78" s="3770"/>
    </row>
    <row r="79" spans="1:13">
      <c r="C79" s="1626" t="s">
        <v>873</v>
      </c>
      <c r="D79" s="1636">
        <f>$D$78*D77</f>
        <v>0</v>
      </c>
      <c r="E79" s="1620">
        <f t="shared" ref="E79:J79" si="13">$D$78*E77</f>
        <v>0</v>
      </c>
      <c r="F79" s="1620">
        <f t="shared" si="13"/>
        <v>0</v>
      </c>
      <c r="G79" s="1620">
        <f t="shared" si="13"/>
        <v>0</v>
      </c>
      <c r="H79" s="1620">
        <f t="shared" si="13"/>
        <v>0</v>
      </c>
      <c r="I79" s="1627">
        <f t="shared" si="13"/>
        <v>0</v>
      </c>
      <c r="J79" s="1658">
        <f t="shared" si="13"/>
        <v>0</v>
      </c>
      <c r="K79" s="221"/>
      <c r="L79" s="3768"/>
      <c r="M79" s="3770"/>
    </row>
    <row r="80" spans="1:13">
      <c r="C80" s="1628" t="s">
        <v>882</v>
      </c>
      <c r="D80" s="1637">
        <f>'CALCULS Eaux pluviales'!E55</f>
        <v>0</v>
      </c>
      <c r="E80" s="1618">
        <f>'CALCULS Eaux pluviales'!F55</f>
        <v>0</v>
      </c>
      <c r="F80" s="1618">
        <f>'CALCULS Eaux pluviales'!G55</f>
        <v>0</v>
      </c>
      <c r="G80" s="1618">
        <f>'CALCULS Eaux pluviales'!H55</f>
        <v>0</v>
      </c>
      <c r="H80" s="1618">
        <f>'CALCULS Eaux pluviales'!I55</f>
        <v>0</v>
      </c>
      <c r="I80" s="1629">
        <f>'CALCULS Eaux pluviales'!J55</f>
        <v>0</v>
      </c>
      <c r="J80" s="1657">
        <f>SUM(D80:I80)</f>
        <v>0</v>
      </c>
      <c r="K80" s="1444"/>
      <c r="L80" s="3766">
        <f>'CALCULS Eaux pluviales'!M55</f>
        <v>0</v>
      </c>
      <c r="M80" s="3770"/>
    </row>
    <row r="81" spans="1:14">
      <c r="C81" s="1625"/>
      <c r="D81" s="1639">
        <f>'CALCULS Eaux pluviales'!E24</f>
        <v>0</v>
      </c>
      <c r="E81" s="221"/>
      <c r="F81" s="221"/>
      <c r="G81" s="221"/>
      <c r="H81" s="221"/>
      <c r="I81" s="1640"/>
      <c r="J81" s="1643"/>
      <c r="K81" s="221"/>
      <c r="L81" s="3767"/>
      <c r="M81" s="3770"/>
    </row>
    <row r="82" spans="1:14">
      <c r="C82" s="1626" t="s">
        <v>873</v>
      </c>
      <c r="D82" s="1636">
        <f>$D$81*D80</f>
        <v>0</v>
      </c>
      <c r="E82" s="1620">
        <f t="shared" ref="E82:J82" si="14">$D$81*E80</f>
        <v>0</v>
      </c>
      <c r="F82" s="1620">
        <f t="shared" si="14"/>
        <v>0</v>
      </c>
      <c r="G82" s="1620">
        <f t="shared" si="14"/>
        <v>0</v>
      </c>
      <c r="H82" s="1620">
        <f t="shared" si="14"/>
        <v>0</v>
      </c>
      <c r="I82" s="1627">
        <f t="shared" si="14"/>
        <v>0</v>
      </c>
      <c r="J82" s="1658">
        <f t="shared" si="14"/>
        <v>0</v>
      </c>
      <c r="K82" s="221"/>
      <c r="L82" s="3767"/>
      <c r="M82" s="3770"/>
    </row>
    <row r="83" spans="1:14">
      <c r="C83" s="1628" t="s">
        <v>883</v>
      </c>
      <c r="D83" s="1637">
        <f>'CALCULS Eaux pluviales'!E56</f>
        <v>0</v>
      </c>
      <c r="E83" s="1618">
        <f>'CALCULS Eaux pluviales'!F56</f>
        <v>0</v>
      </c>
      <c r="F83" s="1618">
        <f>'CALCULS Eaux pluviales'!G56</f>
        <v>0</v>
      </c>
      <c r="G83" s="1618">
        <f>'CALCULS Eaux pluviales'!H56</f>
        <v>0</v>
      </c>
      <c r="H83" s="1618">
        <f>'CALCULS Eaux pluviales'!I56</f>
        <v>0</v>
      </c>
      <c r="I83" s="1629">
        <f>'CALCULS Eaux pluviales'!J56</f>
        <v>0</v>
      </c>
      <c r="J83" s="1659">
        <f>SUM(D83:I83)</f>
        <v>0</v>
      </c>
      <c r="K83" s="1444"/>
      <c r="L83" s="3767"/>
      <c r="M83" s="3770"/>
    </row>
    <row r="84" spans="1:14">
      <c r="C84" s="1625"/>
      <c r="D84" s="1639">
        <f>'CALCULS Eaux pluviales'!E25</f>
        <v>0</v>
      </c>
      <c r="E84" s="221"/>
      <c r="F84" s="221"/>
      <c r="G84" s="221"/>
      <c r="H84" s="221"/>
      <c r="I84" s="1640"/>
      <c r="J84" s="977"/>
      <c r="K84" s="221"/>
      <c r="L84" s="3767"/>
      <c r="M84" s="3770"/>
    </row>
    <row r="85" spans="1:14">
      <c r="C85" s="1626" t="s">
        <v>873</v>
      </c>
      <c r="D85" s="1636">
        <f>$D$84*D83</f>
        <v>0</v>
      </c>
      <c r="E85" s="1620">
        <f t="shared" ref="E85:J85" si="15">$D$84*E83</f>
        <v>0</v>
      </c>
      <c r="F85" s="1620">
        <f t="shared" si="15"/>
        <v>0</v>
      </c>
      <c r="G85" s="1620">
        <f t="shared" si="15"/>
        <v>0</v>
      </c>
      <c r="H85" s="1620">
        <f t="shared" si="15"/>
        <v>0</v>
      </c>
      <c r="I85" s="1627">
        <f t="shared" si="15"/>
        <v>0</v>
      </c>
      <c r="J85" s="1658">
        <f t="shared" si="15"/>
        <v>0</v>
      </c>
      <c r="K85" s="221"/>
      <c r="L85" s="3768"/>
      <c r="M85" s="3771"/>
    </row>
    <row r="86" spans="1:14">
      <c r="C86" s="1654" t="s">
        <v>884</v>
      </c>
      <c r="D86" s="1638">
        <f>D76+D82</f>
        <v>0</v>
      </c>
      <c r="E86" s="1619">
        <f t="shared" ref="E86:J86" si="16">E76+E82</f>
        <v>0</v>
      </c>
      <c r="F86" s="1619">
        <f t="shared" si="16"/>
        <v>0</v>
      </c>
      <c r="G86" s="1619">
        <f t="shared" si="16"/>
        <v>0</v>
      </c>
      <c r="H86" s="1619">
        <f t="shared" si="16"/>
        <v>0</v>
      </c>
      <c r="I86" s="1630">
        <f t="shared" si="16"/>
        <v>0</v>
      </c>
      <c r="J86" s="1647">
        <f t="shared" si="16"/>
        <v>0</v>
      </c>
      <c r="K86" s="221"/>
    </row>
    <row r="87" spans="1:14">
      <c r="C87" s="1631" t="s">
        <v>885</v>
      </c>
      <c r="D87" s="1638">
        <f>D79+D85</f>
        <v>0</v>
      </c>
      <c r="E87" s="1619">
        <f t="shared" ref="E87:J87" si="17">E79+E85</f>
        <v>0</v>
      </c>
      <c r="F87" s="1619">
        <f t="shared" si="17"/>
        <v>0</v>
      </c>
      <c r="G87" s="1619">
        <f t="shared" si="17"/>
        <v>0</v>
      </c>
      <c r="H87" s="1619">
        <f t="shared" si="17"/>
        <v>0</v>
      </c>
      <c r="I87" s="1630">
        <f t="shared" si="17"/>
        <v>0</v>
      </c>
      <c r="J87" s="1648">
        <f t="shared" si="17"/>
        <v>0</v>
      </c>
      <c r="K87" s="221"/>
    </row>
    <row r="88" spans="1:14" ht="20.25" customHeight="1">
      <c r="C88" s="1661"/>
      <c r="D88" s="1662"/>
      <c r="E88" s="1662"/>
      <c r="F88" s="1662"/>
      <c r="G88" s="1662"/>
      <c r="H88" s="1662"/>
      <c r="I88" s="1663"/>
      <c r="J88" s="1649">
        <f>J86+J87</f>
        <v>0</v>
      </c>
      <c r="K88" s="1650">
        <f>D75+D78+D81+D84</f>
        <v>0</v>
      </c>
      <c r="L88" s="1445" t="s">
        <v>879</v>
      </c>
    </row>
    <row r="89" spans="1:14" s="6" customFormat="1" ht="40.5" customHeight="1">
      <c r="A89" s="409"/>
      <c r="B89" s="222"/>
      <c r="D89" s="1615"/>
      <c r="E89" s="1615"/>
      <c r="F89" s="1615"/>
      <c r="G89" s="1615"/>
      <c r="H89" s="1615"/>
      <c r="I89" s="1615"/>
      <c r="J89" s="1615"/>
      <c r="K89" s="1616"/>
    </row>
    <row r="90" spans="1:14" s="6" customFormat="1" ht="40.5" customHeight="1">
      <c r="A90" s="409"/>
      <c r="B90" s="222"/>
      <c r="C90" s="1617" t="s">
        <v>886</v>
      </c>
      <c r="D90" s="1615"/>
      <c r="E90" s="1615"/>
      <c r="F90" s="1615"/>
      <c r="G90" s="1615"/>
      <c r="H90" s="1615"/>
      <c r="I90" s="1615"/>
      <c r="J90" s="1615"/>
      <c r="K90" s="1616"/>
    </row>
    <row r="91" spans="1:14" ht="10.5" customHeight="1">
      <c r="B91" s="223"/>
      <c r="D91" s="7"/>
      <c r="E91" s="7"/>
      <c r="F91" s="7"/>
      <c r="G91" s="7"/>
      <c r="H91" s="7"/>
      <c r="I91" s="7"/>
      <c r="J91" s="7"/>
    </row>
    <row r="92" spans="1:14" ht="24">
      <c r="B92" s="223"/>
      <c r="D92" s="221" t="s">
        <v>61</v>
      </c>
      <c r="E92" s="221" t="s">
        <v>62</v>
      </c>
      <c r="F92" s="221" t="s">
        <v>63</v>
      </c>
      <c r="G92" s="221" t="s">
        <v>64</v>
      </c>
      <c r="H92" s="221" t="s">
        <v>65</v>
      </c>
      <c r="I92" s="1660" t="s">
        <v>66</v>
      </c>
      <c r="M92" s="1664" t="s">
        <v>887</v>
      </c>
      <c r="N92" s="1665"/>
    </row>
    <row r="93" spans="1:14" ht="21">
      <c r="B93" s="223"/>
      <c r="M93" s="2286">
        <f>IF(E30=2,(ROUNDDOWN(AVERAGE(M38,M56,M74),0)),(ROUNDDOWN(AVERAGE(M38,M56),0)))</f>
        <v>0</v>
      </c>
      <c r="N93" s="1666"/>
    </row>
    <row r="94" spans="1:14" ht="21">
      <c r="B94" s="223"/>
      <c r="C94" t="s">
        <v>888</v>
      </c>
      <c r="D94" s="7">
        <f t="shared" ref="D94:I94" si="18">IF($J$50=0,0,D50/$J$50)</f>
        <v>0</v>
      </c>
      <c r="E94" s="7">
        <f t="shared" si="18"/>
        <v>0</v>
      </c>
      <c r="F94" s="7">
        <f t="shared" si="18"/>
        <v>0</v>
      </c>
      <c r="G94" s="7">
        <f t="shared" si="18"/>
        <v>0</v>
      </c>
      <c r="H94" s="7">
        <f t="shared" si="18"/>
        <v>0</v>
      </c>
      <c r="I94" s="7">
        <f t="shared" si="18"/>
        <v>0</v>
      </c>
      <c r="J94" s="7">
        <f>SUM(D94:I94)</f>
        <v>0</v>
      </c>
      <c r="M94" s="2070"/>
      <c r="N94" s="1"/>
    </row>
    <row r="95" spans="1:14" ht="21">
      <c r="B95" s="223"/>
      <c r="C95" t="s">
        <v>889</v>
      </c>
      <c r="D95" s="7">
        <f t="shared" ref="D95:I95" si="19">IF($J$51=0,0,D51/$J$51)</f>
        <v>0</v>
      </c>
      <c r="E95" s="7">
        <f t="shared" si="19"/>
        <v>0</v>
      </c>
      <c r="F95" s="7">
        <f t="shared" si="19"/>
        <v>0</v>
      </c>
      <c r="G95" s="7">
        <f t="shared" si="19"/>
        <v>0</v>
      </c>
      <c r="H95" s="7">
        <f t="shared" si="19"/>
        <v>0</v>
      </c>
      <c r="I95" s="7">
        <f t="shared" si="19"/>
        <v>0</v>
      </c>
      <c r="J95" s="7">
        <f t="shared" ref="J95:J101" si="20">SUM(D95:I95)</f>
        <v>0</v>
      </c>
      <c r="M95" s="2060" t="s">
        <v>868</v>
      </c>
    </row>
    <row r="96" spans="1:14" ht="21">
      <c r="B96" s="223"/>
      <c r="D96" s="7"/>
      <c r="E96" s="7"/>
      <c r="F96" s="7"/>
      <c r="G96" s="7"/>
      <c r="H96" s="7"/>
      <c r="I96" s="7"/>
      <c r="J96" s="7"/>
      <c r="M96" s="2061" t="s">
        <v>869</v>
      </c>
    </row>
    <row r="97" spans="2:10" ht="21">
      <c r="B97" s="223"/>
      <c r="C97" t="s">
        <v>890</v>
      </c>
      <c r="D97" s="7">
        <f t="shared" ref="D97:I97" si="21">IF($J$68=0,0,D68/$J$68)</f>
        <v>0</v>
      </c>
      <c r="E97" s="7">
        <f t="shared" si="21"/>
        <v>0</v>
      </c>
      <c r="F97" s="7">
        <f t="shared" si="21"/>
        <v>0</v>
      </c>
      <c r="G97" s="7">
        <f t="shared" si="21"/>
        <v>0</v>
      </c>
      <c r="H97" s="7">
        <f t="shared" si="21"/>
        <v>0</v>
      </c>
      <c r="I97" s="7">
        <f t="shared" si="21"/>
        <v>0</v>
      </c>
      <c r="J97" s="7">
        <f t="shared" si="20"/>
        <v>0</v>
      </c>
    </row>
    <row r="98" spans="2:10" ht="21">
      <c r="B98" s="223"/>
      <c r="C98" t="s">
        <v>891</v>
      </c>
      <c r="D98" s="7">
        <f t="shared" ref="D98:I98" si="22">IF($J$69=0,0,D69/$J$69)</f>
        <v>0</v>
      </c>
      <c r="E98" s="7">
        <f t="shared" si="22"/>
        <v>0</v>
      </c>
      <c r="F98" s="7">
        <f t="shared" si="22"/>
        <v>0</v>
      </c>
      <c r="G98" s="7">
        <f t="shared" si="22"/>
        <v>0</v>
      </c>
      <c r="H98" s="7">
        <f t="shared" si="22"/>
        <v>0</v>
      </c>
      <c r="I98" s="7">
        <f t="shared" si="22"/>
        <v>0</v>
      </c>
      <c r="J98" s="7">
        <f t="shared" si="20"/>
        <v>0</v>
      </c>
    </row>
    <row r="99" spans="2:10" ht="21">
      <c r="B99" s="223"/>
      <c r="D99" s="7"/>
      <c r="E99" s="7"/>
      <c r="F99" s="7"/>
      <c r="G99" s="7"/>
      <c r="H99" s="7"/>
      <c r="I99" s="7"/>
      <c r="J99" s="7"/>
    </row>
    <row r="100" spans="2:10" ht="21">
      <c r="B100" s="223"/>
      <c r="C100" t="s">
        <v>892</v>
      </c>
      <c r="D100" s="7">
        <f t="shared" ref="D100:I100" si="23">IF($J$86=0,0,D86/$J$86)</f>
        <v>0</v>
      </c>
      <c r="E100" s="7">
        <f t="shared" si="23"/>
        <v>0</v>
      </c>
      <c r="F100" s="7">
        <f t="shared" si="23"/>
        <v>0</v>
      </c>
      <c r="G100" s="7">
        <f t="shared" si="23"/>
        <v>0</v>
      </c>
      <c r="H100" s="7">
        <f t="shared" si="23"/>
        <v>0</v>
      </c>
      <c r="I100" s="7">
        <f t="shared" si="23"/>
        <v>0</v>
      </c>
      <c r="J100" s="7">
        <f t="shared" si="20"/>
        <v>0</v>
      </c>
    </row>
    <row r="101" spans="2:10" ht="21">
      <c r="B101" s="223"/>
      <c r="C101" t="s">
        <v>893</v>
      </c>
      <c r="D101" s="7">
        <f t="shared" ref="D101:I101" si="24">IF($J$87=0,0,D87/$J$87)</f>
        <v>0</v>
      </c>
      <c r="E101" s="7">
        <f t="shared" si="24"/>
        <v>0</v>
      </c>
      <c r="F101" s="7">
        <f t="shared" si="24"/>
        <v>0</v>
      </c>
      <c r="G101" s="7">
        <f t="shared" si="24"/>
        <v>0</v>
      </c>
      <c r="H101" s="7">
        <f t="shared" si="24"/>
        <v>0</v>
      </c>
      <c r="I101" s="7">
        <f t="shared" si="24"/>
        <v>0</v>
      </c>
      <c r="J101" s="7">
        <f t="shared" si="20"/>
        <v>0</v>
      </c>
    </row>
    <row r="102" spans="2:10" ht="21">
      <c r="B102" s="223"/>
      <c r="D102" s="7"/>
      <c r="E102" s="7"/>
      <c r="F102" s="7"/>
      <c r="G102" s="7"/>
      <c r="H102" s="7"/>
      <c r="I102" s="7"/>
      <c r="J102" s="7"/>
    </row>
    <row r="103" spans="2:10" ht="10.5" customHeight="1">
      <c r="B103" s="223"/>
      <c r="D103" s="7"/>
      <c r="E103" s="7"/>
      <c r="F103" s="7"/>
      <c r="G103" s="7"/>
      <c r="H103" s="7"/>
      <c r="I103" s="7"/>
      <c r="J103" s="7"/>
    </row>
    <row r="104" spans="2:10" ht="21">
      <c r="B104" s="223"/>
      <c r="C104" s="1443" t="s">
        <v>894</v>
      </c>
      <c r="D104" s="7"/>
      <c r="E104" s="7"/>
      <c r="F104" s="7"/>
      <c r="G104" s="7"/>
      <c r="H104" s="7"/>
      <c r="I104" s="7"/>
      <c r="J104" s="7"/>
    </row>
    <row r="105" spans="2:10" ht="24">
      <c r="B105" s="223"/>
      <c r="D105" s="1660" t="str">
        <f>I92</f>
        <v>Inconnu</v>
      </c>
      <c r="E105" s="221" t="str">
        <f>H92</f>
        <v>Très mauvais 
(E)</v>
      </c>
      <c r="F105" s="221" t="str">
        <f>G92</f>
        <v>Mauvais 
(D)</v>
      </c>
      <c r="G105" s="221" t="str">
        <f>F92</f>
        <v>Satisfaisant 
(C)</v>
      </c>
      <c r="H105" s="221" t="str">
        <f>E92</f>
        <v>Bon 
(B)</v>
      </c>
      <c r="I105" s="221" t="str">
        <f>D92</f>
        <v>Très bon 
(A)</v>
      </c>
      <c r="J105" s="7"/>
    </row>
    <row r="106" spans="2:10" ht="21">
      <c r="B106" s="223"/>
      <c r="C106" t="s">
        <v>888</v>
      </c>
      <c r="D106" s="7" t="str">
        <f>IF(I94=0,"",I94)</f>
        <v/>
      </c>
      <c r="E106" s="7" t="str">
        <f>IF(H94=0,"",H94)</f>
        <v/>
      </c>
      <c r="F106" s="7" t="str">
        <f>IF(G94=0,"",G94)</f>
        <v/>
      </c>
      <c r="G106" s="7" t="str">
        <f>IF(F94=0,"",F94)</f>
        <v/>
      </c>
      <c r="H106" s="7" t="str">
        <f>IF(E94=0,"",E94)</f>
        <v/>
      </c>
      <c r="I106" s="7" t="str">
        <f>IF(D94=0,"",D94)</f>
        <v/>
      </c>
      <c r="J106" s="7">
        <f>SUM(D106:I106)</f>
        <v>0</v>
      </c>
    </row>
    <row r="107" spans="2:10" ht="21">
      <c r="B107" s="223"/>
      <c r="C107" t="s">
        <v>889</v>
      </c>
      <c r="D107" s="7" t="str">
        <f t="shared" ref="D107:D113" si="25">IF(I95=0,"",I95)</f>
        <v/>
      </c>
      <c r="E107" s="7" t="str">
        <f t="shared" ref="E107:E113" si="26">IF(H95=0,"",H95)</f>
        <v/>
      </c>
      <c r="F107" s="7" t="str">
        <f t="shared" ref="F107:F113" si="27">IF(G95=0,"",G95)</f>
        <v/>
      </c>
      <c r="G107" s="7" t="str">
        <f t="shared" ref="G107:G113" si="28">IF(F95=0,"",F95)</f>
        <v/>
      </c>
      <c r="H107" s="7" t="str">
        <f t="shared" ref="H107:H113" si="29">IF(E95=0,"",E95)</f>
        <v/>
      </c>
      <c r="I107" s="7" t="str">
        <f t="shared" ref="I107:I113" si="30">IF(D95=0,"",D95)</f>
        <v/>
      </c>
      <c r="J107" s="7">
        <f t="shared" ref="J107:J113" si="31">SUM(D107:I107)</f>
        <v>0</v>
      </c>
    </row>
    <row r="108" spans="2:10" ht="21">
      <c r="B108" s="223"/>
      <c r="D108" s="7" t="str">
        <f t="shared" si="25"/>
        <v/>
      </c>
      <c r="E108" s="7" t="str">
        <f t="shared" si="26"/>
        <v/>
      </c>
      <c r="F108" s="7" t="str">
        <f t="shared" si="27"/>
        <v/>
      </c>
      <c r="G108" s="7" t="str">
        <f t="shared" si="28"/>
        <v/>
      </c>
      <c r="H108" s="7" t="str">
        <f t="shared" si="29"/>
        <v/>
      </c>
      <c r="I108" s="7" t="str">
        <f t="shared" si="30"/>
        <v/>
      </c>
      <c r="J108" s="7"/>
    </row>
    <row r="109" spans="2:10" ht="21">
      <c r="B109" s="223"/>
      <c r="C109" t="s">
        <v>890</v>
      </c>
      <c r="D109" s="7" t="str">
        <f t="shared" si="25"/>
        <v/>
      </c>
      <c r="E109" s="7" t="str">
        <f t="shared" si="26"/>
        <v/>
      </c>
      <c r="F109" s="7" t="str">
        <f t="shared" si="27"/>
        <v/>
      </c>
      <c r="G109" s="7" t="str">
        <f t="shared" si="28"/>
        <v/>
      </c>
      <c r="H109" s="7" t="str">
        <f t="shared" si="29"/>
        <v/>
      </c>
      <c r="I109" s="7" t="str">
        <f t="shared" si="30"/>
        <v/>
      </c>
      <c r="J109" s="7">
        <f t="shared" si="31"/>
        <v>0</v>
      </c>
    </row>
    <row r="110" spans="2:10" ht="21">
      <c r="B110" s="223"/>
      <c r="C110" t="s">
        <v>891</v>
      </c>
      <c r="D110" s="7" t="str">
        <f t="shared" si="25"/>
        <v/>
      </c>
      <c r="E110" s="7" t="str">
        <f t="shared" si="26"/>
        <v/>
      </c>
      <c r="F110" s="7" t="str">
        <f t="shared" si="27"/>
        <v/>
      </c>
      <c r="G110" s="7" t="str">
        <f t="shared" si="28"/>
        <v/>
      </c>
      <c r="H110" s="7" t="str">
        <f t="shared" si="29"/>
        <v/>
      </c>
      <c r="I110" s="7" t="str">
        <f t="shared" si="30"/>
        <v/>
      </c>
      <c r="J110" s="7">
        <f t="shared" si="31"/>
        <v>0</v>
      </c>
    </row>
    <row r="111" spans="2:10" ht="21">
      <c r="B111" s="223"/>
      <c r="D111" s="7" t="str">
        <f t="shared" si="25"/>
        <v/>
      </c>
      <c r="E111" s="7" t="str">
        <f t="shared" si="26"/>
        <v/>
      </c>
      <c r="F111" s="7" t="str">
        <f t="shared" si="27"/>
        <v/>
      </c>
      <c r="G111" s="7" t="str">
        <f t="shared" si="28"/>
        <v/>
      </c>
      <c r="H111" s="7" t="str">
        <f t="shared" si="29"/>
        <v/>
      </c>
      <c r="I111" s="7" t="str">
        <f t="shared" si="30"/>
        <v/>
      </c>
      <c r="J111" s="7"/>
    </row>
    <row r="112" spans="2:10" ht="21">
      <c r="B112" s="223"/>
      <c r="C112" t="s">
        <v>892</v>
      </c>
      <c r="D112" s="7" t="str">
        <f t="shared" si="25"/>
        <v/>
      </c>
      <c r="E112" s="7" t="str">
        <f t="shared" si="26"/>
        <v/>
      </c>
      <c r="F112" s="7" t="str">
        <f t="shared" si="27"/>
        <v/>
      </c>
      <c r="G112" s="7" t="str">
        <f t="shared" si="28"/>
        <v/>
      </c>
      <c r="H112" s="7" t="str">
        <f t="shared" si="29"/>
        <v/>
      </c>
      <c r="I112" s="7" t="str">
        <f t="shared" si="30"/>
        <v/>
      </c>
      <c r="J112" s="7">
        <f t="shared" si="31"/>
        <v>0</v>
      </c>
    </row>
    <row r="113" spans="2:16" ht="21">
      <c r="B113" s="223"/>
      <c r="C113" t="s">
        <v>893</v>
      </c>
      <c r="D113" s="7" t="str">
        <f t="shared" si="25"/>
        <v/>
      </c>
      <c r="E113" s="7" t="str">
        <f t="shared" si="26"/>
        <v/>
      </c>
      <c r="F113" s="7" t="str">
        <f t="shared" si="27"/>
        <v/>
      </c>
      <c r="G113" s="7" t="str">
        <f t="shared" si="28"/>
        <v/>
      </c>
      <c r="H113" s="7" t="str">
        <f t="shared" si="29"/>
        <v/>
      </c>
      <c r="I113" s="7" t="str">
        <f t="shared" si="30"/>
        <v/>
      </c>
      <c r="J113" s="7">
        <f t="shared" si="31"/>
        <v>0</v>
      </c>
    </row>
    <row r="114" spans="2:16" ht="21">
      <c r="B114" s="223"/>
    </row>
    <row r="116" spans="2:16" ht="26.25" customHeight="1">
      <c r="B116" s="1581" t="s">
        <v>895</v>
      </c>
      <c r="C116" s="837"/>
      <c r="D116" s="837"/>
      <c r="E116" s="837"/>
      <c r="F116" s="837"/>
      <c r="G116" s="837"/>
      <c r="H116" s="837"/>
      <c r="I116" s="837"/>
      <c r="J116" s="837"/>
      <c r="K116" s="837"/>
      <c r="L116" s="837"/>
      <c r="M116" s="837"/>
      <c r="N116" s="837"/>
      <c r="O116" s="837"/>
      <c r="P116" s="837"/>
    </row>
    <row r="117" spans="2:16" ht="21">
      <c r="B117" s="223"/>
    </row>
    <row r="118" spans="2:16" ht="22.5" customHeight="1">
      <c r="C118" s="224" t="s">
        <v>896</v>
      </c>
    </row>
    <row r="119" spans="2:16" ht="13.5" customHeight="1">
      <c r="C119" s="224"/>
    </row>
    <row r="120" spans="2:16" ht="30.75" customHeight="1">
      <c r="B120" s="224"/>
      <c r="C120" s="1614" t="s">
        <v>864</v>
      </c>
    </row>
    <row r="121" spans="2:16" ht="19.5" customHeight="1">
      <c r="B121" s="6"/>
      <c r="C121" s="1081"/>
      <c r="D121" s="1081">
        <f>'CALCULS Eau potable'!E137</f>
        <v>0</v>
      </c>
      <c r="E121" s="1081">
        <f>D121+1</f>
        <v>1</v>
      </c>
      <c r="F121" s="1081">
        <f t="shared" ref="F121:M121" si="32">E121+1</f>
        <v>2</v>
      </c>
      <c r="G121" s="1081">
        <f t="shared" si="32"/>
        <v>3</v>
      </c>
      <c r="H121" s="1081">
        <f t="shared" si="32"/>
        <v>4</v>
      </c>
      <c r="I121" s="1081">
        <f t="shared" si="32"/>
        <v>5</v>
      </c>
      <c r="J121" s="1081">
        <f t="shared" si="32"/>
        <v>6</v>
      </c>
      <c r="K121" s="1081">
        <f t="shared" si="32"/>
        <v>7</v>
      </c>
      <c r="L121" s="1081">
        <f t="shared" si="32"/>
        <v>8</v>
      </c>
      <c r="M121" s="1081">
        <f t="shared" si="32"/>
        <v>9</v>
      </c>
      <c r="N121" s="1081" t="s">
        <v>442</v>
      </c>
    </row>
    <row r="122" spans="2:16">
      <c r="C122" s="2" t="s">
        <v>897</v>
      </c>
      <c r="D122" s="225">
        <f>'CALCULS Eau potable'!E138</f>
        <v>0</v>
      </c>
      <c r="E122" s="225">
        <f>'CALCULS Eau potable'!F138</f>
        <v>0</v>
      </c>
      <c r="F122" s="225">
        <f>'CALCULS Eau potable'!G138</f>
        <v>0</v>
      </c>
      <c r="G122" s="225">
        <f>'CALCULS Eau potable'!H138</f>
        <v>0</v>
      </c>
      <c r="H122" s="225">
        <f>'CALCULS Eau potable'!I138</f>
        <v>0</v>
      </c>
      <c r="I122" s="225">
        <f>'CALCULS Eau potable'!J138</f>
        <v>0</v>
      </c>
      <c r="J122" s="225">
        <f>'CALCULS Eau potable'!K138</f>
        <v>0</v>
      </c>
      <c r="K122" s="225">
        <f>'CALCULS Eau potable'!L138</f>
        <v>0</v>
      </c>
      <c r="L122" s="225">
        <f>'CALCULS Eau potable'!M138</f>
        <v>0</v>
      </c>
      <c r="M122" s="225">
        <f>'CALCULS Eau potable'!N138</f>
        <v>0</v>
      </c>
      <c r="N122" s="225">
        <f>'CALCULS Eau potable'!O138</f>
        <v>0</v>
      </c>
    </row>
    <row r="123" spans="2:16">
      <c r="C123" s="370" t="s">
        <v>477</v>
      </c>
      <c r="D123" s="225">
        <f>'CALCULS Eau potable'!F176+'CALCULS Eau potable'!F177</f>
        <v>0</v>
      </c>
      <c r="E123" s="225">
        <f>D123</f>
        <v>0</v>
      </c>
      <c r="F123" s="225">
        <f t="shared" ref="F123:M124" si="33">E123</f>
        <v>0</v>
      </c>
      <c r="G123" s="225">
        <f t="shared" si="33"/>
        <v>0</v>
      </c>
      <c r="H123" s="225">
        <f t="shared" si="33"/>
        <v>0</v>
      </c>
      <c r="I123" s="225">
        <f t="shared" si="33"/>
        <v>0</v>
      </c>
      <c r="J123" s="225">
        <f t="shared" si="33"/>
        <v>0</v>
      </c>
      <c r="K123" s="225">
        <f t="shared" si="33"/>
        <v>0</v>
      </c>
      <c r="L123" s="225">
        <f t="shared" si="33"/>
        <v>0</v>
      </c>
      <c r="M123" s="225">
        <f t="shared" si="33"/>
        <v>0</v>
      </c>
      <c r="N123" s="225">
        <f>SUM(D123:M123)</f>
        <v>0</v>
      </c>
    </row>
    <row r="124" spans="2:16">
      <c r="C124" s="370" t="s">
        <v>898</v>
      </c>
      <c r="D124" s="225">
        <f>'CALCULS Eau potable'!F178</f>
        <v>0</v>
      </c>
      <c r="E124" s="225">
        <f>D124</f>
        <v>0</v>
      </c>
      <c r="F124" s="225">
        <f t="shared" si="33"/>
        <v>0</v>
      </c>
      <c r="G124" s="225">
        <f t="shared" si="33"/>
        <v>0</v>
      </c>
      <c r="H124" s="225">
        <f t="shared" si="33"/>
        <v>0</v>
      </c>
      <c r="I124" s="225">
        <f t="shared" si="33"/>
        <v>0</v>
      </c>
      <c r="J124" s="225">
        <f t="shared" si="33"/>
        <v>0</v>
      </c>
      <c r="K124" s="225">
        <f t="shared" si="33"/>
        <v>0</v>
      </c>
      <c r="L124" s="225">
        <f t="shared" si="33"/>
        <v>0</v>
      </c>
      <c r="M124" s="225">
        <f t="shared" si="33"/>
        <v>0</v>
      </c>
      <c r="N124" s="225">
        <f>SUM(D124:M124)</f>
        <v>0</v>
      </c>
    </row>
    <row r="125" spans="2:16">
      <c r="C125" s="370" t="s">
        <v>657</v>
      </c>
      <c r="D125" s="225">
        <f>'CALCULS Eau potable'!F179+'CALCULS Eau potable'!F180</f>
        <v>0</v>
      </c>
      <c r="E125" s="225">
        <f>D125</f>
        <v>0</v>
      </c>
      <c r="F125" s="225">
        <f t="shared" ref="F125:M125" si="34">E125</f>
        <v>0</v>
      </c>
      <c r="G125" s="225">
        <f t="shared" si="34"/>
        <v>0</v>
      </c>
      <c r="H125" s="225">
        <f t="shared" si="34"/>
        <v>0</v>
      </c>
      <c r="I125" s="225">
        <f t="shared" si="34"/>
        <v>0</v>
      </c>
      <c r="J125" s="225">
        <f t="shared" si="34"/>
        <v>0</v>
      </c>
      <c r="K125" s="225">
        <f t="shared" si="34"/>
        <v>0</v>
      </c>
      <c r="L125" s="225">
        <f t="shared" si="34"/>
        <v>0</v>
      </c>
      <c r="M125" s="225">
        <f t="shared" si="34"/>
        <v>0</v>
      </c>
      <c r="N125" s="225">
        <f>SUM(D125:M125)</f>
        <v>0</v>
      </c>
    </row>
    <row r="126" spans="2:16">
      <c r="C126" s="1078" t="s">
        <v>101</v>
      </c>
      <c r="D126" s="1079">
        <f>'CALCULS Eau potable'!E139</f>
        <v>0</v>
      </c>
      <c r="E126" s="1079">
        <f>'CALCULS Eau potable'!F139</f>
        <v>0</v>
      </c>
      <c r="F126" s="1079">
        <f>'CALCULS Eau potable'!G139</f>
        <v>0</v>
      </c>
      <c r="G126" s="1079">
        <f>'CALCULS Eau potable'!H139</f>
        <v>0</v>
      </c>
      <c r="H126" s="1079">
        <f>'CALCULS Eau potable'!I139</f>
        <v>0</v>
      </c>
      <c r="I126" s="1079">
        <f>'CALCULS Eau potable'!J139</f>
        <v>0</v>
      </c>
      <c r="J126" s="1079">
        <f>'CALCULS Eau potable'!K139</f>
        <v>0</v>
      </c>
      <c r="K126" s="1079">
        <f>'CALCULS Eau potable'!L139</f>
        <v>0</v>
      </c>
      <c r="L126" s="1079">
        <f>'CALCULS Eau potable'!M139</f>
        <v>0</v>
      </c>
      <c r="M126" s="1079">
        <f>'CALCULS Eau potable'!N139</f>
        <v>0</v>
      </c>
      <c r="N126" s="1079">
        <f>'CALCULS Eau potable'!O139</f>
        <v>0</v>
      </c>
    </row>
    <row r="127" spans="2:16">
      <c r="C127" s="2" t="s">
        <v>102</v>
      </c>
      <c r="D127" s="225">
        <f>'CALCULS Eau potable'!E140</f>
        <v>0</v>
      </c>
      <c r="E127" s="225">
        <f>'CALCULS Eau potable'!F140</f>
        <v>0</v>
      </c>
      <c r="F127" s="225">
        <f>'CALCULS Eau potable'!G140</f>
        <v>0</v>
      </c>
      <c r="G127" s="225">
        <f>'CALCULS Eau potable'!H140</f>
        <v>0</v>
      </c>
      <c r="H127" s="225">
        <f>'CALCULS Eau potable'!I140</f>
        <v>0</v>
      </c>
      <c r="I127" s="225">
        <f>'CALCULS Eau potable'!J140</f>
        <v>0</v>
      </c>
      <c r="J127" s="225">
        <f>'CALCULS Eau potable'!K140</f>
        <v>0</v>
      </c>
      <c r="K127" s="225">
        <f>'CALCULS Eau potable'!L140</f>
        <v>0</v>
      </c>
      <c r="L127" s="225">
        <f>'CALCULS Eau potable'!M140</f>
        <v>0</v>
      </c>
      <c r="M127" s="225">
        <f>'CALCULS Eau potable'!N140</f>
        <v>0</v>
      </c>
      <c r="N127" s="225">
        <f>'CALCULS Eau potable'!O140</f>
        <v>0</v>
      </c>
    </row>
    <row r="128" spans="2:16">
      <c r="C128" s="2" t="s">
        <v>103</v>
      </c>
      <c r="D128" s="225">
        <f>'CALCULS Eau potable'!E141</f>
        <v>0</v>
      </c>
      <c r="E128" s="225">
        <f>'CALCULS Eau potable'!F141</f>
        <v>0</v>
      </c>
      <c r="F128" s="225">
        <f>'CALCULS Eau potable'!G141</f>
        <v>0</v>
      </c>
      <c r="G128" s="225">
        <f>'CALCULS Eau potable'!H141</f>
        <v>0</v>
      </c>
      <c r="H128" s="225">
        <f>'CALCULS Eau potable'!I141</f>
        <v>0</v>
      </c>
      <c r="I128" s="225">
        <f>'CALCULS Eau potable'!J141</f>
        <v>0</v>
      </c>
      <c r="J128" s="225">
        <f>'CALCULS Eau potable'!K141</f>
        <v>0</v>
      </c>
      <c r="K128" s="225">
        <f>'CALCULS Eau potable'!L141</f>
        <v>0</v>
      </c>
      <c r="L128" s="225">
        <f>'CALCULS Eau potable'!M141</f>
        <v>0</v>
      </c>
      <c r="M128" s="225">
        <f>'CALCULS Eau potable'!N141</f>
        <v>0</v>
      </c>
      <c r="N128" s="225">
        <f>'CALCULS Eau potable'!O141</f>
        <v>0</v>
      </c>
    </row>
    <row r="129" spans="2:16">
      <c r="C129" s="2" t="s">
        <v>104</v>
      </c>
      <c r="D129" s="225">
        <f>'CALCULS Eau potable'!E142</f>
        <v>0</v>
      </c>
      <c r="E129" s="225">
        <f>'CALCULS Eau potable'!F142</f>
        <v>0</v>
      </c>
      <c r="F129" s="225">
        <f>'CALCULS Eau potable'!G142</f>
        <v>0</v>
      </c>
      <c r="G129" s="225">
        <f>'CALCULS Eau potable'!H142</f>
        <v>0</v>
      </c>
      <c r="H129" s="225">
        <f>'CALCULS Eau potable'!I142</f>
        <v>0</v>
      </c>
      <c r="I129" s="225">
        <f>'CALCULS Eau potable'!J142</f>
        <v>0</v>
      </c>
      <c r="J129" s="225">
        <f>'CALCULS Eau potable'!K142</f>
        <v>0</v>
      </c>
      <c r="K129" s="225">
        <f>'CALCULS Eau potable'!L142</f>
        <v>0</v>
      </c>
      <c r="L129" s="225">
        <f>'CALCULS Eau potable'!M142</f>
        <v>0</v>
      </c>
      <c r="M129" s="225">
        <f>'CALCULS Eau potable'!N142</f>
        <v>0</v>
      </c>
      <c r="N129" s="225">
        <f>'CALCULS Eau potable'!O142</f>
        <v>0</v>
      </c>
    </row>
    <row r="130" spans="2:16">
      <c r="C130" s="1074" t="s">
        <v>105</v>
      </c>
      <c r="D130" s="1076">
        <f>'CALCULS Eau potable'!E143</f>
        <v>0</v>
      </c>
      <c r="E130" s="1076">
        <f>'CALCULS Eau potable'!F143</f>
        <v>0</v>
      </c>
      <c r="F130" s="1076">
        <f>'CALCULS Eau potable'!G143</f>
        <v>0</v>
      </c>
      <c r="G130" s="1076">
        <f>'CALCULS Eau potable'!H143</f>
        <v>0</v>
      </c>
      <c r="H130" s="1076">
        <f>'CALCULS Eau potable'!I143</f>
        <v>0</v>
      </c>
      <c r="I130" s="1076">
        <f>'CALCULS Eau potable'!J143</f>
        <v>0</v>
      </c>
      <c r="J130" s="1076">
        <f>'CALCULS Eau potable'!K143</f>
        <v>0</v>
      </c>
      <c r="K130" s="1076">
        <f>'CALCULS Eau potable'!L143</f>
        <v>0</v>
      </c>
      <c r="L130" s="1076">
        <f>'CALCULS Eau potable'!M143</f>
        <v>0</v>
      </c>
      <c r="M130" s="1076">
        <f>'CALCULS Eau potable'!N143</f>
        <v>0</v>
      </c>
      <c r="N130" s="1076">
        <f>'CALCULS Eau potable'!O143</f>
        <v>0</v>
      </c>
    </row>
    <row r="131" spans="2:16" ht="15" customHeight="1">
      <c r="B131" s="370"/>
      <c r="C131" s="370" t="s">
        <v>899</v>
      </c>
      <c r="D131" s="5">
        <f>D126+D127</f>
        <v>0</v>
      </c>
      <c r="E131" s="5">
        <f t="shared" ref="E131:N131" si="35">E126+E127</f>
        <v>0</v>
      </c>
      <c r="F131" s="5">
        <f t="shared" si="35"/>
        <v>0</v>
      </c>
      <c r="G131" s="5">
        <f t="shared" si="35"/>
        <v>0</v>
      </c>
      <c r="H131" s="5">
        <f t="shared" si="35"/>
        <v>0</v>
      </c>
      <c r="I131" s="5">
        <f t="shared" si="35"/>
        <v>0</v>
      </c>
      <c r="J131" s="5">
        <f t="shared" si="35"/>
        <v>0</v>
      </c>
      <c r="K131" s="5">
        <f t="shared" si="35"/>
        <v>0</v>
      </c>
      <c r="L131" s="5">
        <f t="shared" si="35"/>
        <v>0</v>
      </c>
      <c r="M131" s="5">
        <f t="shared" si="35"/>
        <v>0</v>
      </c>
      <c r="N131" s="5">
        <f t="shared" si="35"/>
        <v>0</v>
      </c>
      <c r="P131" s="408"/>
    </row>
    <row r="132" spans="2:16" ht="15" customHeight="1">
      <c r="C132" s="370" t="s">
        <v>103</v>
      </c>
      <c r="D132" s="5">
        <f t="shared" ref="D132:N132" si="36">D128</f>
        <v>0</v>
      </c>
      <c r="E132" s="5">
        <f t="shared" si="36"/>
        <v>0</v>
      </c>
      <c r="F132" s="5">
        <f t="shared" si="36"/>
        <v>0</v>
      </c>
      <c r="G132" s="5">
        <f t="shared" si="36"/>
        <v>0</v>
      </c>
      <c r="H132" s="5">
        <f t="shared" si="36"/>
        <v>0</v>
      </c>
      <c r="I132" s="5">
        <f t="shared" si="36"/>
        <v>0</v>
      </c>
      <c r="J132" s="5">
        <f t="shared" si="36"/>
        <v>0</v>
      </c>
      <c r="K132" s="5">
        <f t="shared" si="36"/>
        <v>0</v>
      </c>
      <c r="L132" s="5">
        <f t="shared" si="36"/>
        <v>0</v>
      </c>
      <c r="M132" s="5">
        <f t="shared" si="36"/>
        <v>0</v>
      </c>
      <c r="N132" s="5">
        <f t="shared" si="36"/>
        <v>0</v>
      </c>
      <c r="P132" s="408"/>
    </row>
    <row r="133" spans="2:16" ht="15" customHeight="1">
      <c r="C133" s="370" t="s">
        <v>900</v>
      </c>
      <c r="D133" s="5">
        <f t="shared" ref="D133:N133" si="37">D129+D130</f>
        <v>0</v>
      </c>
      <c r="E133" s="5">
        <f t="shared" si="37"/>
        <v>0</v>
      </c>
      <c r="F133" s="5">
        <f t="shared" si="37"/>
        <v>0</v>
      </c>
      <c r="G133" s="5">
        <f t="shared" si="37"/>
        <v>0</v>
      </c>
      <c r="H133" s="5">
        <f t="shared" si="37"/>
        <v>0</v>
      </c>
      <c r="I133" s="5">
        <f t="shared" si="37"/>
        <v>0</v>
      </c>
      <c r="J133" s="5">
        <f t="shared" si="37"/>
        <v>0</v>
      </c>
      <c r="K133" s="5">
        <f t="shared" si="37"/>
        <v>0</v>
      </c>
      <c r="L133" s="5">
        <f t="shared" si="37"/>
        <v>0</v>
      </c>
      <c r="M133" s="5">
        <f t="shared" si="37"/>
        <v>0</v>
      </c>
      <c r="N133" s="5">
        <f t="shared" si="37"/>
        <v>0</v>
      </c>
      <c r="P133" s="408"/>
    </row>
    <row r="134" spans="2:16" ht="17.399999999999999">
      <c r="C134" s="1667" t="s">
        <v>467</v>
      </c>
      <c r="D134" s="1668">
        <f t="shared" ref="D134:N134" si="38">SUM(D126:D130)</f>
        <v>0</v>
      </c>
      <c r="E134" s="1668">
        <f t="shared" si="38"/>
        <v>0</v>
      </c>
      <c r="F134" s="1668">
        <f t="shared" si="38"/>
        <v>0</v>
      </c>
      <c r="G134" s="1668">
        <f t="shared" si="38"/>
        <v>0</v>
      </c>
      <c r="H134" s="1668">
        <f t="shared" si="38"/>
        <v>0</v>
      </c>
      <c r="I134" s="1668">
        <f t="shared" si="38"/>
        <v>0</v>
      </c>
      <c r="J134" s="1668">
        <f t="shared" si="38"/>
        <v>0</v>
      </c>
      <c r="K134" s="1668">
        <f t="shared" si="38"/>
        <v>0</v>
      </c>
      <c r="L134" s="1668">
        <f t="shared" si="38"/>
        <v>0</v>
      </c>
      <c r="M134" s="1668">
        <f t="shared" si="38"/>
        <v>0</v>
      </c>
      <c r="N134" s="1669">
        <f t="shared" si="38"/>
        <v>0</v>
      </c>
      <c r="O134" s="5"/>
    </row>
    <row r="135" spans="2:16">
      <c r="C135" s="370"/>
    </row>
    <row r="136" spans="2:16" ht="30.75" customHeight="1">
      <c r="C136" s="1614" t="s">
        <v>865</v>
      </c>
      <c r="N136" s="408"/>
    </row>
    <row r="137" spans="2:16" ht="19.5" customHeight="1">
      <c r="C137" s="1081"/>
      <c r="D137" s="1081">
        <f t="shared" ref="D137:N137" si="39">D121</f>
        <v>0</v>
      </c>
      <c r="E137" s="1081">
        <f t="shared" si="39"/>
        <v>1</v>
      </c>
      <c r="F137" s="1081">
        <f t="shared" si="39"/>
        <v>2</v>
      </c>
      <c r="G137" s="1081">
        <f t="shared" si="39"/>
        <v>3</v>
      </c>
      <c r="H137" s="1081">
        <f t="shared" si="39"/>
        <v>4</v>
      </c>
      <c r="I137" s="1081">
        <f t="shared" si="39"/>
        <v>5</v>
      </c>
      <c r="J137" s="1081">
        <f t="shared" si="39"/>
        <v>6</v>
      </c>
      <c r="K137" s="1081">
        <f t="shared" si="39"/>
        <v>7</v>
      </c>
      <c r="L137" s="1081">
        <f t="shared" si="39"/>
        <v>8</v>
      </c>
      <c r="M137" s="1081">
        <f t="shared" si="39"/>
        <v>9</v>
      </c>
      <c r="N137" s="1081" t="str">
        <f t="shared" si="39"/>
        <v>Somme sur 10 ans</v>
      </c>
      <c r="O137" s="1452"/>
    </row>
    <row r="138" spans="2:16" ht="15" customHeight="1">
      <c r="C138" s="2" t="s">
        <v>897</v>
      </c>
      <c r="D138" s="225">
        <f>'CALCULS Eaux usées'!E138</f>
        <v>0</v>
      </c>
      <c r="E138" s="225">
        <f>'CALCULS Eaux usées'!F138</f>
        <v>0</v>
      </c>
      <c r="F138" s="225">
        <f>'CALCULS Eaux usées'!G138</f>
        <v>0</v>
      </c>
      <c r="G138" s="225">
        <f>'CALCULS Eaux usées'!H138</f>
        <v>0</v>
      </c>
      <c r="H138" s="225">
        <f>'CALCULS Eaux usées'!I138</f>
        <v>0</v>
      </c>
      <c r="I138" s="225">
        <f>'CALCULS Eaux usées'!J138</f>
        <v>0</v>
      </c>
      <c r="J138" s="225">
        <f>'CALCULS Eaux usées'!K138</f>
        <v>0</v>
      </c>
      <c r="K138" s="225">
        <f>'CALCULS Eaux usées'!L138</f>
        <v>0</v>
      </c>
      <c r="L138" s="225">
        <f>'CALCULS Eaux usées'!M138</f>
        <v>0</v>
      </c>
      <c r="M138" s="225">
        <f>'CALCULS Eaux usées'!N138</f>
        <v>0</v>
      </c>
      <c r="N138" s="225">
        <f>'CALCULS Eaux usées'!O138</f>
        <v>0</v>
      </c>
    </row>
    <row r="139" spans="2:16">
      <c r="C139" s="370" t="s">
        <v>477</v>
      </c>
      <c r="D139" s="225">
        <f>'CALCULS Eaux usées'!F176+'CALCULS Eaux usées'!F177</f>
        <v>0</v>
      </c>
      <c r="E139" s="225">
        <f>D139</f>
        <v>0</v>
      </c>
      <c r="F139" s="225">
        <f t="shared" ref="F139:M140" si="40">E139</f>
        <v>0</v>
      </c>
      <c r="G139" s="225">
        <f t="shared" si="40"/>
        <v>0</v>
      </c>
      <c r="H139" s="225">
        <f t="shared" si="40"/>
        <v>0</v>
      </c>
      <c r="I139" s="225">
        <f t="shared" si="40"/>
        <v>0</v>
      </c>
      <c r="J139" s="225">
        <f t="shared" si="40"/>
        <v>0</v>
      </c>
      <c r="K139" s="225">
        <f t="shared" si="40"/>
        <v>0</v>
      </c>
      <c r="L139" s="225">
        <f t="shared" si="40"/>
        <v>0</v>
      </c>
      <c r="M139" s="225">
        <f t="shared" si="40"/>
        <v>0</v>
      </c>
      <c r="N139" s="225">
        <f>SUM(D139:M139)</f>
        <v>0</v>
      </c>
    </row>
    <row r="140" spans="2:16">
      <c r="C140" s="370" t="s">
        <v>898</v>
      </c>
      <c r="D140" s="225">
        <f>'CALCULS Eaux usées'!F178</f>
        <v>0</v>
      </c>
      <c r="E140" s="225">
        <f>D140</f>
        <v>0</v>
      </c>
      <c r="F140" s="225">
        <f t="shared" si="40"/>
        <v>0</v>
      </c>
      <c r="G140" s="225">
        <f t="shared" si="40"/>
        <v>0</v>
      </c>
      <c r="H140" s="225">
        <f t="shared" si="40"/>
        <v>0</v>
      </c>
      <c r="I140" s="225">
        <f t="shared" si="40"/>
        <v>0</v>
      </c>
      <c r="J140" s="225">
        <f t="shared" si="40"/>
        <v>0</v>
      </c>
      <c r="K140" s="225">
        <f t="shared" si="40"/>
        <v>0</v>
      </c>
      <c r="L140" s="225">
        <f t="shared" si="40"/>
        <v>0</v>
      </c>
      <c r="M140" s="225">
        <f t="shared" si="40"/>
        <v>0</v>
      </c>
      <c r="N140" s="225">
        <f>SUM(D140:M140)</f>
        <v>0</v>
      </c>
    </row>
    <row r="141" spans="2:16">
      <c r="C141" s="370" t="s">
        <v>657</v>
      </c>
      <c r="D141" s="225">
        <f>'CALCULS Eaux usées'!F179+'CALCULS Eaux usées'!F180</f>
        <v>0</v>
      </c>
      <c r="E141" s="225">
        <f>D141</f>
        <v>0</v>
      </c>
      <c r="F141" s="225">
        <f t="shared" ref="F141:M141" si="41">E141</f>
        <v>0</v>
      </c>
      <c r="G141" s="225">
        <f t="shared" si="41"/>
        <v>0</v>
      </c>
      <c r="H141" s="225">
        <f t="shared" si="41"/>
        <v>0</v>
      </c>
      <c r="I141" s="225">
        <f t="shared" si="41"/>
        <v>0</v>
      </c>
      <c r="J141" s="225">
        <f t="shared" si="41"/>
        <v>0</v>
      </c>
      <c r="K141" s="225">
        <f t="shared" si="41"/>
        <v>0</v>
      </c>
      <c r="L141" s="225">
        <f t="shared" si="41"/>
        <v>0</v>
      </c>
      <c r="M141" s="225">
        <f t="shared" si="41"/>
        <v>0</v>
      </c>
      <c r="N141" s="225">
        <f>SUM(D141:M141)</f>
        <v>0</v>
      </c>
    </row>
    <row r="142" spans="2:16" ht="15" customHeight="1">
      <c r="C142" s="1078" t="s">
        <v>101</v>
      </c>
      <c r="D142" s="1079">
        <f>'CALCULS Eaux usées'!E139</f>
        <v>0</v>
      </c>
      <c r="E142" s="1079">
        <f>'CALCULS Eaux usées'!F139</f>
        <v>0</v>
      </c>
      <c r="F142" s="1079">
        <f>'CALCULS Eaux usées'!G139</f>
        <v>0</v>
      </c>
      <c r="G142" s="1079">
        <f>'CALCULS Eaux usées'!H139</f>
        <v>0</v>
      </c>
      <c r="H142" s="1079">
        <f>'CALCULS Eaux usées'!I139</f>
        <v>0</v>
      </c>
      <c r="I142" s="1079">
        <f>'CALCULS Eaux usées'!J139</f>
        <v>0</v>
      </c>
      <c r="J142" s="1079">
        <f>'CALCULS Eaux usées'!K139</f>
        <v>0</v>
      </c>
      <c r="K142" s="1079">
        <f>'CALCULS Eaux usées'!L139</f>
        <v>0</v>
      </c>
      <c r="L142" s="1079">
        <f>'CALCULS Eaux usées'!M139</f>
        <v>0</v>
      </c>
      <c r="M142" s="1079">
        <f>'CALCULS Eaux usées'!N139</f>
        <v>0</v>
      </c>
      <c r="N142" s="1079">
        <f>'CALCULS Eaux usées'!O139</f>
        <v>0</v>
      </c>
    </row>
    <row r="143" spans="2:16" ht="15" customHeight="1">
      <c r="C143" s="2" t="s">
        <v>102</v>
      </c>
      <c r="D143" s="225">
        <f>'CALCULS Eaux usées'!E140</f>
        <v>0</v>
      </c>
      <c r="E143" s="225">
        <f>'CALCULS Eaux usées'!F140</f>
        <v>0</v>
      </c>
      <c r="F143" s="225">
        <f>'CALCULS Eaux usées'!G140</f>
        <v>0</v>
      </c>
      <c r="G143" s="225">
        <f>'CALCULS Eaux usées'!H140</f>
        <v>0</v>
      </c>
      <c r="H143" s="225">
        <f>'CALCULS Eaux usées'!I140</f>
        <v>0</v>
      </c>
      <c r="I143" s="225">
        <f>'CALCULS Eaux usées'!J140</f>
        <v>0</v>
      </c>
      <c r="J143" s="225">
        <f>'CALCULS Eaux usées'!K140</f>
        <v>0</v>
      </c>
      <c r="K143" s="225">
        <f>'CALCULS Eaux usées'!L140</f>
        <v>0</v>
      </c>
      <c r="L143" s="225">
        <f>'CALCULS Eaux usées'!M140</f>
        <v>0</v>
      </c>
      <c r="M143" s="225">
        <f>'CALCULS Eaux usées'!N140</f>
        <v>0</v>
      </c>
      <c r="N143" s="225">
        <f>'CALCULS Eaux usées'!O140</f>
        <v>0</v>
      </c>
    </row>
    <row r="144" spans="2:16" ht="15" customHeight="1">
      <c r="C144" s="2" t="s">
        <v>103</v>
      </c>
      <c r="D144" s="225">
        <f>'CALCULS Eaux usées'!E141</f>
        <v>0</v>
      </c>
      <c r="E144" s="225">
        <f>'CALCULS Eaux usées'!F141</f>
        <v>0</v>
      </c>
      <c r="F144" s="225">
        <f>'CALCULS Eaux usées'!G141</f>
        <v>0</v>
      </c>
      <c r="G144" s="225">
        <f>'CALCULS Eaux usées'!H141</f>
        <v>0</v>
      </c>
      <c r="H144" s="225">
        <f>'CALCULS Eaux usées'!I141</f>
        <v>0</v>
      </c>
      <c r="I144" s="225">
        <f>'CALCULS Eaux usées'!J141</f>
        <v>0</v>
      </c>
      <c r="J144" s="225">
        <f>'CALCULS Eaux usées'!K141</f>
        <v>0</v>
      </c>
      <c r="K144" s="225">
        <f>'CALCULS Eaux usées'!L141</f>
        <v>0</v>
      </c>
      <c r="L144" s="225">
        <f>'CALCULS Eaux usées'!M141</f>
        <v>0</v>
      </c>
      <c r="M144" s="225">
        <f>'CALCULS Eaux usées'!N141</f>
        <v>0</v>
      </c>
      <c r="N144" s="225">
        <f>'CALCULS Eaux usées'!O141</f>
        <v>0</v>
      </c>
    </row>
    <row r="145" spans="2:16" ht="15" customHeight="1">
      <c r="C145" s="2" t="s">
        <v>104</v>
      </c>
      <c r="D145" s="225">
        <f>'CALCULS Eaux usées'!E142</f>
        <v>0</v>
      </c>
      <c r="E145" s="225">
        <f>'CALCULS Eaux usées'!F142</f>
        <v>0</v>
      </c>
      <c r="F145" s="225">
        <f>'CALCULS Eaux usées'!G142</f>
        <v>0</v>
      </c>
      <c r="G145" s="225">
        <f>'CALCULS Eaux usées'!H142</f>
        <v>0</v>
      </c>
      <c r="H145" s="225">
        <f>'CALCULS Eaux usées'!I142</f>
        <v>0</v>
      </c>
      <c r="I145" s="225">
        <f>'CALCULS Eaux usées'!J142</f>
        <v>0</v>
      </c>
      <c r="J145" s="225">
        <f>'CALCULS Eaux usées'!K142</f>
        <v>0</v>
      </c>
      <c r="K145" s="225">
        <f>'CALCULS Eaux usées'!L142</f>
        <v>0</v>
      </c>
      <c r="L145" s="225">
        <f>'CALCULS Eaux usées'!M142</f>
        <v>0</v>
      </c>
      <c r="M145" s="225">
        <f>'CALCULS Eaux usées'!N142</f>
        <v>0</v>
      </c>
      <c r="N145" s="225">
        <f>'CALCULS Eaux usées'!O142</f>
        <v>0</v>
      </c>
    </row>
    <row r="146" spans="2:16" ht="15" customHeight="1">
      <c r="C146" s="1074" t="s">
        <v>105</v>
      </c>
      <c r="D146" s="1076">
        <f>'CALCULS Eaux usées'!E143</f>
        <v>0</v>
      </c>
      <c r="E146" s="1076">
        <f>'CALCULS Eaux usées'!F143</f>
        <v>0</v>
      </c>
      <c r="F146" s="1076">
        <f>'CALCULS Eaux usées'!G143</f>
        <v>0</v>
      </c>
      <c r="G146" s="1076">
        <f>'CALCULS Eaux usées'!H143</f>
        <v>0</v>
      </c>
      <c r="H146" s="1076">
        <f>'CALCULS Eaux usées'!I143</f>
        <v>0</v>
      </c>
      <c r="I146" s="1076">
        <f>'CALCULS Eaux usées'!J143</f>
        <v>0</v>
      </c>
      <c r="J146" s="1076">
        <f>'CALCULS Eaux usées'!K143</f>
        <v>0</v>
      </c>
      <c r="K146" s="1076">
        <f>'CALCULS Eaux usées'!L143</f>
        <v>0</v>
      </c>
      <c r="L146" s="1076">
        <f>'CALCULS Eaux usées'!M143</f>
        <v>0</v>
      </c>
      <c r="M146" s="1076">
        <f>'CALCULS Eaux usées'!N143</f>
        <v>0</v>
      </c>
      <c r="N146" s="1076">
        <f>'CALCULS Eaux usées'!O143</f>
        <v>0</v>
      </c>
      <c r="P146" s="408"/>
    </row>
    <row r="147" spans="2:16" ht="15" customHeight="1">
      <c r="B147" s="370"/>
      <c r="C147" s="370" t="s">
        <v>899</v>
      </c>
      <c r="D147" s="5">
        <f>D142+D143</f>
        <v>0</v>
      </c>
      <c r="E147" s="5">
        <f t="shared" ref="E147:M147" si="42">E142+E143</f>
        <v>0</v>
      </c>
      <c r="F147" s="5">
        <f t="shared" si="42"/>
        <v>0</v>
      </c>
      <c r="G147" s="5">
        <f t="shared" si="42"/>
        <v>0</v>
      </c>
      <c r="H147" s="5">
        <f t="shared" si="42"/>
        <v>0</v>
      </c>
      <c r="I147" s="5">
        <f t="shared" si="42"/>
        <v>0</v>
      </c>
      <c r="J147" s="5">
        <f t="shared" si="42"/>
        <v>0</v>
      </c>
      <c r="K147" s="5">
        <f t="shared" si="42"/>
        <v>0</v>
      </c>
      <c r="L147" s="5">
        <f t="shared" si="42"/>
        <v>0</v>
      </c>
      <c r="M147" s="5">
        <f t="shared" si="42"/>
        <v>0</v>
      </c>
      <c r="N147" s="5">
        <f>N142+N143</f>
        <v>0</v>
      </c>
      <c r="P147" s="408"/>
    </row>
    <row r="148" spans="2:16" ht="15" customHeight="1">
      <c r="C148" s="370" t="s">
        <v>103</v>
      </c>
      <c r="D148" s="5">
        <f t="shared" ref="D148:N148" si="43">D144</f>
        <v>0</v>
      </c>
      <c r="E148" s="5">
        <f t="shared" si="43"/>
        <v>0</v>
      </c>
      <c r="F148" s="5">
        <f t="shared" si="43"/>
        <v>0</v>
      </c>
      <c r="G148" s="5">
        <f t="shared" si="43"/>
        <v>0</v>
      </c>
      <c r="H148" s="5">
        <f t="shared" si="43"/>
        <v>0</v>
      </c>
      <c r="I148" s="5">
        <f t="shared" si="43"/>
        <v>0</v>
      </c>
      <c r="J148" s="5">
        <f t="shared" si="43"/>
        <v>0</v>
      </c>
      <c r="K148" s="5">
        <f t="shared" si="43"/>
        <v>0</v>
      </c>
      <c r="L148" s="5">
        <f t="shared" si="43"/>
        <v>0</v>
      </c>
      <c r="M148" s="5">
        <f t="shared" si="43"/>
        <v>0</v>
      </c>
      <c r="N148" s="5">
        <f t="shared" si="43"/>
        <v>0</v>
      </c>
      <c r="P148" s="408"/>
    </row>
    <row r="149" spans="2:16" ht="15" customHeight="1">
      <c r="C149" s="370" t="s">
        <v>900</v>
      </c>
      <c r="D149" s="5">
        <f t="shared" ref="D149:N149" si="44">D145+D146</f>
        <v>0</v>
      </c>
      <c r="E149" s="5">
        <f t="shared" si="44"/>
        <v>0</v>
      </c>
      <c r="F149" s="5">
        <f t="shared" si="44"/>
        <v>0</v>
      </c>
      <c r="G149" s="5">
        <f t="shared" si="44"/>
        <v>0</v>
      </c>
      <c r="H149" s="5">
        <f t="shared" si="44"/>
        <v>0</v>
      </c>
      <c r="I149" s="5">
        <f t="shared" si="44"/>
        <v>0</v>
      </c>
      <c r="J149" s="5">
        <f t="shared" si="44"/>
        <v>0</v>
      </c>
      <c r="K149" s="5">
        <f t="shared" si="44"/>
        <v>0</v>
      </c>
      <c r="L149" s="5">
        <f t="shared" si="44"/>
        <v>0</v>
      </c>
      <c r="M149" s="5">
        <f t="shared" si="44"/>
        <v>0</v>
      </c>
      <c r="N149" s="5">
        <f t="shared" si="44"/>
        <v>0</v>
      </c>
      <c r="P149" s="408"/>
    </row>
    <row r="150" spans="2:16" ht="18" customHeight="1">
      <c r="C150" s="1667" t="s">
        <v>467</v>
      </c>
      <c r="D150" s="1668">
        <f t="shared" ref="D150:N150" si="45">SUM(D142:D146)</f>
        <v>0</v>
      </c>
      <c r="E150" s="1668">
        <f t="shared" si="45"/>
        <v>0</v>
      </c>
      <c r="F150" s="1668">
        <f t="shared" si="45"/>
        <v>0</v>
      </c>
      <c r="G150" s="1668">
        <f t="shared" si="45"/>
        <v>0</v>
      </c>
      <c r="H150" s="1668">
        <f t="shared" si="45"/>
        <v>0</v>
      </c>
      <c r="I150" s="1668">
        <f t="shared" si="45"/>
        <v>0</v>
      </c>
      <c r="J150" s="1668">
        <f t="shared" si="45"/>
        <v>0</v>
      </c>
      <c r="K150" s="1668">
        <f t="shared" si="45"/>
        <v>0</v>
      </c>
      <c r="L150" s="1668">
        <f t="shared" si="45"/>
        <v>0</v>
      </c>
      <c r="M150" s="1668">
        <f t="shared" si="45"/>
        <v>0</v>
      </c>
      <c r="N150" s="1669">
        <f t="shared" si="45"/>
        <v>0</v>
      </c>
      <c r="P150" s="408"/>
    </row>
    <row r="151" spans="2:16" ht="15" customHeight="1">
      <c r="P151" s="408"/>
    </row>
    <row r="152" spans="2:16" ht="30.75" customHeight="1">
      <c r="C152" s="1614" t="s">
        <v>866</v>
      </c>
      <c r="P152" s="1673"/>
    </row>
    <row r="153" spans="2:16" ht="19.5" customHeight="1">
      <c r="C153" s="1081"/>
      <c r="D153" s="1081">
        <f t="shared" ref="D153:N153" si="46">D121</f>
        <v>0</v>
      </c>
      <c r="E153" s="1081">
        <f t="shared" si="46"/>
        <v>1</v>
      </c>
      <c r="F153" s="1081">
        <f t="shared" si="46"/>
        <v>2</v>
      </c>
      <c r="G153" s="1081">
        <f t="shared" si="46"/>
        <v>3</v>
      </c>
      <c r="H153" s="1081">
        <f t="shared" si="46"/>
        <v>4</v>
      </c>
      <c r="I153" s="1081">
        <f t="shared" si="46"/>
        <v>5</v>
      </c>
      <c r="J153" s="1081">
        <f t="shared" si="46"/>
        <v>6</v>
      </c>
      <c r="K153" s="1081">
        <f t="shared" si="46"/>
        <v>7</v>
      </c>
      <c r="L153" s="1081">
        <f t="shared" si="46"/>
        <v>8</v>
      </c>
      <c r="M153" s="1081">
        <f t="shared" si="46"/>
        <v>9</v>
      </c>
      <c r="N153" s="1081" t="str">
        <f t="shared" si="46"/>
        <v>Somme sur 10 ans</v>
      </c>
      <c r="P153" s="1673"/>
    </row>
    <row r="154" spans="2:16" ht="15" customHeight="1">
      <c r="C154" s="2" t="s">
        <v>897</v>
      </c>
      <c r="D154" s="225">
        <f>'CALCULS Eaux pluviales'!E138</f>
        <v>0</v>
      </c>
      <c r="E154" s="225">
        <f>'CALCULS Eaux pluviales'!F138</f>
        <v>0</v>
      </c>
      <c r="F154" s="225">
        <f>'CALCULS Eaux pluviales'!G138</f>
        <v>0</v>
      </c>
      <c r="G154" s="225">
        <f>'CALCULS Eaux pluviales'!H138</f>
        <v>0</v>
      </c>
      <c r="H154" s="225">
        <f>'CALCULS Eaux pluviales'!I138</f>
        <v>0</v>
      </c>
      <c r="I154" s="225">
        <f>'CALCULS Eaux pluviales'!J138</f>
        <v>0</v>
      </c>
      <c r="J154" s="225">
        <f>'CALCULS Eaux pluviales'!K138</f>
        <v>0</v>
      </c>
      <c r="K154" s="225">
        <f>'CALCULS Eaux pluviales'!L138</f>
        <v>0</v>
      </c>
      <c r="L154" s="225">
        <f>'CALCULS Eaux pluviales'!M138</f>
        <v>0</v>
      </c>
      <c r="M154" s="225">
        <f>'CALCULS Eaux pluviales'!N138</f>
        <v>0</v>
      </c>
      <c r="N154" s="225">
        <f>'CALCULS Eaux pluviales'!O138</f>
        <v>0</v>
      </c>
      <c r="P154" s="1673"/>
    </row>
    <row r="155" spans="2:16">
      <c r="C155" s="370" t="s">
        <v>477</v>
      </c>
      <c r="D155" s="225">
        <f>'CALCULS Eaux pluviales'!F176+'CALCULS Eaux pluviales'!F177</f>
        <v>0</v>
      </c>
      <c r="E155" s="225">
        <f>D155</f>
        <v>0</v>
      </c>
      <c r="F155" s="225">
        <f t="shared" ref="F155:M155" si="47">E155</f>
        <v>0</v>
      </c>
      <c r="G155" s="225">
        <f t="shared" si="47"/>
        <v>0</v>
      </c>
      <c r="H155" s="225">
        <f t="shared" si="47"/>
        <v>0</v>
      </c>
      <c r="I155" s="225">
        <f t="shared" si="47"/>
        <v>0</v>
      </c>
      <c r="J155" s="225">
        <f t="shared" si="47"/>
        <v>0</v>
      </c>
      <c r="K155" s="225">
        <f t="shared" si="47"/>
        <v>0</v>
      </c>
      <c r="L155" s="225">
        <f t="shared" si="47"/>
        <v>0</v>
      </c>
      <c r="M155" s="225">
        <f t="shared" si="47"/>
        <v>0</v>
      </c>
      <c r="N155" s="225">
        <f>SUM(D155:M155)</f>
        <v>0</v>
      </c>
    </row>
    <row r="156" spans="2:16">
      <c r="C156" s="370" t="s">
        <v>898</v>
      </c>
      <c r="D156" s="225">
        <f>'CALCULS Eaux pluviales'!F178</f>
        <v>0</v>
      </c>
      <c r="E156" s="225">
        <f>D156</f>
        <v>0</v>
      </c>
      <c r="F156" s="225">
        <f t="shared" ref="F156:M156" si="48">E156</f>
        <v>0</v>
      </c>
      <c r="G156" s="225">
        <f t="shared" si="48"/>
        <v>0</v>
      </c>
      <c r="H156" s="225">
        <f t="shared" si="48"/>
        <v>0</v>
      </c>
      <c r="I156" s="225">
        <f t="shared" si="48"/>
        <v>0</v>
      </c>
      <c r="J156" s="225">
        <f t="shared" si="48"/>
        <v>0</v>
      </c>
      <c r="K156" s="225">
        <f t="shared" si="48"/>
        <v>0</v>
      </c>
      <c r="L156" s="225">
        <f t="shared" si="48"/>
        <v>0</v>
      </c>
      <c r="M156" s="225">
        <f t="shared" si="48"/>
        <v>0</v>
      </c>
      <c r="N156" s="225">
        <f>SUM(D156:M156)</f>
        <v>0</v>
      </c>
    </row>
    <row r="157" spans="2:16">
      <c r="C157" s="370" t="s">
        <v>657</v>
      </c>
      <c r="D157" s="225">
        <f>'CALCULS Eaux pluviales'!F179+'CALCULS Eaux pluviales'!F180</f>
        <v>0</v>
      </c>
      <c r="E157" s="225">
        <f>D157</f>
        <v>0</v>
      </c>
      <c r="F157" s="225">
        <f t="shared" ref="F157:M157" si="49">E157</f>
        <v>0</v>
      </c>
      <c r="G157" s="225">
        <f t="shared" si="49"/>
        <v>0</v>
      </c>
      <c r="H157" s="225">
        <f t="shared" si="49"/>
        <v>0</v>
      </c>
      <c r="I157" s="225">
        <f t="shared" si="49"/>
        <v>0</v>
      </c>
      <c r="J157" s="225">
        <f t="shared" si="49"/>
        <v>0</v>
      </c>
      <c r="K157" s="225">
        <f t="shared" si="49"/>
        <v>0</v>
      </c>
      <c r="L157" s="225">
        <f t="shared" si="49"/>
        <v>0</v>
      </c>
      <c r="M157" s="225">
        <f t="shared" si="49"/>
        <v>0</v>
      </c>
      <c r="N157" s="225">
        <f>SUM(D157:M157)</f>
        <v>0</v>
      </c>
    </row>
    <row r="158" spans="2:16" ht="15" customHeight="1">
      <c r="C158" s="1078" t="s">
        <v>101</v>
      </c>
      <c r="D158" s="1079">
        <f>'CALCULS Eaux pluviales'!E139</f>
        <v>0</v>
      </c>
      <c r="E158" s="1079">
        <f>'CALCULS Eaux pluviales'!F139</f>
        <v>0</v>
      </c>
      <c r="F158" s="1079">
        <f>'CALCULS Eaux pluviales'!G139</f>
        <v>0</v>
      </c>
      <c r="G158" s="1079">
        <f>'CALCULS Eaux pluviales'!H139</f>
        <v>0</v>
      </c>
      <c r="H158" s="1079">
        <f>'CALCULS Eaux pluviales'!I139</f>
        <v>0</v>
      </c>
      <c r="I158" s="1079">
        <f>'CALCULS Eaux pluviales'!J139</f>
        <v>0</v>
      </c>
      <c r="J158" s="1079">
        <f>'CALCULS Eaux pluviales'!K139</f>
        <v>0</v>
      </c>
      <c r="K158" s="1079">
        <f>'CALCULS Eaux pluviales'!L139</f>
        <v>0</v>
      </c>
      <c r="L158" s="1079">
        <f>'CALCULS Eaux pluviales'!M139</f>
        <v>0</v>
      </c>
      <c r="M158" s="1079">
        <f>'CALCULS Eaux pluviales'!N139</f>
        <v>0</v>
      </c>
      <c r="N158" s="1079">
        <f>'CALCULS Eaux pluviales'!O139</f>
        <v>0</v>
      </c>
      <c r="P158" s="1673"/>
    </row>
    <row r="159" spans="2:16" ht="15" customHeight="1">
      <c r="C159" s="2" t="s">
        <v>102</v>
      </c>
      <c r="D159" s="225">
        <f>'CALCULS Eaux pluviales'!E140</f>
        <v>0</v>
      </c>
      <c r="E159" s="225">
        <f>'CALCULS Eaux pluviales'!F140</f>
        <v>0</v>
      </c>
      <c r="F159" s="225">
        <f>'CALCULS Eaux pluviales'!G140</f>
        <v>0</v>
      </c>
      <c r="G159" s="225">
        <f>'CALCULS Eaux pluviales'!H140</f>
        <v>0</v>
      </c>
      <c r="H159" s="225">
        <f>'CALCULS Eaux pluviales'!I140</f>
        <v>0</v>
      </c>
      <c r="I159" s="225">
        <f>'CALCULS Eaux pluviales'!J140</f>
        <v>0</v>
      </c>
      <c r="J159" s="225">
        <f>'CALCULS Eaux pluviales'!K140</f>
        <v>0</v>
      </c>
      <c r="K159" s="225">
        <f>'CALCULS Eaux pluviales'!L140</f>
        <v>0</v>
      </c>
      <c r="L159" s="225">
        <f>'CALCULS Eaux pluviales'!M140</f>
        <v>0</v>
      </c>
      <c r="M159" s="225">
        <f>'CALCULS Eaux pluviales'!N140</f>
        <v>0</v>
      </c>
      <c r="N159" s="225">
        <f>'CALCULS Eaux pluviales'!O140</f>
        <v>0</v>
      </c>
      <c r="P159" s="1673"/>
    </row>
    <row r="160" spans="2:16" ht="15" customHeight="1">
      <c r="C160" s="2" t="s">
        <v>103</v>
      </c>
      <c r="D160" s="225">
        <f>'CALCULS Eaux pluviales'!E141</f>
        <v>0</v>
      </c>
      <c r="E160" s="225">
        <f>'CALCULS Eaux pluviales'!F141</f>
        <v>0</v>
      </c>
      <c r="F160" s="225">
        <f>'CALCULS Eaux pluviales'!G141</f>
        <v>0</v>
      </c>
      <c r="G160" s="225">
        <f>'CALCULS Eaux pluviales'!H141</f>
        <v>0</v>
      </c>
      <c r="H160" s="225">
        <f>'CALCULS Eaux pluviales'!I141</f>
        <v>0</v>
      </c>
      <c r="I160" s="225">
        <f>'CALCULS Eaux pluviales'!J141</f>
        <v>0</v>
      </c>
      <c r="J160" s="225">
        <f>'CALCULS Eaux pluviales'!K141</f>
        <v>0</v>
      </c>
      <c r="K160" s="225">
        <f>'CALCULS Eaux pluviales'!L141</f>
        <v>0</v>
      </c>
      <c r="L160" s="225">
        <f>'CALCULS Eaux pluviales'!M141</f>
        <v>0</v>
      </c>
      <c r="M160" s="225">
        <f>'CALCULS Eaux pluviales'!N141</f>
        <v>0</v>
      </c>
      <c r="N160" s="225">
        <f>'CALCULS Eaux pluviales'!O141</f>
        <v>0</v>
      </c>
      <c r="P160" s="1673"/>
    </row>
    <row r="161" spans="2:16" ht="15" customHeight="1">
      <c r="C161" s="2" t="s">
        <v>104</v>
      </c>
      <c r="D161" s="225">
        <f>'CALCULS Eaux pluviales'!E142</f>
        <v>0</v>
      </c>
      <c r="E161" s="225">
        <f>'CALCULS Eaux pluviales'!F142</f>
        <v>0</v>
      </c>
      <c r="F161" s="225">
        <f>'CALCULS Eaux pluviales'!G142</f>
        <v>0</v>
      </c>
      <c r="G161" s="225">
        <f>'CALCULS Eaux pluviales'!H142</f>
        <v>0</v>
      </c>
      <c r="H161" s="225">
        <f>'CALCULS Eaux pluviales'!I142</f>
        <v>0</v>
      </c>
      <c r="I161" s="225">
        <f>'CALCULS Eaux pluviales'!J142</f>
        <v>0</v>
      </c>
      <c r="J161" s="225">
        <f>'CALCULS Eaux pluviales'!K142</f>
        <v>0</v>
      </c>
      <c r="K161" s="225">
        <f>'CALCULS Eaux pluviales'!L142</f>
        <v>0</v>
      </c>
      <c r="L161" s="225">
        <f>'CALCULS Eaux pluviales'!M142</f>
        <v>0</v>
      </c>
      <c r="M161" s="225">
        <f>'CALCULS Eaux pluviales'!N142</f>
        <v>0</v>
      </c>
      <c r="N161" s="225">
        <f>'CALCULS Eaux pluviales'!O142</f>
        <v>0</v>
      </c>
      <c r="P161" s="1673"/>
    </row>
    <row r="162" spans="2:16" ht="15" customHeight="1">
      <c r="C162" s="1074" t="s">
        <v>105</v>
      </c>
      <c r="D162" s="1076">
        <f>'CALCULS Eaux pluviales'!E143</f>
        <v>0</v>
      </c>
      <c r="E162" s="1076">
        <f>'CALCULS Eaux pluviales'!F143</f>
        <v>0</v>
      </c>
      <c r="F162" s="1076">
        <f>'CALCULS Eaux pluviales'!G143</f>
        <v>0</v>
      </c>
      <c r="G162" s="1076">
        <f>'CALCULS Eaux pluviales'!H143</f>
        <v>0</v>
      </c>
      <c r="H162" s="1076">
        <f>'CALCULS Eaux pluviales'!I143</f>
        <v>0</v>
      </c>
      <c r="I162" s="1076">
        <f>'CALCULS Eaux pluviales'!J143</f>
        <v>0</v>
      </c>
      <c r="J162" s="1076">
        <f>'CALCULS Eaux pluviales'!K143</f>
        <v>0</v>
      </c>
      <c r="K162" s="1076">
        <f>'CALCULS Eaux pluviales'!L143</f>
        <v>0</v>
      </c>
      <c r="L162" s="1076">
        <f>'CALCULS Eaux pluviales'!M143</f>
        <v>0</v>
      </c>
      <c r="M162" s="1076">
        <f>'CALCULS Eaux pluviales'!N143</f>
        <v>0</v>
      </c>
      <c r="N162" s="1076">
        <f>'CALCULS Eaux pluviales'!O143</f>
        <v>0</v>
      </c>
      <c r="P162" s="1673"/>
    </row>
    <row r="163" spans="2:16" ht="15" customHeight="1">
      <c r="B163" s="370"/>
      <c r="C163" s="370" t="s">
        <v>899</v>
      </c>
      <c r="D163" s="5">
        <f>D158+D159</f>
        <v>0</v>
      </c>
      <c r="E163" s="5">
        <f t="shared" ref="E163:N163" si="50">E158+E159</f>
        <v>0</v>
      </c>
      <c r="F163" s="5">
        <f t="shared" si="50"/>
        <v>0</v>
      </c>
      <c r="G163" s="5">
        <f t="shared" si="50"/>
        <v>0</v>
      </c>
      <c r="H163" s="5">
        <f t="shared" si="50"/>
        <v>0</v>
      </c>
      <c r="I163" s="5">
        <f t="shared" si="50"/>
        <v>0</v>
      </c>
      <c r="J163" s="5">
        <f t="shared" si="50"/>
        <v>0</v>
      </c>
      <c r="K163" s="5">
        <f t="shared" si="50"/>
        <v>0</v>
      </c>
      <c r="L163" s="5">
        <f t="shared" si="50"/>
        <v>0</v>
      </c>
      <c r="M163" s="5">
        <f t="shared" si="50"/>
        <v>0</v>
      </c>
      <c r="N163" s="5">
        <f t="shared" si="50"/>
        <v>0</v>
      </c>
      <c r="P163" s="408"/>
    </row>
    <row r="164" spans="2:16" ht="15" customHeight="1">
      <c r="C164" s="370" t="s">
        <v>103</v>
      </c>
      <c r="D164" s="5">
        <f t="shared" ref="D164:N164" si="51">D160</f>
        <v>0</v>
      </c>
      <c r="E164" s="5">
        <f t="shared" si="51"/>
        <v>0</v>
      </c>
      <c r="F164" s="5">
        <f t="shared" si="51"/>
        <v>0</v>
      </c>
      <c r="G164" s="5">
        <f t="shared" si="51"/>
        <v>0</v>
      </c>
      <c r="H164" s="5">
        <f t="shared" si="51"/>
        <v>0</v>
      </c>
      <c r="I164" s="5">
        <f t="shared" si="51"/>
        <v>0</v>
      </c>
      <c r="J164" s="5">
        <f t="shared" si="51"/>
        <v>0</v>
      </c>
      <c r="K164" s="5">
        <f t="shared" si="51"/>
        <v>0</v>
      </c>
      <c r="L164" s="5">
        <f t="shared" si="51"/>
        <v>0</v>
      </c>
      <c r="M164" s="5">
        <f t="shared" si="51"/>
        <v>0</v>
      </c>
      <c r="N164" s="5">
        <f t="shared" si="51"/>
        <v>0</v>
      </c>
      <c r="P164" s="408"/>
    </row>
    <row r="165" spans="2:16" ht="15" customHeight="1">
      <c r="C165" s="370" t="s">
        <v>900</v>
      </c>
      <c r="D165" s="5">
        <f t="shared" ref="D165:N165" si="52">D161+D162</f>
        <v>0</v>
      </c>
      <c r="E165" s="5">
        <f t="shared" si="52"/>
        <v>0</v>
      </c>
      <c r="F165" s="5">
        <f t="shared" si="52"/>
        <v>0</v>
      </c>
      <c r="G165" s="5">
        <f t="shared" si="52"/>
        <v>0</v>
      </c>
      <c r="H165" s="5">
        <f t="shared" si="52"/>
        <v>0</v>
      </c>
      <c r="I165" s="5">
        <f t="shared" si="52"/>
        <v>0</v>
      </c>
      <c r="J165" s="5">
        <f t="shared" si="52"/>
        <v>0</v>
      </c>
      <c r="K165" s="5">
        <f t="shared" si="52"/>
        <v>0</v>
      </c>
      <c r="L165" s="5">
        <f t="shared" si="52"/>
        <v>0</v>
      </c>
      <c r="M165" s="5">
        <f>M161+M162</f>
        <v>0</v>
      </c>
      <c r="N165" s="5">
        <f t="shared" si="52"/>
        <v>0</v>
      </c>
      <c r="P165" s="408"/>
    </row>
    <row r="166" spans="2:16" ht="18" customHeight="1">
      <c r="C166" s="1667" t="s">
        <v>467</v>
      </c>
      <c r="D166" s="1668">
        <f t="shared" ref="D166:N166" si="53">SUM(D158:D162)</f>
        <v>0</v>
      </c>
      <c r="E166" s="1668">
        <f t="shared" si="53"/>
        <v>0</v>
      </c>
      <c r="F166" s="1668">
        <f t="shared" si="53"/>
        <v>0</v>
      </c>
      <c r="G166" s="1668">
        <f t="shared" si="53"/>
        <v>0</v>
      </c>
      <c r="H166" s="1668">
        <f t="shared" si="53"/>
        <v>0</v>
      </c>
      <c r="I166" s="1668">
        <f t="shared" si="53"/>
        <v>0</v>
      </c>
      <c r="J166" s="1668">
        <f t="shared" si="53"/>
        <v>0</v>
      </c>
      <c r="K166" s="1668">
        <f t="shared" si="53"/>
        <v>0</v>
      </c>
      <c r="L166" s="1668">
        <f t="shared" si="53"/>
        <v>0</v>
      </c>
      <c r="M166" s="1668">
        <f t="shared" si="53"/>
        <v>0</v>
      </c>
      <c r="N166" s="1669">
        <f t="shared" si="53"/>
        <v>0</v>
      </c>
      <c r="P166" s="1673"/>
    </row>
    <row r="167" spans="2:16" ht="15" customHeight="1">
      <c r="P167" s="1673"/>
    </row>
    <row r="168" spans="2:16" ht="15" customHeight="1">
      <c r="B168" s="224"/>
    </row>
    <row r="169" spans="2:16" ht="37.5" customHeight="1">
      <c r="C169" s="1617" t="s">
        <v>886</v>
      </c>
      <c r="P169" s="1673"/>
    </row>
    <row r="170" spans="2:16" ht="19.5" customHeight="1">
      <c r="C170" s="1670"/>
      <c r="D170" s="1670">
        <f t="shared" ref="D170:N170" si="54">D121</f>
        <v>0</v>
      </c>
      <c r="E170" s="1670">
        <f t="shared" si="54"/>
        <v>1</v>
      </c>
      <c r="F170" s="1670">
        <f t="shared" si="54"/>
        <v>2</v>
      </c>
      <c r="G170" s="1670">
        <f t="shared" si="54"/>
        <v>3</v>
      </c>
      <c r="H170" s="1670">
        <f t="shared" si="54"/>
        <v>4</v>
      </c>
      <c r="I170" s="1670">
        <f t="shared" si="54"/>
        <v>5</v>
      </c>
      <c r="J170" s="1670">
        <f t="shared" si="54"/>
        <v>6</v>
      </c>
      <c r="K170" s="1670">
        <f t="shared" si="54"/>
        <v>7</v>
      </c>
      <c r="L170" s="1670">
        <f t="shared" si="54"/>
        <v>8</v>
      </c>
      <c r="M170" s="1670">
        <f t="shared" si="54"/>
        <v>9</v>
      </c>
      <c r="N170" s="1670" t="str">
        <f t="shared" si="54"/>
        <v>Somme sur 10 ans</v>
      </c>
      <c r="P170" s="1673"/>
    </row>
    <row r="171" spans="2:16" ht="15" customHeight="1">
      <c r="C171" s="2" t="s">
        <v>100</v>
      </c>
      <c r="D171" s="5">
        <f>D122+D138+D154</f>
        <v>0</v>
      </c>
      <c r="E171" s="5">
        <f t="shared" ref="E171:M171" si="55">E122+E138+E154</f>
        <v>0</v>
      </c>
      <c r="F171" s="5">
        <f t="shared" si="55"/>
        <v>0</v>
      </c>
      <c r="G171" s="5">
        <f t="shared" si="55"/>
        <v>0</v>
      </c>
      <c r="H171" s="5">
        <f t="shared" si="55"/>
        <v>0</v>
      </c>
      <c r="I171" s="5">
        <f t="shared" si="55"/>
        <v>0</v>
      </c>
      <c r="J171" s="5">
        <f t="shared" si="55"/>
        <v>0</v>
      </c>
      <c r="K171" s="5">
        <f t="shared" si="55"/>
        <v>0</v>
      </c>
      <c r="L171" s="5">
        <f t="shared" si="55"/>
        <v>0</v>
      </c>
      <c r="M171" s="5">
        <f t="shared" si="55"/>
        <v>0</v>
      </c>
      <c r="N171" s="225">
        <f>SUM(D171:M171)</f>
        <v>0</v>
      </c>
      <c r="P171" s="408"/>
    </row>
    <row r="172" spans="2:16">
      <c r="C172" s="370" t="s">
        <v>477</v>
      </c>
      <c r="D172" s="225">
        <f t="shared" ref="D172:D183" si="56">D123+D139+D155</f>
        <v>0</v>
      </c>
      <c r="E172" s="225">
        <f t="shared" ref="E172:M172" si="57">E123+E139+E155</f>
        <v>0</v>
      </c>
      <c r="F172" s="225">
        <f t="shared" si="57"/>
        <v>0</v>
      </c>
      <c r="G172" s="225">
        <f t="shared" si="57"/>
        <v>0</v>
      </c>
      <c r="H172" s="225">
        <f t="shared" si="57"/>
        <v>0</v>
      </c>
      <c r="I172" s="225">
        <f t="shared" si="57"/>
        <v>0</v>
      </c>
      <c r="J172" s="225">
        <f t="shared" si="57"/>
        <v>0</v>
      </c>
      <c r="K172" s="225">
        <f t="shared" si="57"/>
        <v>0</v>
      </c>
      <c r="L172" s="225">
        <f t="shared" si="57"/>
        <v>0</v>
      </c>
      <c r="M172" s="225">
        <f t="shared" si="57"/>
        <v>0</v>
      </c>
      <c r="N172" s="225">
        <f>SUM(D172:M172)</f>
        <v>0</v>
      </c>
    </row>
    <row r="173" spans="2:16">
      <c r="C173" s="370" t="s">
        <v>898</v>
      </c>
      <c r="D173" s="225">
        <f t="shared" si="56"/>
        <v>0</v>
      </c>
      <c r="E173" s="225">
        <f t="shared" ref="E173:M173" si="58">E124+E140+E156</f>
        <v>0</v>
      </c>
      <c r="F173" s="225">
        <f t="shared" si="58"/>
        <v>0</v>
      </c>
      <c r="G173" s="225">
        <f t="shared" si="58"/>
        <v>0</v>
      </c>
      <c r="H173" s="225">
        <f t="shared" si="58"/>
        <v>0</v>
      </c>
      <c r="I173" s="225">
        <f t="shared" si="58"/>
        <v>0</v>
      </c>
      <c r="J173" s="225">
        <f t="shared" si="58"/>
        <v>0</v>
      </c>
      <c r="K173" s="225">
        <f t="shared" si="58"/>
        <v>0</v>
      </c>
      <c r="L173" s="225">
        <f t="shared" si="58"/>
        <v>0</v>
      </c>
      <c r="M173" s="225">
        <f t="shared" si="58"/>
        <v>0</v>
      </c>
      <c r="N173" s="225">
        <f>SUM(D173:M173)</f>
        <v>0</v>
      </c>
    </row>
    <row r="174" spans="2:16">
      <c r="C174" s="370" t="s">
        <v>657</v>
      </c>
      <c r="D174" s="225">
        <f t="shared" si="56"/>
        <v>0</v>
      </c>
      <c r="E174" s="225">
        <f t="shared" ref="E174:M174" si="59">E125+E141+E157</f>
        <v>0</v>
      </c>
      <c r="F174" s="225">
        <f t="shared" si="59"/>
        <v>0</v>
      </c>
      <c r="G174" s="225">
        <f t="shared" si="59"/>
        <v>0</v>
      </c>
      <c r="H174" s="225">
        <f t="shared" si="59"/>
        <v>0</v>
      </c>
      <c r="I174" s="225">
        <f t="shared" si="59"/>
        <v>0</v>
      </c>
      <c r="J174" s="225">
        <f t="shared" si="59"/>
        <v>0</v>
      </c>
      <c r="K174" s="225">
        <f t="shared" si="59"/>
        <v>0</v>
      </c>
      <c r="L174" s="225">
        <f t="shared" si="59"/>
        <v>0</v>
      </c>
      <c r="M174" s="225">
        <f t="shared" si="59"/>
        <v>0</v>
      </c>
      <c r="N174" s="225">
        <f>SUM(D174:M174)</f>
        <v>0</v>
      </c>
    </row>
    <row r="175" spans="2:16" ht="15" customHeight="1">
      <c r="C175" s="1078" t="s">
        <v>101</v>
      </c>
      <c r="D175" s="1080">
        <f t="shared" si="56"/>
        <v>0</v>
      </c>
      <c r="E175" s="1080">
        <f t="shared" ref="E175:N175" si="60">E126+E142+E158</f>
        <v>0</v>
      </c>
      <c r="F175" s="1080">
        <f t="shared" si="60"/>
        <v>0</v>
      </c>
      <c r="G175" s="1080">
        <f t="shared" si="60"/>
        <v>0</v>
      </c>
      <c r="H175" s="1080">
        <f t="shared" si="60"/>
        <v>0</v>
      </c>
      <c r="I175" s="1080">
        <f t="shared" si="60"/>
        <v>0</v>
      </c>
      <c r="J175" s="1080">
        <f t="shared" si="60"/>
        <v>0</v>
      </c>
      <c r="K175" s="1080">
        <f t="shared" si="60"/>
        <v>0</v>
      </c>
      <c r="L175" s="1080">
        <f t="shared" si="60"/>
        <v>0</v>
      </c>
      <c r="M175" s="1080">
        <f t="shared" si="60"/>
        <v>0</v>
      </c>
      <c r="N175" s="1080">
        <f t="shared" si="60"/>
        <v>0</v>
      </c>
      <c r="P175" s="408"/>
    </row>
    <row r="176" spans="2:16" ht="15" customHeight="1">
      <c r="C176" s="2" t="s">
        <v>102</v>
      </c>
      <c r="D176" s="5">
        <f t="shared" si="56"/>
        <v>0</v>
      </c>
      <c r="E176" s="5">
        <f t="shared" ref="E176:N176" si="61">E127+E143+E159</f>
        <v>0</v>
      </c>
      <c r="F176" s="5">
        <f t="shared" si="61"/>
        <v>0</v>
      </c>
      <c r="G176" s="5">
        <f t="shared" si="61"/>
        <v>0</v>
      </c>
      <c r="H176" s="5">
        <f t="shared" si="61"/>
        <v>0</v>
      </c>
      <c r="I176" s="5">
        <f t="shared" si="61"/>
        <v>0</v>
      </c>
      <c r="J176" s="5">
        <f t="shared" si="61"/>
        <v>0</v>
      </c>
      <c r="K176" s="5">
        <f t="shared" si="61"/>
        <v>0</v>
      </c>
      <c r="L176" s="5">
        <f t="shared" si="61"/>
        <v>0</v>
      </c>
      <c r="M176" s="5">
        <f t="shared" si="61"/>
        <v>0</v>
      </c>
      <c r="N176" s="5">
        <f t="shared" si="61"/>
        <v>0</v>
      </c>
      <c r="P176" s="408"/>
    </row>
    <row r="177" spans="2:15" ht="15" customHeight="1">
      <c r="C177" s="2" t="s">
        <v>103</v>
      </c>
      <c r="D177" s="5">
        <f t="shared" si="56"/>
        <v>0</v>
      </c>
      <c r="E177" s="5">
        <f t="shared" ref="E177:N177" si="62">E128+E144+E160</f>
        <v>0</v>
      </c>
      <c r="F177" s="5">
        <f t="shared" si="62"/>
        <v>0</v>
      </c>
      <c r="G177" s="5">
        <f t="shared" si="62"/>
        <v>0</v>
      </c>
      <c r="H177" s="5">
        <f t="shared" si="62"/>
        <v>0</v>
      </c>
      <c r="I177" s="5">
        <f t="shared" si="62"/>
        <v>0</v>
      </c>
      <c r="J177" s="5">
        <f t="shared" si="62"/>
        <v>0</v>
      </c>
      <c r="K177" s="5">
        <f t="shared" si="62"/>
        <v>0</v>
      </c>
      <c r="L177" s="5">
        <f t="shared" si="62"/>
        <v>0</v>
      </c>
      <c r="M177" s="5">
        <f t="shared" si="62"/>
        <v>0</v>
      </c>
      <c r="N177" s="5">
        <f t="shared" si="62"/>
        <v>0</v>
      </c>
    </row>
    <row r="178" spans="2:15">
      <c r="C178" s="2" t="s">
        <v>104</v>
      </c>
      <c r="D178" s="5">
        <f t="shared" si="56"/>
        <v>0</v>
      </c>
      <c r="E178" s="5">
        <f t="shared" ref="E178:N178" si="63">E129+E145+E161</f>
        <v>0</v>
      </c>
      <c r="F178" s="5">
        <f t="shared" si="63"/>
        <v>0</v>
      </c>
      <c r="G178" s="5">
        <f t="shared" si="63"/>
        <v>0</v>
      </c>
      <c r="H178" s="5">
        <f t="shared" si="63"/>
        <v>0</v>
      </c>
      <c r="I178" s="5">
        <f t="shared" si="63"/>
        <v>0</v>
      </c>
      <c r="J178" s="5">
        <f t="shared" si="63"/>
        <v>0</v>
      </c>
      <c r="K178" s="5">
        <f t="shared" si="63"/>
        <v>0</v>
      </c>
      <c r="L178" s="5">
        <f t="shared" si="63"/>
        <v>0</v>
      </c>
      <c r="M178" s="5">
        <f t="shared" si="63"/>
        <v>0</v>
      </c>
      <c r="N178" s="5">
        <f t="shared" si="63"/>
        <v>0</v>
      </c>
    </row>
    <row r="179" spans="2:15" ht="15" customHeight="1">
      <c r="B179" s="223"/>
      <c r="C179" s="1074" t="s">
        <v>105</v>
      </c>
      <c r="D179" s="1077">
        <f t="shared" si="56"/>
        <v>0</v>
      </c>
      <c r="E179" s="1077">
        <f t="shared" ref="E179:N179" si="64">E130+E146+E162</f>
        <v>0</v>
      </c>
      <c r="F179" s="1077">
        <f t="shared" si="64"/>
        <v>0</v>
      </c>
      <c r="G179" s="1077">
        <f t="shared" si="64"/>
        <v>0</v>
      </c>
      <c r="H179" s="1077">
        <f t="shared" si="64"/>
        <v>0</v>
      </c>
      <c r="I179" s="1077">
        <f t="shared" si="64"/>
        <v>0</v>
      </c>
      <c r="J179" s="1077">
        <f t="shared" si="64"/>
        <v>0</v>
      </c>
      <c r="K179" s="1077">
        <f t="shared" si="64"/>
        <v>0</v>
      </c>
      <c r="L179" s="1077">
        <f t="shared" si="64"/>
        <v>0</v>
      </c>
      <c r="M179" s="1077">
        <f t="shared" si="64"/>
        <v>0</v>
      </c>
      <c r="N179" s="1077">
        <f t="shared" si="64"/>
        <v>0</v>
      </c>
    </row>
    <row r="180" spans="2:15" ht="19.5" customHeight="1">
      <c r="B180" s="223"/>
      <c r="C180" s="370" t="s">
        <v>901</v>
      </c>
      <c r="D180" s="5">
        <f t="shared" si="56"/>
        <v>0</v>
      </c>
      <c r="E180" s="5">
        <f t="shared" ref="E180:N180" si="65">E131+E147+E163</f>
        <v>0</v>
      </c>
      <c r="F180" s="5">
        <f t="shared" si="65"/>
        <v>0</v>
      </c>
      <c r="G180" s="5">
        <f t="shared" si="65"/>
        <v>0</v>
      </c>
      <c r="H180" s="5">
        <f t="shared" si="65"/>
        <v>0</v>
      </c>
      <c r="I180" s="5">
        <f t="shared" si="65"/>
        <v>0</v>
      </c>
      <c r="J180" s="5">
        <f t="shared" si="65"/>
        <v>0</v>
      </c>
      <c r="K180" s="5">
        <f t="shared" si="65"/>
        <v>0</v>
      </c>
      <c r="L180" s="5">
        <f t="shared" si="65"/>
        <v>0</v>
      </c>
      <c r="M180" s="5">
        <f>M131+M147+M163</f>
        <v>0</v>
      </c>
      <c r="N180" s="5">
        <f t="shared" si="65"/>
        <v>0</v>
      </c>
    </row>
    <row r="181" spans="2:15" ht="19.5" customHeight="1">
      <c r="B181" s="223"/>
      <c r="C181" s="370" t="s">
        <v>103</v>
      </c>
      <c r="D181" s="5">
        <f t="shared" si="56"/>
        <v>0</v>
      </c>
      <c r="E181" s="5">
        <f t="shared" ref="E181:N181" si="66">E132+E148+E164</f>
        <v>0</v>
      </c>
      <c r="F181" s="5">
        <f t="shared" si="66"/>
        <v>0</v>
      </c>
      <c r="G181" s="5">
        <f t="shared" si="66"/>
        <v>0</v>
      </c>
      <c r="H181" s="5">
        <f t="shared" si="66"/>
        <v>0</v>
      </c>
      <c r="I181" s="5">
        <f t="shared" si="66"/>
        <v>0</v>
      </c>
      <c r="J181" s="5">
        <f t="shared" si="66"/>
        <v>0</v>
      </c>
      <c r="K181" s="5">
        <f t="shared" si="66"/>
        <v>0</v>
      </c>
      <c r="L181" s="5">
        <f t="shared" si="66"/>
        <v>0</v>
      </c>
      <c r="M181" s="5">
        <f t="shared" si="66"/>
        <v>0</v>
      </c>
      <c r="N181" s="5">
        <f t="shared" si="66"/>
        <v>0</v>
      </c>
    </row>
    <row r="182" spans="2:15" ht="19.5" customHeight="1">
      <c r="B182" s="223"/>
      <c r="C182" s="370" t="s">
        <v>902</v>
      </c>
      <c r="D182" s="1077">
        <f t="shared" si="56"/>
        <v>0</v>
      </c>
      <c r="E182" s="1077">
        <f t="shared" ref="E182:N182" si="67">E133+E149+E165</f>
        <v>0</v>
      </c>
      <c r="F182" s="1077">
        <f t="shared" si="67"/>
        <v>0</v>
      </c>
      <c r="G182" s="1077">
        <f t="shared" si="67"/>
        <v>0</v>
      </c>
      <c r="H182" s="1077">
        <f t="shared" si="67"/>
        <v>0</v>
      </c>
      <c r="I182" s="1077">
        <f t="shared" si="67"/>
        <v>0</v>
      </c>
      <c r="J182" s="1077">
        <f t="shared" si="67"/>
        <v>0</v>
      </c>
      <c r="K182" s="1077">
        <f t="shared" si="67"/>
        <v>0</v>
      </c>
      <c r="L182" s="1077">
        <f t="shared" si="67"/>
        <v>0</v>
      </c>
      <c r="M182" s="1077">
        <f t="shared" si="67"/>
        <v>0</v>
      </c>
      <c r="N182" s="1077">
        <f t="shared" si="67"/>
        <v>0</v>
      </c>
    </row>
    <row r="183" spans="2:15" ht="18.75" customHeight="1">
      <c r="B183" s="223"/>
      <c r="C183" s="1671" t="s">
        <v>467</v>
      </c>
      <c r="D183" s="1077">
        <f t="shared" si="56"/>
        <v>0</v>
      </c>
      <c r="E183" s="1077">
        <f t="shared" ref="E183:N183" si="68">E134+E150+E166</f>
        <v>0</v>
      </c>
      <c r="F183" s="1077">
        <f t="shared" si="68"/>
        <v>0</v>
      </c>
      <c r="G183" s="1077">
        <f t="shared" si="68"/>
        <v>0</v>
      </c>
      <c r="H183" s="1077">
        <f t="shared" si="68"/>
        <v>0</v>
      </c>
      <c r="I183" s="1077">
        <f t="shared" si="68"/>
        <v>0</v>
      </c>
      <c r="J183" s="1077">
        <f t="shared" si="68"/>
        <v>0</v>
      </c>
      <c r="K183" s="1077">
        <f t="shared" si="68"/>
        <v>0</v>
      </c>
      <c r="L183" s="1077">
        <f t="shared" si="68"/>
        <v>0</v>
      </c>
      <c r="M183" s="1077">
        <f t="shared" si="68"/>
        <v>0</v>
      </c>
      <c r="N183" s="1077">
        <f t="shared" si="68"/>
        <v>0</v>
      </c>
    </row>
    <row r="185" spans="2:15">
      <c r="D185" s="1451" t="s">
        <v>440</v>
      </c>
      <c r="I185" t="s">
        <v>903</v>
      </c>
      <c r="K185" t="s">
        <v>904</v>
      </c>
    </row>
    <row r="186" spans="2:15">
      <c r="C186" s="1679"/>
      <c r="D186" s="1623" t="s">
        <v>905</v>
      </c>
      <c r="E186" s="1674" t="s">
        <v>96</v>
      </c>
      <c r="F186" s="2289">
        <f>'CALCULS Eau potable'!H159</f>
        <v>0</v>
      </c>
      <c r="G186" s="3779">
        <f>IF(E30=2,(ROUNDDOWN(AVERAGE(F186:F187),0)),(ROUNDDOWN(AVERAGE(F186:F188),0)))</f>
        <v>0</v>
      </c>
      <c r="I186" s="1682" t="s">
        <v>96</v>
      </c>
      <c r="J186" s="5">
        <f>D122</f>
        <v>0</v>
      </c>
      <c r="L186" s="1682" t="s">
        <v>901</v>
      </c>
      <c r="M186" s="5">
        <f>D172</f>
        <v>0</v>
      </c>
    </row>
    <row r="187" spans="2:15">
      <c r="C187" s="1680"/>
      <c r="D187" s="1677"/>
      <c r="E187" s="226" t="s">
        <v>97</v>
      </c>
      <c r="F187" s="1675">
        <f>'CALCULS Eaux usées'!H159</f>
        <v>0</v>
      </c>
      <c r="G187" s="3780"/>
      <c r="I187" s="1682" t="s">
        <v>97</v>
      </c>
      <c r="J187" s="5">
        <f>D138</f>
        <v>0</v>
      </c>
      <c r="L187" s="1682" t="s">
        <v>103</v>
      </c>
      <c r="M187" s="5">
        <f>D173</f>
        <v>0</v>
      </c>
      <c r="O187" s="10"/>
    </row>
    <row r="188" spans="2:15">
      <c r="C188" s="1681"/>
      <c r="D188" s="1678"/>
      <c r="E188" s="1676" t="s">
        <v>98</v>
      </c>
      <c r="F188" s="2004">
        <f>'CALCULS Eaux pluviales'!H159</f>
        <v>0</v>
      </c>
      <c r="G188" s="3781"/>
      <c r="I188" s="1682" t="s">
        <v>98</v>
      </c>
      <c r="J188" s="5">
        <f>D154</f>
        <v>0</v>
      </c>
      <c r="L188" s="1682" t="s">
        <v>902</v>
      </c>
      <c r="M188" s="5">
        <f>D174</f>
        <v>0</v>
      </c>
      <c r="O188" s="10"/>
    </row>
    <row r="189" spans="2:15">
      <c r="C189" s="1681"/>
      <c r="D189" s="2559" t="s">
        <v>906</v>
      </c>
      <c r="E189" s="1674" t="s">
        <v>96</v>
      </c>
      <c r="F189" s="2289">
        <f>'CALCULS Eau potable'!H161</f>
        <v>0</v>
      </c>
      <c r="G189" s="3779">
        <f>IF(E33=2,(ROUNDDOWN(AVERAGE(F189:F190),0)),(ROUNDDOWN(AVERAGE(F189:F191),0)))</f>
        <v>0</v>
      </c>
      <c r="I189" s="1682"/>
      <c r="O189" s="10"/>
    </row>
    <row r="190" spans="2:15">
      <c r="C190" s="1681"/>
      <c r="D190" s="1677"/>
      <c r="E190" s="226" t="s">
        <v>97</v>
      </c>
      <c r="F190" s="1675">
        <f>'CALCULS Eaux usées'!H161</f>
        <v>0</v>
      </c>
      <c r="G190" s="3780"/>
      <c r="J190" s="1682" t="s">
        <v>907</v>
      </c>
      <c r="O190" s="10"/>
    </row>
    <row r="191" spans="2:15">
      <c r="C191" s="1681"/>
      <c r="D191" s="1678"/>
      <c r="E191" s="1676" t="s">
        <v>98</v>
      </c>
      <c r="F191" s="2004">
        <f>'CALCULS Eaux pluviales'!H161</f>
        <v>0</v>
      </c>
      <c r="G191" s="3781"/>
      <c r="J191" s="5">
        <f>SUM(J186:J188)</f>
        <v>0</v>
      </c>
      <c r="K191" s="10"/>
      <c r="M191" s="5">
        <f>SUM(M186:M188)</f>
        <v>0</v>
      </c>
    </row>
    <row r="192" spans="2:15">
      <c r="C192" s="370"/>
      <c r="D192" s="372"/>
      <c r="E192" s="226"/>
      <c r="F192" s="1675"/>
      <c r="G192" s="1683"/>
      <c r="K192" s="10"/>
    </row>
    <row r="193" spans="1:16">
      <c r="C193" s="370"/>
      <c r="D193" s="2060" t="s">
        <v>868</v>
      </c>
      <c r="E193" s="226"/>
      <c r="F193" s="1675"/>
      <c r="G193" s="1683"/>
      <c r="K193" s="10"/>
    </row>
    <row r="194" spans="1:16">
      <c r="C194" s="370"/>
      <c r="D194" s="2061" t="s">
        <v>869</v>
      </c>
      <c r="E194" s="226"/>
      <c r="F194" s="1675"/>
      <c r="G194" s="1683"/>
      <c r="K194" s="10"/>
    </row>
    <row r="195" spans="1:16">
      <c r="C195" s="370"/>
      <c r="D195" s="10"/>
    </row>
    <row r="196" spans="1:16">
      <c r="C196" s="370"/>
      <c r="D196" s="10"/>
    </row>
    <row r="197" spans="1:16" ht="26.25" customHeight="1">
      <c r="B197" s="1581" t="s">
        <v>908</v>
      </c>
      <c r="C197" s="837"/>
      <c r="D197" s="837"/>
      <c r="E197" s="837"/>
      <c r="F197" s="837"/>
      <c r="G197" s="837"/>
      <c r="H197" s="837"/>
      <c r="I197" s="837"/>
      <c r="J197" s="837"/>
      <c r="K197" s="837"/>
      <c r="L197" s="837"/>
      <c r="M197" s="837"/>
      <c r="N197" s="837"/>
      <c r="O197" s="837"/>
      <c r="P197" s="837"/>
    </row>
    <row r="198" spans="1:16" ht="21">
      <c r="B198" s="223"/>
    </row>
    <row r="199" spans="1:16" s="28" customFormat="1" ht="26.25" customHeight="1">
      <c r="A199" s="55"/>
      <c r="B199" s="1344"/>
      <c r="C199" s="1345" t="s">
        <v>30</v>
      </c>
      <c r="I199" s="1345"/>
    </row>
    <row r="200" spans="1:16" s="28" customFormat="1" ht="22.5" customHeight="1">
      <c r="A200" s="55"/>
      <c r="B200" s="1344"/>
      <c r="C200" s="1344"/>
    </row>
    <row r="201" spans="1:16" s="28" customFormat="1" ht="15" customHeight="1">
      <c r="A201" s="55"/>
      <c r="J201" s="1057" t="s">
        <v>96</v>
      </c>
      <c r="K201" s="1057" t="s">
        <v>97</v>
      </c>
      <c r="L201" s="1057" t="s">
        <v>98</v>
      </c>
      <c r="M201" s="1097" t="s">
        <v>467</v>
      </c>
    </row>
    <row r="202" spans="1:16" s="28" customFormat="1" ht="15" customHeight="1">
      <c r="A202" s="55"/>
      <c r="C202" s="2685"/>
    </row>
    <row r="203" spans="1:16" s="28" customFormat="1" ht="20.25" customHeight="1">
      <c r="A203" s="55"/>
      <c r="C203" s="2685"/>
      <c r="F203" s="1300"/>
      <c r="H203" s="2694" t="s">
        <v>2287</v>
      </c>
    </row>
    <row r="204" spans="1:16" s="72" customFormat="1" ht="19.5" customHeight="1">
      <c r="A204" s="82"/>
      <c r="C204" s="2686"/>
      <c r="D204" s="2515"/>
      <c r="F204" s="2687"/>
      <c r="H204" s="2688" t="s">
        <v>31</v>
      </c>
      <c r="J204" s="1684">
        <f>'CALCULS Eau potable'!M236</f>
        <v>0</v>
      </c>
      <c r="K204" s="1684">
        <f>'CALCULS Eaux usées'!M236</f>
        <v>0</v>
      </c>
      <c r="L204" s="1684">
        <f>'CALCULS Eaux pluviales'!M236</f>
        <v>0</v>
      </c>
      <c r="M204" s="1391">
        <f t="shared" ref="M204:M211" si="69">SUM(J204:L204)</f>
        <v>0</v>
      </c>
      <c r="N204" s="1392" t="e">
        <f>M204/$L$215</f>
        <v>#DIV/0!</v>
      </c>
    </row>
    <row r="205" spans="1:16" s="72" customFormat="1" ht="19.5" customHeight="1">
      <c r="A205" s="82"/>
      <c r="C205" s="2689"/>
      <c r="D205" s="2515"/>
      <c r="F205" s="2519"/>
      <c r="H205" s="2688" t="s">
        <v>75</v>
      </c>
      <c r="J205" s="1684">
        <f>'CALCULS Eau potable'!M237</f>
        <v>0</v>
      </c>
      <c r="K205" s="1684">
        <f>'CALCULS Eaux usées'!M237</f>
        <v>0</v>
      </c>
      <c r="L205" s="1684">
        <f>'CALCULS Eaux pluviales'!M237</f>
        <v>0</v>
      </c>
      <c r="M205" s="1391">
        <f t="shared" si="69"/>
        <v>0</v>
      </c>
      <c r="N205" s="1392" t="e">
        <f>M205/$L$215</f>
        <v>#DIV/0!</v>
      </c>
    </row>
    <row r="206" spans="1:16" s="28" customFormat="1" ht="12" customHeight="1">
      <c r="A206" s="55"/>
      <c r="D206" s="614"/>
      <c r="F206" s="1370"/>
      <c r="H206" s="2690"/>
      <c r="J206" s="1685"/>
      <c r="K206" s="1685"/>
      <c r="L206" s="1685"/>
      <c r="M206" s="1391"/>
      <c r="N206" s="1392"/>
    </row>
    <row r="207" spans="1:16" s="28" customFormat="1" ht="20.25" customHeight="1">
      <c r="A207" s="55"/>
      <c r="C207" s="2685"/>
      <c r="F207" s="1370"/>
      <c r="H207" s="2694" t="s">
        <v>48</v>
      </c>
      <c r="J207" s="1685"/>
      <c r="K207" s="1685"/>
      <c r="L207" s="1685"/>
      <c r="M207" s="1391"/>
      <c r="N207" s="1392"/>
    </row>
    <row r="208" spans="1:16" s="28" customFormat="1" ht="19.5" customHeight="1">
      <c r="A208" s="55"/>
      <c r="C208" s="2691"/>
      <c r="D208" s="2515"/>
      <c r="F208" s="1370"/>
      <c r="H208" s="2688" t="s">
        <v>76</v>
      </c>
      <c r="J208" s="1685">
        <f>'CALCULS Eau potable'!M240</f>
        <v>0</v>
      </c>
      <c r="K208" s="1685">
        <f>'CALCULS Eaux usées'!M240</f>
        <v>0</v>
      </c>
      <c r="L208" s="1685">
        <f>'CALCULS Eaux pluviales'!M240</f>
        <v>0</v>
      </c>
      <c r="M208" s="1391">
        <f t="shared" si="69"/>
        <v>0</v>
      </c>
      <c r="N208" s="1392" t="e">
        <f>M208/$L$215</f>
        <v>#DIV/0!</v>
      </c>
    </row>
    <row r="209" spans="1:16" s="28" customFormat="1" ht="12" customHeight="1">
      <c r="A209" s="55"/>
      <c r="D209" s="614"/>
      <c r="F209" s="1370"/>
      <c r="H209" s="2690"/>
      <c r="J209" s="1685"/>
      <c r="K209" s="1685"/>
      <c r="L209" s="1685"/>
      <c r="M209" s="1391"/>
      <c r="N209" s="1392"/>
    </row>
    <row r="210" spans="1:16" s="28" customFormat="1" ht="20.25" customHeight="1">
      <c r="A210" s="55"/>
      <c r="C210" s="2685"/>
      <c r="F210" s="1370"/>
      <c r="H210" s="2694" t="s">
        <v>49</v>
      </c>
      <c r="J210" s="1685"/>
      <c r="K210" s="1685"/>
      <c r="L210" s="1685"/>
      <c r="M210" s="1391"/>
      <c r="N210" s="1392"/>
    </row>
    <row r="211" spans="1:16" s="28" customFormat="1" ht="19.5" customHeight="1">
      <c r="A211" s="55"/>
      <c r="C211" s="2692"/>
      <c r="H211" s="2688" t="s">
        <v>77</v>
      </c>
      <c r="J211" s="1685">
        <f>'CALCULS Eau potable'!M243</f>
        <v>0</v>
      </c>
      <c r="K211" s="1685">
        <f>'CALCULS Eaux usées'!M243</f>
        <v>0</v>
      </c>
      <c r="L211" s="1685">
        <f>'CALCULS Eaux pluviales'!M243</f>
        <v>0</v>
      </c>
      <c r="M211" s="1391">
        <f t="shared" si="69"/>
        <v>0</v>
      </c>
      <c r="N211" s="1392" t="e">
        <f>M211/$L$215</f>
        <v>#DIV/0!</v>
      </c>
    </row>
    <row r="212" spans="1:16" s="28" customFormat="1" ht="19.5" customHeight="1">
      <c r="A212" s="55"/>
      <c r="C212" s="2693"/>
      <c r="H212" s="2690" t="s">
        <v>78</v>
      </c>
      <c r="J212" s="1685">
        <f>'CALCULS Eau potable'!M244</f>
        <v>0</v>
      </c>
      <c r="K212" s="1685">
        <f>'CALCULS Eaux usées'!M244</f>
        <v>0</v>
      </c>
      <c r="L212" s="1685">
        <f>'CALCULS Eaux pluviales'!M244</f>
        <v>0</v>
      </c>
      <c r="M212" s="1391">
        <f>SUM(J212:L212)</f>
        <v>0</v>
      </c>
      <c r="N212" s="1392" t="e">
        <f>M212/$L$215</f>
        <v>#DIV/0!</v>
      </c>
      <c r="O212" s="1686" t="e">
        <f>SUM(N204:N212)</f>
        <v>#DIV/0!</v>
      </c>
    </row>
    <row r="213" spans="1:16" s="28" customFormat="1" ht="15" customHeight="1">
      <c r="A213" s="55"/>
      <c r="E213" s="1396"/>
      <c r="F213" s="1370"/>
      <c r="H213" s="2688" t="s">
        <v>909</v>
      </c>
    </row>
    <row r="214" spans="1:16" s="28" customFormat="1" ht="17.25" customHeight="1">
      <c r="A214" s="55"/>
      <c r="E214" s="1396"/>
      <c r="F214" s="1370"/>
      <c r="M214" s="1391"/>
    </row>
    <row r="215" spans="1:16" s="28" customFormat="1" ht="26.25" customHeight="1">
      <c r="A215" s="55"/>
      <c r="D215" s="1688"/>
      <c r="F215" s="1395"/>
      <c r="G215" s="1396"/>
      <c r="H215" s="1370"/>
      <c r="L215" s="3559">
        <f>SUM(M204:M212)</f>
        <v>0</v>
      </c>
      <c r="M215" s="3559"/>
      <c r="N215" s="3559"/>
    </row>
    <row r="216" spans="1:16" s="28" customFormat="1" ht="12.75" customHeight="1">
      <c r="A216" s="55"/>
      <c r="D216" s="1688"/>
      <c r="F216" s="1395"/>
      <c r="G216" s="1396"/>
      <c r="H216" s="1370"/>
      <c r="L216" s="1672"/>
      <c r="M216" s="1672"/>
      <c r="N216" s="1672"/>
    </row>
    <row r="217" spans="1:16" s="28" customFormat="1" ht="19.5" customHeight="1">
      <c r="A217" s="55"/>
      <c r="D217" s="1688"/>
      <c r="F217" s="1395"/>
      <c r="G217" s="1396"/>
      <c r="H217" s="1370"/>
      <c r="J217" s="1689" t="s">
        <v>33</v>
      </c>
      <c r="K217" s="1364"/>
      <c r="L217" s="1690"/>
      <c r="M217" s="1691"/>
      <c r="N217" s="1687"/>
    </row>
    <row r="218" spans="1:16" s="28" customFormat="1" ht="19.5" customHeight="1">
      <c r="A218" s="55"/>
      <c r="D218" s="1688"/>
      <c r="F218" s="1395"/>
      <c r="G218" s="1396"/>
      <c r="H218" s="1370"/>
      <c r="J218" s="1692" t="s">
        <v>96</v>
      </c>
      <c r="K218" s="1693" t="s">
        <v>97</v>
      </c>
      <c r="L218" s="1693" t="s">
        <v>98</v>
      </c>
      <c r="M218" s="1324" t="s">
        <v>910</v>
      </c>
      <c r="N218" s="2219" t="s">
        <v>868</v>
      </c>
    </row>
    <row r="219" spans="1:16" s="28" customFormat="1" ht="19.5" customHeight="1">
      <c r="A219" s="55"/>
      <c r="D219" s="1688"/>
      <c r="F219" s="1395"/>
      <c r="G219" s="1396"/>
      <c r="H219" s="1370"/>
      <c r="J219" s="1696">
        <f>'CALCULS Eau potable'!D248</f>
        <v>0</v>
      </c>
      <c r="K219" s="1697">
        <f>'CALCULS Eaux usées'!D248</f>
        <v>0</v>
      </c>
      <c r="L219" s="1694">
        <f>'CALCULS Eaux pluviales'!D248</f>
        <v>0</v>
      </c>
      <c r="M219" s="1695">
        <f>IF(E30=2,(ROUNDDOWN(AVERAGE(J219:K219),0)),(ROUNDDOWN(AVERAGE(J219:L219),0)))</f>
        <v>0</v>
      </c>
      <c r="N219" s="2220" t="s">
        <v>869</v>
      </c>
    </row>
    <row r="220" spans="1:16" s="28" customFormat="1" ht="14.25" customHeight="1">
      <c r="A220" s="55"/>
      <c r="D220" s="903"/>
      <c r="E220" s="1396"/>
      <c r="F220" s="1396"/>
      <c r="G220" s="1396"/>
      <c r="H220" s="1370"/>
    </row>
    <row r="221" spans="1:16" s="28" customFormat="1" ht="19.5" customHeight="1">
      <c r="A221" s="55"/>
    </row>
    <row r="222" spans="1:16" s="28" customFormat="1" ht="17.25" customHeight="1">
      <c r="A222" s="55"/>
      <c r="F222" s="1395"/>
      <c r="G222" s="1396"/>
      <c r="H222" s="1370"/>
    </row>
    <row r="223" spans="1:16" s="28" customFormat="1" ht="28.5" customHeight="1">
      <c r="A223" s="55"/>
      <c r="C223" s="1395"/>
      <c r="D223" s="1397"/>
      <c r="E223" s="1346"/>
      <c r="F223" s="2005"/>
      <c r="G223" s="1398" t="s">
        <v>31</v>
      </c>
      <c r="H223" s="1399"/>
      <c r="I223" s="1346"/>
      <c r="J223" s="2005"/>
      <c r="K223" s="2005" t="s">
        <v>32</v>
      </c>
      <c r="L223" s="2695"/>
      <c r="M223" s="3764" t="s">
        <v>470</v>
      </c>
      <c r="N223" s="3762" t="s">
        <v>471</v>
      </c>
      <c r="O223" s="1401"/>
      <c r="P223" s="1401"/>
    </row>
    <row r="224" spans="1:16" s="28" customFormat="1" ht="21" customHeight="1">
      <c r="A224" s="55"/>
      <c r="C224" s="509"/>
      <c r="D224" s="2025" t="s">
        <v>96</v>
      </c>
      <c r="E224" s="2026" t="s">
        <v>97</v>
      </c>
      <c r="F224" s="2026" t="s">
        <v>98</v>
      </c>
      <c r="G224" s="2027" t="s">
        <v>911</v>
      </c>
      <c r="H224" s="2025" t="s">
        <v>96</v>
      </c>
      <c r="I224" s="2026" t="s">
        <v>97</v>
      </c>
      <c r="J224" s="2026" t="s">
        <v>98</v>
      </c>
      <c r="K224" s="2025" t="s">
        <v>911</v>
      </c>
      <c r="L224" s="104"/>
      <c r="M224" s="3765"/>
      <c r="N224" s="3763"/>
    </row>
    <row r="225" spans="1:17" s="28" customFormat="1" ht="38.25" customHeight="1">
      <c r="A225" s="55"/>
      <c r="B225" s="1262"/>
      <c r="C225" s="2028" t="s">
        <v>72</v>
      </c>
      <c r="D225" s="1406">
        <f>'CALCULS Eau potable'!H253</f>
        <v>0</v>
      </c>
      <c r="E225" s="1407">
        <f>'CALCULS Eaux usées'!H253</f>
        <v>0</v>
      </c>
      <c r="F225" s="1407">
        <f>'CALCULS Eaux pluviales'!H253</f>
        <v>0</v>
      </c>
      <c r="G225" s="2018">
        <f>SUM(D225:F225)</f>
        <v>0</v>
      </c>
      <c r="H225" s="1406">
        <f>'CALCULS Eau potable'!K253</f>
        <v>0</v>
      </c>
      <c r="I225" s="1407">
        <f>'CALCULS Eaux usées'!K253</f>
        <v>0</v>
      </c>
      <c r="J225" s="1407">
        <f>'CALCULS Eaux pluviales'!K253</f>
        <v>0</v>
      </c>
      <c r="K225" s="1406">
        <f>SUM(H225:J225)</f>
        <v>0</v>
      </c>
      <c r="L225" s="2696"/>
      <c r="M225" s="2698">
        <f>IF(ISERR(G225),0,G225)</f>
        <v>0</v>
      </c>
      <c r="N225" s="2699">
        <f>IF(ISERR(K225),0,K225)</f>
        <v>0</v>
      </c>
      <c r="Q225" s="1410"/>
    </row>
    <row r="226" spans="1:17" s="28" customFormat="1" ht="9" customHeight="1">
      <c r="A226" s="55"/>
      <c r="B226" s="1262"/>
      <c r="C226" s="2029"/>
      <c r="D226" s="1284"/>
      <c r="E226" s="509"/>
      <c r="F226" s="509"/>
      <c r="G226" s="1295"/>
      <c r="H226" s="1284"/>
      <c r="I226" s="509"/>
      <c r="J226" s="509"/>
      <c r="K226" s="1284"/>
      <c r="L226" s="2697"/>
      <c r="M226" s="2700"/>
      <c r="N226" s="2701"/>
    </row>
    <row r="227" spans="1:17" s="28" customFormat="1" ht="38.25" customHeight="1">
      <c r="A227" s="55"/>
      <c r="B227" s="1262"/>
      <c r="C227" s="2028" t="s">
        <v>73</v>
      </c>
      <c r="D227" s="1406">
        <f>'CALCULS Eau potable'!H255</f>
        <v>0</v>
      </c>
      <c r="E227" s="1407">
        <f>'CALCULS Eaux usées'!H255</f>
        <v>0</v>
      </c>
      <c r="F227" s="1407">
        <f>'CALCULS Eaux pluviales'!H255</f>
        <v>0</v>
      </c>
      <c r="G227" s="2018">
        <f>SUM(D227:F227)</f>
        <v>0</v>
      </c>
      <c r="H227" s="1406">
        <f>'CALCULS Eau potable'!K255</f>
        <v>0</v>
      </c>
      <c r="I227" s="1407">
        <f>'CALCULS Eaux usées'!K255</f>
        <v>0</v>
      </c>
      <c r="J227" s="1407">
        <f>'CALCULS Eaux pluviales'!K255</f>
        <v>0</v>
      </c>
      <c r="K227" s="1406">
        <f>SUM(H227:J227)</f>
        <v>0</v>
      </c>
      <c r="L227" s="2696"/>
      <c r="M227" s="2698">
        <f>IF(ISERR(G227),0,G227)</f>
        <v>0</v>
      </c>
      <c r="N227" s="2699">
        <f>IF(ISERR(K227),0,K227)</f>
        <v>0</v>
      </c>
    </row>
    <row r="228" spans="1:17" s="28" customFormat="1" ht="9" customHeight="1">
      <c r="A228" s="55"/>
      <c r="B228" s="1262"/>
      <c r="C228" s="2029"/>
      <c r="D228" s="1412"/>
      <c r="E228" s="1413"/>
      <c r="F228" s="1413"/>
      <c r="G228" s="2019"/>
      <c r="H228" s="1412"/>
      <c r="I228" s="1413"/>
      <c r="J228" s="1413"/>
      <c r="K228" s="1412"/>
      <c r="L228" s="2697"/>
      <c r="M228" s="2700"/>
      <c r="N228" s="2701"/>
    </row>
    <row r="229" spans="1:17" s="28" customFormat="1" ht="38.25" customHeight="1">
      <c r="A229" s="55"/>
      <c r="B229" s="1262"/>
      <c r="C229" s="2028" t="s">
        <v>74</v>
      </c>
      <c r="D229" s="1406">
        <f>'CALCULS Eau potable'!H257</f>
        <v>0</v>
      </c>
      <c r="E229" s="1407">
        <f>'CALCULS Eaux usées'!H257</f>
        <v>0</v>
      </c>
      <c r="F229" s="1407">
        <f>'CALCULS Eaux pluviales'!H257</f>
        <v>0</v>
      </c>
      <c r="G229" s="2018">
        <f>SUM(D229:F229)</f>
        <v>0</v>
      </c>
      <c r="H229" s="1406">
        <f>'CALCULS Eau potable'!K257</f>
        <v>0</v>
      </c>
      <c r="I229" s="1407">
        <f>'CALCULS Eaux usées'!K257</f>
        <v>0</v>
      </c>
      <c r="J229" s="1407">
        <f>'CALCULS Eaux pluviales'!K257</f>
        <v>0</v>
      </c>
      <c r="K229" s="1406">
        <f>SUM(H229:J229)</f>
        <v>0</v>
      </c>
      <c r="L229" s="2696"/>
      <c r="M229" s="2702">
        <f>IF(ISERR(G229),0,G229)</f>
        <v>0</v>
      </c>
      <c r="N229" s="2703">
        <f>IF(ISERR(K229),0,K229)</f>
        <v>0</v>
      </c>
      <c r="Q229" s="1410"/>
    </row>
    <row r="230" spans="1:17" s="28" customFormat="1" ht="9" customHeight="1">
      <c r="A230" s="55"/>
      <c r="B230" s="1262"/>
      <c r="C230" s="2029"/>
      <c r="D230" s="1415"/>
      <c r="E230" s="1416"/>
      <c r="F230" s="1416"/>
      <c r="G230" s="2020"/>
      <c r="H230" s="1412"/>
      <c r="I230" s="1416"/>
      <c r="J230" s="1413"/>
      <c r="K230" s="1412"/>
      <c r="L230" s="104"/>
      <c r="M230" s="1284"/>
      <c r="N230" s="1326"/>
    </row>
    <row r="231" spans="1:17" s="28" customFormat="1" ht="17.25" customHeight="1">
      <c r="A231" s="55"/>
      <c r="F231" s="1396"/>
      <c r="G231" s="1396"/>
      <c r="H231" s="1370"/>
    </row>
    <row r="232" spans="1:17" s="28" customFormat="1" ht="23.25" customHeight="1">
      <c r="A232" s="55"/>
      <c r="C232" s="1262"/>
      <c r="D232" s="1404"/>
      <c r="E232" s="1346"/>
      <c r="F232" s="2009"/>
      <c r="G232" s="2021" t="s">
        <v>33</v>
      </c>
      <c r="H232" s="1370"/>
    </row>
    <row r="233" spans="1:17" s="28" customFormat="1" ht="23.25" customHeight="1">
      <c r="A233" s="55"/>
      <c r="C233" s="1326"/>
      <c r="D233" s="2032" t="s">
        <v>96</v>
      </c>
      <c r="E233" s="2030" t="s">
        <v>97</v>
      </c>
      <c r="F233" s="2030" t="s">
        <v>98</v>
      </c>
      <c r="G233" s="2033" t="s">
        <v>414</v>
      </c>
      <c r="H233" s="1370"/>
    </row>
    <row r="234" spans="1:17" s="28" customFormat="1" ht="23.25" customHeight="1">
      <c r="A234" s="55"/>
      <c r="B234" s="1262"/>
      <c r="C234" s="2030" t="s">
        <v>72</v>
      </c>
      <c r="D234" s="2010">
        <f>'CALCULS Eau potable'!M253</f>
        <v>0</v>
      </c>
      <c r="E234" s="2011">
        <f>'CALCULS Eaux usées'!M253</f>
        <v>0</v>
      </c>
      <c r="F234" s="2012">
        <f>'CALCULS Eaux pluviales'!M253</f>
        <v>0</v>
      </c>
      <c r="G234" s="2022">
        <f>IF(E30=2,(ROUNDDOWN(AVERAGE(D234:E234),0)),(ROUNDDOWN(AVERAGE(D234:F234),0)))</f>
        <v>0</v>
      </c>
      <c r="H234" s="1370"/>
      <c r="I234" s="2219" t="s">
        <v>868</v>
      </c>
    </row>
    <row r="235" spans="1:17" s="28" customFormat="1" ht="23.25" customHeight="1">
      <c r="A235" s="55"/>
      <c r="B235" s="1262"/>
      <c r="C235" s="2028" t="s">
        <v>73</v>
      </c>
      <c r="D235" s="2013">
        <f>'CALCULS Eau potable'!M255</f>
        <v>0</v>
      </c>
      <c r="E235" s="2014">
        <f>'CALCULS Eaux usées'!M255</f>
        <v>0</v>
      </c>
      <c r="F235" s="2015">
        <f>'CALCULS Eaux pluviales'!M255</f>
        <v>0</v>
      </c>
      <c r="G235" s="2023">
        <f>IF(E30=2,(ROUNDDOWN(AVERAGE(D235:E235),0)),(ROUNDDOWN(AVERAGE(D235:F235),0)))</f>
        <v>0</v>
      </c>
      <c r="H235" s="1370"/>
      <c r="I235" s="2220" t="s">
        <v>869</v>
      </c>
    </row>
    <row r="236" spans="1:17" s="28" customFormat="1" ht="23.25" customHeight="1">
      <c r="A236" s="55"/>
      <c r="B236" s="1262"/>
      <c r="C236" s="2031" t="s">
        <v>74</v>
      </c>
      <c r="D236" s="2016">
        <f>'CALCULS Eau potable'!M257</f>
        <v>0</v>
      </c>
      <c r="E236" s="2017">
        <f>'CALCULS Eaux usées'!M257</f>
        <v>0</v>
      </c>
      <c r="F236" s="2017">
        <f>'CALCULS Eaux pluviales'!M257</f>
        <v>0</v>
      </c>
      <c r="G236" s="2024">
        <f>IF(E30=2,(ROUNDDOWN(AVERAGE(D236:E236),0)),(ROUNDDOWN(AVERAGE(D236:F236),0)))</f>
        <v>0</v>
      </c>
    </row>
    <row r="237" spans="1:17" ht="23.25" customHeight="1">
      <c r="C237" s="370"/>
      <c r="D237" s="10"/>
    </row>
    <row r="238" spans="1:17">
      <c r="C238" s="370"/>
      <c r="D238" s="10"/>
    </row>
    <row r="239" spans="1:17" ht="26.25" customHeight="1">
      <c r="B239" s="1581" t="s">
        <v>912</v>
      </c>
      <c r="C239" s="837"/>
      <c r="D239" s="837"/>
      <c r="E239" s="837"/>
      <c r="F239" s="837"/>
      <c r="G239" s="837"/>
      <c r="H239" s="837"/>
      <c r="I239" s="837"/>
      <c r="J239" s="837"/>
      <c r="K239" s="837"/>
      <c r="L239" s="837"/>
      <c r="M239" s="837"/>
      <c r="N239" s="837"/>
      <c r="O239" s="837"/>
      <c r="P239" s="837"/>
    </row>
    <row r="240" spans="1:17" ht="21">
      <c r="B240" s="224"/>
      <c r="C240" s="1451"/>
    </row>
    <row r="241" spans="2:15" ht="22.5" customHeight="1">
      <c r="C241" s="224" t="s">
        <v>913</v>
      </c>
    </row>
    <row r="242" spans="2:15" ht="17.25" customHeight="1">
      <c r="C242" s="224"/>
    </row>
    <row r="243" spans="2:15" ht="24" customHeight="1">
      <c r="B243" s="224"/>
      <c r="C243" s="1121"/>
      <c r="D243" s="1121"/>
      <c r="E243" s="1121"/>
      <c r="F243" s="1121"/>
      <c r="G243" s="2208" t="s">
        <v>914</v>
      </c>
      <c r="J243" s="1121"/>
      <c r="K243" s="1121"/>
      <c r="L243" s="1121"/>
      <c r="M243" s="1121"/>
      <c r="N243" s="2208" t="s">
        <v>915</v>
      </c>
    </row>
    <row r="244" spans="2:15" ht="9.75" customHeight="1">
      <c r="I244" s="217"/>
    </row>
    <row r="245" spans="2:15" ht="18" customHeight="1">
      <c r="C245" s="2209"/>
      <c r="D245" s="10"/>
      <c r="E245" s="2210" t="s">
        <v>417</v>
      </c>
      <c r="F245" s="2210" t="s">
        <v>106</v>
      </c>
      <c r="G245" s="2210" t="s">
        <v>414</v>
      </c>
      <c r="H245" s="10"/>
      <c r="I245" s="2211"/>
      <c r="J245" s="2209"/>
      <c r="K245" s="10"/>
      <c r="L245" s="2210" t="s">
        <v>417</v>
      </c>
      <c r="M245" s="2210" t="s">
        <v>106</v>
      </c>
      <c r="N245" s="2210" t="s">
        <v>414</v>
      </c>
      <c r="O245" s="2219"/>
    </row>
    <row r="246" spans="2:15" ht="18" customHeight="1">
      <c r="C246" s="2212" t="s">
        <v>916</v>
      </c>
      <c r="D246" s="2212" t="s">
        <v>917</v>
      </c>
      <c r="E246" s="2213">
        <f>'CALCULS Eau potable'!L339</f>
        <v>0</v>
      </c>
      <c r="F246" s="2213">
        <f>'CALCULS Eau potable'!L341</f>
        <v>0</v>
      </c>
      <c r="G246" s="2213">
        <f>'CALCULS Eau potable'!N343</f>
        <v>0</v>
      </c>
      <c r="H246" s="10"/>
      <c r="I246" s="10"/>
      <c r="J246" s="2212" t="s">
        <v>916</v>
      </c>
      <c r="K246" s="2212" t="s">
        <v>917</v>
      </c>
      <c r="L246" s="2213">
        <f>'CALCULS Eau potable'!L327</f>
        <v>0</v>
      </c>
      <c r="M246" s="2213">
        <f>'CALCULS Eau potable'!L329</f>
        <v>0</v>
      </c>
      <c r="N246" s="2213">
        <f>'CALCULS Eau potable'!N331</f>
        <v>0</v>
      </c>
      <c r="O246" s="2221"/>
    </row>
    <row r="247" spans="2:15" ht="18" customHeight="1">
      <c r="C247" s="2058"/>
      <c r="D247" s="2058" t="s">
        <v>95</v>
      </c>
      <c r="E247" s="2214" t="str">
        <f>'CALCULS Eau potable'!E343</f>
        <v/>
      </c>
      <c r="F247" s="2214" t="str">
        <f>'CALCULS Eau potable'!E344</f>
        <v/>
      </c>
      <c r="G247" s="2293" t="e">
        <f>'CALCULS Eau potable'!N344</f>
        <v>#DIV/0!</v>
      </c>
      <c r="H247" s="10"/>
      <c r="I247" s="10"/>
      <c r="J247" s="2058"/>
      <c r="K247" s="2058" t="s">
        <v>95</v>
      </c>
      <c r="L247" s="2214" t="str">
        <f>'CALCULS Eau potable'!E331</f>
        <v/>
      </c>
      <c r="M247" s="2214" t="str">
        <f>'CALCULS Eau potable'!E332</f>
        <v/>
      </c>
      <c r="N247" s="2293" t="e">
        <f>'CALCULS Eau potable'!N332</f>
        <v>#DIV/0!</v>
      </c>
    </row>
    <row r="248" spans="2:15" ht="10.5" customHeight="1">
      <c r="C248" s="2210"/>
      <c r="D248" s="2210"/>
      <c r="E248" s="2215"/>
      <c r="F248" s="2215"/>
      <c r="G248" s="2209"/>
      <c r="H248" s="10"/>
      <c r="I248" s="2216"/>
      <c r="J248" s="2210"/>
      <c r="K248" s="2210"/>
      <c r="L248" s="2215"/>
      <c r="M248" s="2215"/>
      <c r="N248" s="2209"/>
    </row>
    <row r="249" spans="2:15" ht="18" customHeight="1">
      <c r="C249" s="370"/>
      <c r="D249" s="370"/>
      <c r="E249" s="2210" t="s">
        <v>107</v>
      </c>
      <c r="F249" s="2210" t="s">
        <v>108</v>
      </c>
      <c r="G249" s="2210" t="s">
        <v>414</v>
      </c>
      <c r="H249" s="10"/>
      <c r="I249" s="2211"/>
      <c r="J249" s="370"/>
      <c r="K249" s="370"/>
      <c r="L249" s="2210" t="s">
        <v>107</v>
      </c>
      <c r="M249" s="2210" t="s">
        <v>108</v>
      </c>
      <c r="N249" s="2210" t="s">
        <v>414</v>
      </c>
    </row>
    <row r="250" spans="2:15" ht="18" customHeight="1">
      <c r="C250" s="2212" t="s">
        <v>918</v>
      </c>
      <c r="D250" s="2212" t="s">
        <v>917</v>
      </c>
      <c r="E250" s="2213">
        <f>'CALCULS Eaux usées'!L339</f>
        <v>0</v>
      </c>
      <c r="F250" s="2213">
        <f>'CALCULS Eaux usées'!L341</f>
        <v>0</v>
      </c>
      <c r="G250" s="2213">
        <f>'CALCULS Eaux usées'!N343</f>
        <v>0</v>
      </c>
      <c r="H250" s="2210"/>
      <c r="I250" s="10"/>
      <c r="J250" s="2212" t="s">
        <v>918</v>
      </c>
      <c r="K250" s="2212" t="s">
        <v>917</v>
      </c>
      <c r="L250" s="2213">
        <f>'CALCULS Eaux usées'!L327</f>
        <v>0</v>
      </c>
      <c r="M250" s="2213">
        <f>'CALCULS Eaux usées'!L329</f>
        <v>0</v>
      </c>
      <c r="N250" s="2213">
        <f>'CALCULS Eaux usées'!N331</f>
        <v>0</v>
      </c>
    </row>
    <row r="251" spans="2:15" ht="18" customHeight="1">
      <c r="C251" s="2058"/>
      <c r="D251" s="2058" t="s">
        <v>95</v>
      </c>
      <c r="E251" s="2214" t="str">
        <f>'CALCULS Eaux usées'!E343</f>
        <v/>
      </c>
      <c r="F251" s="2214" t="str">
        <f>'CALCULS Eaux usées'!E344</f>
        <v/>
      </c>
      <c r="G251" s="2293" t="e">
        <f>'CALCULS Eaux usées'!N344</f>
        <v>#DIV/0!</v>
      </c>
      <c r="H251" s="2210"/>
      <c r="I251" s="10"/>
      <c r="J251" s="2058"/>
      <c r="K251" s="2058" t="s">
        <v>95</v>
      </c>
      <c r="L251" s="2214" t="str">
        <f>'CALCULS Eaux usées'!E331</f>
        <v/>
      </c>
      <c r="M251" s="2214" t="str">
        <f>'CALCULS Eaux usées'!E332</f>
        <v/>
      </c>
      <c r="N251" s="2293" t="e">
        <f>'CALCULS Eaux usées'!N332</f>
        <v>#DIV/0!</v>
      </c>
    </row>
    <row r="252" spans="2:15" ht="18" customHeight="1">
      <c r="C252" s="2210" t="s">
        <v>919</v>
      </c>
      <c r="D252" s="2210" t="s">
        <v>917</v>
      </c>
      <c r="E252" s="2209">
        <f>'CALCULS Eaux pluviales'!L339</f>
        <v>0</v>
      </c>
      <c r="F252" s="2209">
        <f>'CALCULS Eaux pluviales'!L341</f>
        <v>0</v>
      </c>
      <c r="G252" s="2213">
        <f>'CALCULS Eaux pluviales'!N343</f>
        <v>0</v>
      </c>
      <c r="H252" s="2210"/>
      <c r="I252" s="2216"/>
      <c r="J252" s="2210" t="s">
        <v>919</v>
      </c>
      <c r="K252" s="2210" t="s">
        <v>917</v>
      </c>
      <c r="L252" s="2209">
        <f>'CALCULS Eaux pluviales'!L327</f>
        <v>0</v>
      </c>
      <c r="M252" s="2209">
        <f>'CALCULS Eaux pluviales'!L329</f>
        <v>0</v>
      </c>
      <c r="N252" s="2213">
        <f>'CALCULS Eaux pluviales'!N331</f>
        <v>0</v>
      </c>
    </row>
    <row r="253" spans="2:15" ht="18" customHeight="1">
      <c r="C253" s="2058"/>
      <c r="D253" s="2058" t="s">
        <v>95</v>
      </c>
      <c r="E253" s="2214" t="str">
        <f>'CALCULS Eaux pluviales'!E343</f>
        <v/>
      </c>
      <c r="F253" s="2214" t="str">
        <f>'CALCULS Eaux pluviales'!E344</f>
        <v/>
      </c>
      <c r="G253" s="2293" t="e">
        <f>'CALCULS Eaux pluviales'!N344</f>
        <v>#DIV/0!</v>
      </c>
      <c r="H253" s="2210"/>
      <c r="I253" s="2211"/>
      <c r="J253" s="2058"/>
      <c r="K253" s="2058" t="s">
        <v>95</v>
      </c>
      <c r="L253" s="2214" t="str">
        <f>'CALCULS Eaux pluviales'!E331</f>
        <v/>
      </c>
      <c r="M253" s="2214" t="str">
        <f>'CALCULS Eaux pluviales'!E332</f>
        <v/>
      </c>
      <c r="N253" s="2293" t="e">
        <f>'CALCULS Eaux pluviales'!N332</f>
        <v>#DIV/0!</v>
      </c>
    </row>
    <row r="254" spans="2:15">
      <c r="C254" s="1453"/>
      <c r="D254" s="4"/>
      <c r="E254" s="4"/>
      <c r="F254" s="4"/>
      <c r="G254" s="4"/>
      <c r="H254" s="4"/>
      <c r="I254" s="4"/>
      <c r="J254" s="4"/>
      <c r="K254" s="4"/>
      <c r="L254" s="4"/>
      <c r="M254" s="4"/>
      <c r="N254" s="4"/>
    </row>
    <row r="255" spans="2:15">
      <c r="C255" s="1453"/>
      <c r="D255" s="4"/>
      <c r="E255" s="4"/>
      <c r="F255" s="4"/>
      <c r="G255" s="4"/>
      <c r="H255" s="4"/>
      <c r="I255" s="4"/>
      <c r="J255" s="4"/>
      <c r="K255" s="4"/>
      <c r="L255" s="4"/>
      <c r="M255" s="4"/>
      <c r="N255" s="4"/>
    </row>
    <row r="256" spans="2:15" ht="24.75" customHeight="1">
      <c r="C256" s="1121"/>
      <c r="D256" s="1121"/>
      <c r="E256" s="1121"/>
      <c r="F256" s="1121"/>
      <c r="G256" s="2208" t="s">
        <v>920</v>
      </c>
      <c r="H256" s="4"/>
      <c r="I256" s="4"/>
      <c r="J256" s="4"/>
      <c r="K256" s="4"/>
      <c r="L256" s="4"/>
      <c r="M256" s="4"/>
      <c r="N256" s="4"/>
    </row>
    <row r="257" spans="1:14" ht="11.25" customHeight="1">
      <c r="C257" s="1453"/>
      <c r="D257" s="4"/>
      <c r="E257" s="4"/>
      <c r="F257" s="4"/>
      <c r="G257" s="4"/>
      <c r="H257" s="4"/>
      <c r="I257" s="4"/>
      <c r="J257" s="4"/>
      <c r="K257" s="4"/>
      <c r="L257" s="4"/>
      <c r="M257" s="4"/>
      <c r="N257" s="4"/>
    </row>
    <row r="258" spans="1:14">
      <c r="C258" s="1453"/>
      <c r="D258" s="2217" t="s">
        <v>440</v>
      </c>
      <c r="E258" s="2218"/>
      <c r="F258" s="2217" t="s">
        <v>921</v>
      </c>
      <c r="G258" s="2218"/>
      <c r="H258" s="4"/>
      <c r="I258" s="4"/>
      <c r="J258" s="4"/>
      <c r="K258" s="4"/>
      <c r="L258" s="4"/>
      <c r="M258" s="4"/>
      <c r="N258" s="4"/>
    </row>
    <row r="259" spans="1:14">
      <c r="C259" s="2036"/>
      <c r="D259" s="2037" t="s">
        <v>917</v>
      </c>
      <c r="E259" s="2038" t="s">
        <v>95</v>
      </c>
      <c r="F259" s="2037" t="s">
        <v>917</v>
      </c>
      <c r="G259" s="2038" t="s">
        <v>95</v>
      </c>
      <c r="H259" s="4"/>
      <c r="I259" s="4"/>
      <c r="J259" s="4"/>
      <c r="K259" s="4"/>
      <c r="L259" s="4"/>
      <c r="M259" s="4"/>
      <c r="N259" s="4"/>
    </row>
    <row r="260" spans="1:14">
      <c r="C260" s="2203" t="s">
        <v>96</v>
      </c>
      <c r="D260" s="2206">
        <f>G246</f>
        <v>0</v>
      </c>
      <c r="E260" s="2201" t="e">
        <f>G247</f>
        <v>#DIV/0!</v>
      </c>
      <c r="F260" s="2206">
        <f>N246</f>
        <v>0</v>
      </c>
      <c r="G260" s="2201" t="e">
        <f>N247</f>
        <v>#DIV/0!</v>
      </c>
      <c r="H260" s="4"/>
      <c r="I260" s="4"/>
      <c r="J260" s="4"/>
      <c r="K260" s="4"/>
      <c r="L260" s="4"/>
      <c r="M260" s="4"/>
      <c r="N260" s="4"/>
    </row>
    <row r="261" spans="1:14">
      <c r="C261" s="2204" t="s">
        <v>97</v>
      </c>
      <c r="D261" s="2206">
        <f>G250</f>
        <v>0</v>
      </c>
      <c r="E261" s="2201" t="e">
        <f>G251</f>
        <v>#DIV/0!</v>
      </c>
      <c r="F261" s="2206">
        <f>N250</f>
        <v>0</v>
      </c>
      <c r="G261" s="2201" t="e">
        <f>N251</f>
        <v>#DIV/0!</v>
      </c>
      <c r="H261" s="4"/>
      <c r="I261" s="4"/>
      <c r="J261" s="4"/>
      <c r="K261" s="4"/>
      <c r="L261" s="4"/>
      <c r="M261" s="4"/>
      <c r="N261" s="4"/>
    </row>
    <row r="262" spans="1:14">
      <c r="C262" s="2205" t="s">
        <v>98</v>
      </c>
      <c r="D262" s="2207">
        <f>G252</f>
        <v>0</v>
      </c>
      <c r="E262" s="2200" t="e">
        <f>G253</f>
        <v>#DIV/0!</v>
      </c>
      <c r="F262" s="2207">
        <f>N252</f>
        <v>0</v>
      </c>
      <c r="G262" s="2200" t="e">
        <f>N253</f>
        <v>#DIV/0!</v>
      </c>
      <c r="H262" s="4"/>
      <c r="I262" s="4"/>
      <c r="J262" s="4"/>
      <c r="K262" s="4"/>
      <c r="L262" s="4"/>
      <c r="M262" s="4"/>
      <c r="N262" s="4"/>
    </row>
    <row r="263" spans="1:14">
      <c r="C263" s="1682"/>
      <c r="D263" s="226"/>
      <c r="E263" s="226"/>
      <c r="F263" s="226"/>
      <c r="G263" s="226"/>
      <c r="H263" s="4"/>
      <c r="I263" s="4"/>
      <c r="J263" s="4"/>
      <c r="K263" s="4"/>
      <c r="L263" s="4"/>
      <c r="M263" s="4"/>
      <c r="N263" s="4"/>
    </row>
    <row r="264" spans="1:14">
      <c r="C264" s="1682"/>
      <c r="D264" s="226"/>
      <c r="E264" s="226"/>
      <c r="F264" s="226"/>
      <c r="G264" s="226"/>
      <c r="H264" s="4"/>
      <c r="I264" s="4"/>
      <c r="J264" s="4"/>
      <c r="K264" s="4"/>
      <c r="L264" s="4"/>
      <c r="M264" s="4"/>
      <c r="N264" s="4"/>
    </row>
    <row r="265" spans="1:14" s="3" customFormat="1" ht="21" customHeight="1">
      <c r="A265" s="589"/>
      <c r="C265" s="2040"/>
      <c r="D265" s="2041"/>
      <c r="E265" s="2041"/>
      <c r="F265" s="2045" t="s">
        <v>922</v>
      </c>
      <c r="G265" s="2039"/>
      <c r="H265" s="2041"/>
      <c r="I265" s="2041"/>
      <c r="J265" s="2041"/>
      <c r="K265" s="2041"/>
      <c r="L265" s="2045" t="s">
        <v>923</v>
      </c>
      <c r="M265" s="2039"/>
      <c r="N265" s="2039"/>
    </row>
    <row r="266" spans="1:14">
      <c r="D266" s="2043" t="s">
        <v>96</v>
      </c>
      <c r="E266" s="2043" t="s">
        <v>97</v>
      </c>
      <c r="F266" s="2043" t="s">
        <v>98</v>
      </c>
      <c r="G266" s="2043"/>
      <c r="H266" s="2043"/>
      <c r="I266" s="2044"/>
      <c r="J266" s="2043" t="s">
        <v>96</v>
      </c>
      <c r="K266" s="2043" t="s">
        <v>97</v>
      </c>
      <c r="L266" s="2043" t="s">
        <v>98</v>
      </c>
      <c r="M266" s="4"/>
      <c r="N266" s="4"/>
    </row>
    <row r="267" spans="1:14">
      <c r="B267">
        <v>5</v>
      </c>
      <c r="C267" s="407" t="s">
        <v>196</v>
      </c>
      <c r="D267" s="2042" t="str">
        <f>IF($D$260=$B267,"P","")</f>
        <v/>
      </c>
      <c r="E267" s="2042" t="str">
        <f>IF($D$261=$B267,"P","")</f>
        <v/>
      </c>
      <c r="F267" s="2042" t="str">
        <f>IF($D$262=$B267,"P","")</f>
        <v/>
      </c>
      <c r="G267" s="4"/>
      <c r="I267" s="407" t="s">
        <v>207</v>
      </c>
      <c r="J267" s="2042" t="str">
        <f>IF($F$260=$B267,"P","")</f>
        <v/>
      </c>
      <c r="K267" s="2042" t="str">
        <f>IF($F$261=$B267,"P","")</f>
        <v/>
      </c>
      <c r="L267" s="2042" t="str">
        <f>IF($F$262=$B267,"P","")</f>
        <v/>
      </c>
      <c r="M267" s="4"/>
      <c r="N267" s="4"/>
    </row>
    <row r="268" spans="1:14">
      <c r="B268">
        <v>4</v>
      </c>
      <c r="C268" s="407" t="s">
        <v>194</v>
      </c>
      <c r="D268" s="2042" t="str">
        <f>IF($D$260=$B268,"P","")</f>
        <v/>
      </c>
      <c r="E268" s="2042" t="str">
        <f>IF($D$261=$B268,"P","")</f>
        <v/>
      </c>
      <c r="F268" s="2042" t="str">
        <f>IF($D$262=$B268,"P","")</f>
        <v/>
      </c>
      <c r="G268" s="4"/>
      <c r="I268" s="407" t="s">
        <v>205</v>
      </c>
      <c r="J268" s="2042" t="str">
        <f>IF($F$260=$B268,"P","")</f>
        <v/>
      </c>
      <c r="K268" s="2042" t="str">
        <f>IF($F$261=$B268,"P","")</f>
        <v/>
      </c>
      <c r="L268" s="2042" t="str">
        <f>IF($F$262=$B268,"P","")</f>
        <v/>
      </c>
      <c r="M268" s="4"/>
      <c r="N268" s="4"/>
    </row>
    <row r="269" spans="1:14">
      <c r="B269">
        <v>3</v>
      </c>
      <c r="C269" s="407" t="s">
        <v>192</v>
      </c>
      <c r="D269" s="2042" t="str">
        <f>IF($D$260=$B269,"P","")</f>
        <v/>
      </c>
      <c r="E269" s="2042" t="str">
        <f>IF($D$261=$B269,"P","")</f>
        <v/>
      </c>
      <c r="F269" s="2042" t="str">
        <f>IF($D$262=$B269,"P","")</f>
        <v/>
      </c>
      <c r="G269" s="4"/>
      <c r="I269" s="407" t="s">
        <v>203</v>
      </c>
      <c r="J269" s="2042" t="str">
        <f>IF($F$260=$B269,"P","")</f>
        <v/>
      </c>
      <c r="K269" s="2042" t="str">
        <f>IF($F$261=$B269,"P","")</f>
        <v/>
      </c>
      <c r="L269" s="2042" t="str">
        <f>IF($F$262=$B269,"P","")</f>
        <v/>
      </c>
      <c r="M269" s="4"/>
      <c r="N269" s="4"/>
    </row>
    <row r="270" spans="1:14">
      <c r="B270">
        <v>2</v>
      </c>
      <c r="C270" s="407" t="s">
        <v>190</v>
      </c>
      <c r="D270" s="2042" t="str">
        <f>IF($D$260=$B270,"P","")</f>
        <v/>
      </c>
      <c r="E270" s="2042" t="str">
        <f>IF($D$261=$B270,"P","")</f>
        <v/>
      </c>
      <c r="F270" s="2042" t="str">
        <f>IF($D$262=$B270,"P","")</f>
        <v/>
      </c>
      <c r="G270" s="4"/>
      <c r="I270" s="407" t="s">
        <v>201</v>
      </c>
      <c r="J270" s="2042" t="str">
        <f>IF($F$260=$B270,"P","")</f>
        <v/>
      </c>
      <c r="K270" s="2042" t="str">
        <f>IF($F$261=$B270,"P","")</f>
        <v/>
      </c>
      <c r="L270" s="2042" t="str">
        <f>IF($F$262=$B270,"P","")</f>
        <v/>
      </c>
      <c r="M270" s="4"/>
      <c r="N270" s="4"/>
    </row>
    <row r="271" spans="1:14">
      <c r="B271">
        <v>1</v>
      </c>
      <c r="C271" s="407" t="s">
        <v>187</v>
      </c>
      <c r="D271" s="2042" t="str">
        <f>IF($D$260=$B271,"P","")</f>
        <v/>
      </c>
      <c r="E271" s="2042" t="str">
        <f>IF($D$261=$B271,"P","")</f>
        <v/>
      </c>
      <c r="F271" s="2042" t="str">
        <f>IF($D$262=$B271,"P","")</f>
        <v/>
      </c>
      <c r="G271" s="4"/>
      <c r="I271" s="407" t="s">
        <v>198</v>
      </c>
      <c r="J271" s="2042" t="str">
        <f>IF($F$260=$B271,"P","")</f>
        <v/>
      </c>
      <c r="K271" s="2042" t="str">
        <f>IF($F$261=$B271,"P","")</f>
        <v/>
      </c>
      <c r="L271" s="2042" t="str">
        <f>IF($F$262=$B271,"P","")</f>
        <v/>
      </c>
      <c r="M271" s="4"/>
      <c r="N271" s="4"/>
    </row>
    <row r="272" spans="1:14">
      <c r="C272" s="1453"/>
      <c r="D272" s="4"/>
      <c r="E272" s="4"/>
      <c r="F272" s="4"/>
      <c r="G272" s="4"/>
      <c r="H272" s="4"/>
      <c r="I272" s="4"/>
      <c r="J272" s="4"/>
      <c r="K272" s="4"/>
      <c r="L272" s="4"/>
      <c r="M272" s="4"/>
      <c r="N272" s="4"/>
    </row>
    <row r="273" spans="2:16">
      <c r="C273" s="1453"/>
      <c r="D273" s="4"/>
      <c r="E273" s="4"/>
      <c r="F273" s="4"/>
      <c r="G273" s="4"/>
      <c r="H273" s="4"/>
      <c r="I273" s="4"/>
      <c r="J273" s="4"/>
      <c r="K273" s="4"/>
      <c r="L273" s="4"/>
      <c r="M273" s="4"/>
      <c r="N273" s="4"/>
    </row>
    <row r="274" spans="2:16">
      <c r="C274" s="1453"/>
      <c r="D274" s="4"/>
      <c r="E274" s="4"/>
      <c r="F274" s="4"/>
      <c r="G274" s="4"/>
      <c r="H274" s="4"/>
      <c r="I274" s="4"/>
      <c r="J274" s="4"/>
      <c r="K274" s="4"/>
      <c r="L274" s="4"/>
      <c r="M274" s="4"/>
      <c r="N274" s="4"/>
    </row>
    <row r="275" spans="2:16" ht="26.25" customHeight="1">
      <c r="B275" s="1581" t="s">
        <v>924</v>
      </c>
      <c r="C275" s="837"/>
      <c r="D275" s="837"/>
      <c r="E275" s="837"/>
      <c r="F275" s="837"/>
      <c r="G275" s="837"/>
      <c r="H275" s="837"/>
      <c r="I275" s="837"/>
      <c r="J275" s="837"/>
      <c r="K275" s="837"/>
      <c r="L275" s="837"/>
      <c r="M275" s="837"/>
      <c r="N275" s="837"/>
      <c r="O275" s="837"/>
      <c r="P275" s="837"/>
    </row>
    <row r="276" spans="2:16" ht="21">
      <c r="B276" s="224"/>
      <c r="C276" s="1451"/>
    </row>
    <row r="277" spans="2:16" ht="13.5" customHeight="1">
      <c r="B277" s="224"/>
      <c r="C277" s="1323"/>
    </row>
    <row r="278" spans="2:16" ht="22.5" customHeight="1">
      <c r="C278" s="224" t="s">
        <v>925</v>
      </c>
    </row>
    <row r="279" spans="2:16" ht="15.75" customHeight="1">
      <c r="B279" s="224"/>
    </row>
    <row r="280" spans="2:16" ht="21">
      <c r="B280" s="224"/>
      <c r="C280" s="1327"/>
      <c r="D280" s="1121"/>
      <c r="E280" s="2006"/>
      <c r="F280" s="2006"/>
      <c r="G280" s="2035" t="s">
        <v>926</v>
      </c>
      <c r="I280" s="1121"/>
      <c r="J280" s="1123"/>
      <c r="K280" s="1075"/>
      <c r="L280" s="1075"/>
      <c r="M280" s="2035"/>
      <c r="N280" s="2035" t="s">
        <v>927</v>
      </c>
    </row>
    <row r="281" spans="2:16" ht="12" customHeight="1">
      <c r="B281" s="224"/>
      <c r="C281" s="2051"/>
      <c r="D281" s="217"/>
      <c r="E281" s="2052"/>
      <c r="F281" s="2052"/>
      <c r="G281" s="2053"/>
      <c r="K281" s="3777" t="s">
        <v>83</v>
      </c>
    </row>
    <row r="282" spans="2:16" ht="15.75" customHeight="1">
      <c r="B282" s="1453"/>
      <c r="C282" s="2034"/>
      <c r="D282" s="2059" t="s">
        <v>96</v>
      </c>
      <c r="E282" s="2059" t="s">
        <v>97</v>
      </c>
      <c r="F282" s="2059" t="s">
        <v>98</v>
      </c>
      <c r="G282" s="2059" t="s">
        <v>467</v>
      </c>
      <c r="I282" s="1453"/>
      <c r="J282" s="4"/>
      <c r="K282" s="3778"/>
      <c r="L282" s="1454"/>
      <c r="M282" s="2667" t="s">
        <v>928</v>
      </c>
      <c r="N282" s="2664"/>
      <c r="O282" s="2665"/>
    </row>
    <row r="283" spans="2:16">
      <c r="C283" s="370" t="s">
        <v>79</v>
      </c>
      <c r="D283" s="227">
        <f>'CALCULS Eau potable'!E268+'CALCULS Eau potable'!F268</f>
        <v>0</v>
      </c>
      <c r="E283" s="227">
        <f>'CALCULS Eaux usées'!E268+'CALCULS Eaux usées'!F268</f>
        <v>0</v>
      </c>
      <c r="F283" s="227">
        <f>'CALCULS Eaux pluviales'!E268+'CALCULS Eaux pluviales'!F268</f>
        <v>0</v>
      </c>
      <c r="G283" s="2197">
        <f>SUM(D283:F283)</f>
        <v>0</v>
      </c>
      <c r="I283" s="370" t="s">
        <v>441</v>
      </c>
      <c r="J283" s="227">
        <f>G283</f>
        <v>0</v>
      </c>
      <c r="K283" s="227">
        <v>0</v>
      </c>
      <c r="L283" s="5"/>
      <c r="M283" s="5">
        <f>D286</f>
        <v>0</v>
      </c>
      <c r="N283" s="2666" t="s">
        <v>96</v>
      </c>
      <c r="O283" s="2665"/>
    </row>
    <row r="284" spans="2:16">
      <c r="C284" s="370" t="s">
        <v>80</v>
      </c>
      <c r="D284" s="227">
        <f>'CALCULS Eau potable'!E269+'CALCULS Eau potable'!F269</f>
        <v>0</v>
      </c>
      <c r="E284" s="227">
        <f>'CALCULS Eaux usées'!E269+'CALCULS Eaux usées'!F269</f>
        <v>0</v>
      </c>
      <c r="F284" s="227">
        <f>'CALCULS Eaux pluviales'!E269+'CALCULS Eaux pluviales'!F269</f>
        <v>0</v>
      </c>
      <c r="G284" s="227">
        <f>SUM(D284:F284)</f>
        <v>0</v>
      </c>
      <c r="I284" s="370" t="s">
        <v>479</v>
      </c>
      <c r="J284" s="227">
        <f>G286</f>
        <v>0</v>
      </c>
      <c r="K284" s="227">
        <f>G287</f>
        <v>0</v>
      </c>
      <c r="L284" s="5"/>
      <c r="M284" s="5">
        <f>E286</f>
        <v>0</v>
      </c>
      <c r="N284" s="2666" t="s">
        <v>97</v>
      </c>
      <c r="O284" s="2665"/>
    </row>
    <row r="285" spans="2:16">
      <c r="C285" s="370" t="s">
        <v>81</v>
      </c>
      <c r="D285" s="227">
        <f>'CALCULS Eau potable'!E270+'CALCULS Eau potable'!F270</f>
        <v>0</v>
      </c>
      <c r="E285" s="227">
        <f>'CALCULS Eaux usées'!E270+'CALCULS Eaux usées'!F270</f>
        <v>0</v>
      </c>
      <c r="F285" s="227">
        <f>'CALCULS Eaux pluviales'!E270+'CALCULS Eaux pluviales'!F270</f>
        <v>0</v>
      </c>
      <c r="G285" s="227">
        <f>SUM(D285:F285)</f>
        <v>0</v>
      </c>
      <c r="L285" s="5"/>
      <c r="M285" s="5">
        <f>F286</f>
        <v>0</v>
      </c>
      <c r="N285" s="2666" t="s">
        <v>98</v>
      </c>
      <c r="O285" s="2665"/>
    </row>
    <row r="286" spans="2:16">
      <c r="C286" s="370" t="s">
        <v>82</v>
      </c>
      <c r="D286" s="227">
        <f>'CALCULS Eau potable'!E271+'CALCULS Eau potable'!F271</f>
        <v>0</v>
      </c>
      <c r="E286" s="227">
        <f>'CALCULS Eaux usées'!E271+'CALCULS Eaux usées'!F271</f>
        <v>0</v>
      </c>
      <c r="F286" s="227">
        <f>'CALCULS Eaux pluviales'!E271+'CALCULS Eaux pluviales'!F271</f>
        <v>0</v>
      </c>
      <c r="G286" s="227">
        <f>SUM(D286:F286)</f>
        <v>0</v>
      </c>
      <c r="L286" s="5"/>
      <c r="M286" s="5"/>
    </row>
    <row r="287" spans="2:16" ht="15.6">
      <c r="C287" s="2034" t="s">
        <v>83</v>
      </c>
      <c r="D287" s="1123">
        <f>'CALCULS Eau potable'!E272+'CALCULS Eau potable'!F272</f>
        <v>0</v>
      </c>
      <c r="E287" s="1123">
        <f>'CALCULS Eaux usées'!E272+'CALCULS Eaux usées'!F272</f>
        <v>0</v>
      </c>
      <c r="F287" s="1123">
        <f>'CALCULS Eaux pluviales'!E272+'CALCULS Eaux pluviales'!F272</f>
        <v>0</v>
      </c>
      <c r="G287" s="1123">
        <f>SUM(D287:F287)</f>
        <v>0</v>
      </c>
      <c r="L287" s="5"/>
      <c r="M287" s="2667" t="s">
        <v>929</v>
      </c>
      <c r="N287" s="2664"/>
      <c r="O287" s="2665"/>
    </row>
    <row r="288" spans="2:16">
      <c r="C288" s="370"/>
      <c r="D288" s="227"/>
      <c r="G288" s="5"/>
      <c r="L288" s="5"/>
      <c r="M288" s="5">
        <f>D287</f>
        <v>0</v>
      </c>
      <c r="N288" s="2666" t="s">
        <v>96</v>
      </c>
      <c r="O288" s="2665"/>
    </row>
    <row r="289" spans="1:15">
      <c r="C289" s="370"/>
      <c r="D289" s="227"/>
      <c r="G289" s="5"/>
      <c r="L289" s="5"/>
      <c r="M289" s="5">
        <f>E287</f>
        <v>0</v>
      </c>
      <c r="N289" s="2666" t="s">
        <v>97</v>
      </c>
      <c r="O289" s="2665"/>
    </row>
    <row r="290" spans="1:15">
      <c r="C290" s="370"/>
      <c r="D290" s="227"/>
      <c r="G290" s="5"/>
      <c r="L290" s="5"/>
      <c r="M290" s="5">
        <f>F287</f>
        <v>0</v>
      </c>
      <c r="N290" s="2666" t="s">
        <v>98</v>
      </c>
      <c r="O290" s="2665"/>
    </row>
    <row r="291" spans="1:15" ht="15.6">
      <c r="C291" s="370"/>
      <c r="D291" s="227"/>
      <c r="G291" s="5"/>
      <c r="N291" s="2668"/>
      <c r="O291" s="2665"/>
    </row>
    <row r="292" spans="1:15" ht="21.75" customHeight="1">
      <c r="C292" s="2046"/>
      <c r="D292" s="2046"/>
      <c r="E292" s="2047"/>
      <c r="F292" s="2048"/>
      <c r="G292" s="2035" t="s">
        <v>474</v>
      </c>
      <c r="H292" s="4"/>
      <c r="J292" s="2046"/>
      <c r="K292" s="2046"/>
      <c r="L292" s="2047"/>
      <c r="M292" s="2048"/>
      <c r="N292" s="2035" t="s">
        <v>33</v>
      </c>
    </row>
    <row r="293" spans="1:15" ht="14.25" customHeight="1">
      <c r="C293" s="2049"/>
      <c r="D293" s="2049"/>
      <c r="E293" s="614"/>
      <c r="F293" s="614"/>
      <c r="G293" s="614"/>
    </row>
    <row r="294" spans="1:15">
      <c r="B294" s="1453"/>
      <c r="C294" s="2049"/>
      <c r="D294" s="2049"/>
      <c r="E294" s="2054" t="s">
        <v>475</v>
      </c>
      <c r="F294" s="2055" t="e">
        <f>G286/G283</f>
        <v>#DIV/0!</v>
      </c>
      <c r="G294" s="2056" t="str">
        <f>IF(ISERR(F294)=TRUE,"",F294)</f>
        <v/>
      </c>
      <c r="I294" s="4"/>
      <c r="J294" s="4"/>
      <c r="K294" s="2058" t="s">
        <v>96</v>
      </c>
      <c r="L294" s="2058" t="s">
        <v>97</v>
      </c>
      <c r="M294" s="2058" t="s">
        <v>98</v>
      </c>
      <c r="N294" s="2058" t="s">
        <v>910</v>
      </c>
    </row>
    <row r="295" spans="1:15">
      <c r="C295" s="2050"/>
      <c r="D295" s="2050"/>
      <c r="E295" s="2054" t="s">
        <v>476</v>
      </c>
      <c r="F295" s="2055" t="e">
        <f>G285/G286</f>
        <v>#DIV/0!</v>
      </c>
      <c r="G295" s="2057" t="str">
        <f>IF(ISERR(F295)=TRUE,"",F295)</f>
        <v/>
      </c>
      <c r="I295" s="4"/>
      <c r="J295" s="227" t="s">
        <v>478</v>
      </c>
      <c r="K295" s="226">
        <f>'CALCULS Eau potable'!N276</f>
        <v>0</v>
      </c>
      <c r="L295" s="226">
        <f>'CALCULS Eaux usées'!N276</f>
        <v>0</v>
      </c>
      <c r="M295" s="226">
        <f>'CALCULS Eaux pluviales'!N276</f>
        <v>0</v>
      </c>
      <c r="N295" s="2062">
        <f>IF($E$30=2,(ROUNDDOWN(AVERAGE(K295:L295),0)),(ROUNDDOWN(AVERAGE(K295:M295),0)))</f>
        <v>0</v>
      </c>
      <c r="O295" s="2219" t="s">
        <v>868</v>
      </c>
    </row>
    <row r="296" spans="1:15">
      <c r="H296" s="4"/>
      <c r="I296" s="4"/>
      <c r="J296" s="227" t="s">
        <v>94</v>
      </c>
      <c r="K296" s="226">
        <f>'CALCULS Eau potable'!O276</f>
        <v>0</v>
      </c>
      <c r="L296" s="226">
        <f>'CALCULS Eaux usées'!O276</f>
        <v>0</v>
      </c>
      <c r="M296" s="226">
        <f>'CALCULS Eaux pluviales'!O276</f>
        <v>0</v>
      </c>
      <c r="N296" s="2063">
        <f>IF($E$30=2,(ROUNDDOWN(AVERAGE(K296:L296),0)),(ROUNDDOWN(AVERAGE(K296:M296),0)))</f>
        <v>0</v>
      </c>
      <c r="O296" s="2220" t="s">
        <v>869</v>
      </c>
    </row>
    <row r="297" spans="1:15">
      <c r="C297" s="1453"/>
      <c r="D297" s="2567"/>
      <c r="E297" s="4"/>
      <c r="F297" s="4"/>
      <c r="G297" s="4"/>
      <c r="H297" s="4"/>
      <c r="I297" s="4"/>
      <c r="J297" s="4"/>
      <c r="K297" s="4"/>
      <c r="L297" s="4"/>
      <c r="M297" s="4"/>
      <c r="N297" s="4"/>
    </row>
    <row r="298" spans="1:15" s="28" customFormat="1">
      <c r="A298" s="55"/>
      <c r="B298" s="2007"/>
      <c r="C298" s="2007"/>
      <c r="D298" s="2568"/>
      <c r="E298" s="2569"/>
      <c r="F298" s="2008"/>
      <c r="G298" s="367"/>
      <c r="H298" s="367"/>
      <c r="I298" s="367"/>
      <c r="J298" s="367"/>
      <c r="K298" s="367"/>
      <c r="L298" s="367"/>
      <c r="M298" s="367"/>
      <c r="N298" s="367"/>
      <c r="O298" s="367"/>
    </row>
    <row r="299" spans="1:15" ht="13.5" customHeight="1">
      <c r="B299" s="224"/>
      <c r="C299" s="1323"/>
    </row>
    <row r="300" spans="1:15" ht="22.5" customHeight="1">
      <c r="C300" s="224" t="s">
        <v>930</v>
      </c>
    </row>
    <row r="301" spans="1:15" ht="15.75" customHeight="1">
      <c r="B301" s="224"/>
    </row>
    <row r="302" spans="1:15" ht="21">
      <c r="B302" s="224"/>
      <c r="C302" s="1327"/>
      <c r="D302" s="1121"/>
      <c r="E302" s="2006"/>
      <c r="F302" s="2006"/>
      <c r="G302" s="2035" t="s">
        <v>926</v>
      </c>
      <c r="I302" s="1121"/>
      <c r="J302" s="1123"/>
      <c r="K302" s="1075"/>
      <c r="L302" s="1075"/>
      <c r="M302" s="2035"/>
      <c r="N302" s="2035" t="s">
        <v>927</v>
      </c>
    </row>
    <row r="303" spans="1:15" ht="12" customHeight="1">
      <c r="B303" s="224"/>
      <c r="C303" s="2051"/>
      <c r="D303" s="217"/>
      <c r="E303" s="2052"/>
      <c r="F303" s="2052"/>
      <c r="G303" s="2053"/>
      <c r="K303" s="3777" t="s">
        <v>83</v>
      </c>
    </row>
    <row r="304" spans="1:15" ht="15.75" customHeight="1">
      <c r="B304" s="1453"/>
      <c r="C304" s="2034"/>
      <c r="D304" s="2196" t="s">
        <v>96</v>
      </c>
      <c r="E304" s="2059" t="s">
        <v>97</v>
      </c>
      <c r="F304" s="2059" t="s">
        <v>98</v>
      </c>
      <c r="G304" s="2059" t="s">
        <v>467</v>
      </c>
      <c r="I304" s="1453"/>
      <c r="J304" s="4"/>
      <c r="K304" s="3778"/>
      <c r="L304" s="1454"/>
      <c r="M304" s="2667" t="s">
        <v>928</v>
      </c>
      <c r="O304" s="2665"/>
    </row>
    <row r="305" spans="2:15">
      <c r="C305" s="370" t="s">
        <v>79</v>
      </c>
      <c r="D305" s="2197">
        <f>'CALCULS Eau potable'!E286+'CALCULS Eau potable'!F286</f>
        <v>0</v>
      </c>
      <c r="E305" s="2197">
        <f>'CALCULS Eaux usées'!E286+'CALCULS Eaux usées'!F286</f>
        <v>0</v>
      </c>
      <c r="F305" s="2197">
        <f>'CALCULS Eaux pluviales'!E286+'CALCULS Eaux pluviales'!F286</f>
        <v>0</v>
      </c>
      <c r="G305" s="2197">
        <f t="shared" ref="G305:G310" si="70">SUM(D305:F305)</f>
        <v>0</v>
      </c>
      <c r="I305" s="370" t="s">
        <v>441</v>
      </c>
      <c r="J305" s="227">
        <f>G305</f>
        <v>0</v>
      </c>
      <c r="K305" s="227">
        <v>0</v>
      </c>
      <c r="L305" s="5"/>
      <c r="M305" s="5">
        <f>D309</f>
        <v>0</v>
      </c>
      <c r="N305" s="2666" t="s">
        <v>96</v>
      </c>
      <c r="O305" s="2665"/>
    </row>
    <row r="306" spans="2:15">
      <c r="C306" s="1320" t="s">
        <v>84</v>
      </c>
      <c r="D306" s="227">
        <f>'CALCULS Eau potable'!E287+'CALCULS Eau potable'!F287</f>
        <v>0</v>
      </c>
      <c r="E306" s="227">
        <f>'CALCULS Eaux usées'!E287+'CALCULS Eaux usées'!F287</f>
        <v>0</v>
      </c>
      <c r="F306" s="227">
        <f>'CALCULS Eaux pluviales'!E287+'CALCULS Eaux pluviales'!F287</f>
        <v>0</v>
      </c>
      <c r="G306" s="227">
        <f t="shared" si="70"/>
        <v>0</v>
      </c>
      <c r="I306" s="370" t="s">
        <v>479</v>
      </c>
      <c r="J306" s="227">
        <f>G309</f>
        <v>0</v>
      </c>
      <c r="K306" s="227">
        <f>G310</f>
        <v>0</v>
      </c>
      <c r="L306" s="5"/>
      <c r="M306" s="5">
        <f>E309</f>
        <v>0</v>
      </c>
      <c r="N306" s="2666" t="s">
        <v>97</v>
      </c>
      <c r="O306" s="2665"/>
    </row>
    <row r="307" spans="2:15">
      <c r="C307" s="1320" t="s">
        <v>85</v>
      </c>
      <c r="D307" s="227">
        <f>'CALCULS Eau potable'!E288+'CALCULS Eau potable'!F288</f>
        <v>0</v>
      </c>
      <c r="E307" s="227">
        <f>'CALCULS Eaux usées'!E288+'CALCULS Eaux usées'!F288</f>
        <v>0</v>
      </c>
      <c r="F307" s="227">
        <f>'CALCULS Eaux pluviales'!E288+'CALCULS Eaux pluviales'!F288</f>
        <v>0</v>
      </c>
      <c r="G307" s="227">
        <f t="shared" si="70"/>
        <v>0</v>
      </c>
      <c r="L307" s="5"/>
      <c r="M307" s="5">
        <f>F309</f>
        <v>0</v>
      </c>
      <c r="N307" s="2666" t="s">
        <v>98</v>
      </c>
      <c r="O307" s="2665"/>
    </row>
    <row r="308" spans="2:15">
      <c r="C308" s="1320" t="s">
        <v>86</v>
      </c>
      <c r="D308" s="227">
        <f>'CALCULS Eau potable'!E289+'CALCULS Eau potable'!F289</f>
        <v>0</v>
      </c>
      <c r="E308" s="227">
        <f>'CALCULS Eaux usées'!E289+'CALCULS Eaux usées'!F289</f>
        <v>0</v>
      </c>
      <c r="F308" s="227">
        <f>'CALCULS Eaux pluviales'!E289+'CALCULS Eaux pluviales'!F289</f>
        <v>0</v>
      </c>
      <c r="G308" s="227">
        <f t="shared" si="70"/>
        <v>0</v>
      </c>
      <c r="L308" s="5"/>
      <c r="M308" s="5"/>
    </row>
    <row r="309" spans="2:15" ht="15.6">
      <c r="C309" s="370" t="s">
        <v>82</v>
      </c>
      <c r="D309" s="227">
        <f>'CALCULS Eau potable'!E290+'CALCULS Eau potable'!F290</f>
        <v>0</v>
      </c>
      <c r="E309" s="227">
        <f>'CALCULS Eaux usées'!E290+'CALCULS Eaux usées'!F290</f>
        <v>0</v>
      </c>
      <c r="F309" s="227">
        <f>'CALCULS Eaux pluviales'!E290+'CALCULS Eaux pluviales'!F290</f>
        <v>0</v>
      </c>
      <c r="G309" s="227">
        <f t="shared" si="70"/>
        <v>0</v>
      </c>
      <c r="L309" s="5"/>
      <c r="M309" s="2667" t="s">
        <v>929</v>
      </c>
      <c r="N309" s="2664"/>
      <c r="O309" s="2665"/>
    </row>
    <row r="310" spans="2:15">
      <c r="C310" s="2034" t="s">
        <v>83</v>
      </c>
      <c r="D310" s="1123">
        <f>'CALCULS Eau potable'!E291+'CALCULS Eau potable'!F291</f>
        <v>0</v>
      </c>
      <c r="E310" s="1123">
        <f>'CALCULS Eaux usées'!E291+'CALCULS Eaux usées'!F291</f>
        <v>0</v>
      </c>
      <c r="F310" s="1123">
        <f>'CALCULS Eaux pluviales'!E291+'CALCULS Eaux pluviales'!F291</f>
        <v>0</v>
      </c>
      <c r="G310" s="1123">
        <f t="shared" si="70"/>
        <v>0</v>
      </c>
      <c r="L310" s="5"/>
      <c r="M310" s="5">
        <f>D310</f>
        <v>0</v>
      </c>
      <c r="N310" s="2666" t="s">
        <v>96</v>
      </c>
      <c r="O310" s="2665"/>
    </row>
    <row r="311" spans="2:15">
      <c r="C311" s="370"/>
      <c r="D311" s="227"/>
      <c r="G311" s="5"/>
      <c r="L311" s="5"/>
      <c r="M311" s="5">
        <f>E310</f>
        <v>0</v>
      </c>
      <c r="N311" s="2666" t="s">
        <v>97</v>
      </c>
      <c r="O311" s="2665"/>
    </row>
    <row r="312" spans="2:15">
      <c r="C312" s="370"/>
      <c r="D312" s="227"/>
      <c r="G312" s="5"/>
      <c r="L312" s="5"/>
      <c r="M312" s="5">
        <f>F310</f>
        <v>0</v>
      </c>
      <c r="N312" s="2666" t="s">
        <v>98</v>
      </c>
      <c r="O312" s="2665"/>
    </row>
    <row r="313" spans="2:15">
      <c r="C313" s="370"/>
      <c r="D313" s="227"/>
      <c r="G313" s="5"/>
    </row>
    <row r="314" spans="2:15" ht="21.75" customHeight="1">
      <c r="C314" s="2046"/>
      <c r="D314" s="2046"/>
      <c r="E314" s="2047"/>
      <c r="F314" s="2048"/>
      <c r="G314" s="2035" t="s">
        <v>474</v>
      </c>
      <c r="H314" s="4"/>
      <c r="J314" s="2046"/>
      <c r="K314" s="2046"/>
      <c r="L314" s="2047"/>
      <c r="M314" s="2048"/>
      <c r="N314" s="2035" t="s">
        <v>33</v>
      </c>
    </row>
    <row r="315" spans="2:15" ht="14.25" customHeight="1">
      <c r="C315" s="2049"/>
      <c r="D315" s="2049"/>
      <c r="E315" s="614"/>
      <c r="F315" s="614"/>
      <c r="G315" s="614"/>
    </row>
    <row r="316" spans="2:15" ht="18">
      <c r="B316" s="1453"/>
      <c r="C316" s="2049"/>
      <c r="D316" s="2049"/>
      <c r="E316" s="2054" t="s">
        <v>480</v>
      </c>
      <c r="F316" s="2055" t="e">
        <f>G309/G305</f>
        <v>#DIV/0!</v>
      </c>
      <c r="G316" s="2056" t="str">
        <f>IF(ISERR(F316)=TRUE,"",F316)</f>
        <v/>
      </c>
      <c r="H316" s="2663"/>
      <c r="I316" s="4"/>
      <c r="J316" s="4"/>
      <c r="K316" s="2058" t="s">
        <v>96</v>
      </c>
      <c r="L316" s="2058" t="s">
        <v>97</v>
      </c>
      <c r="M316" s="2058" t="s">
        <v>98</v>
      </c>
      <c r="N316" s="2058" t="s">
        <v>910</v>
      </c>
    </row>
    <row r="317" spans="2:15" ht="18">
      <c r="C317" s="2050"/>
      <c r="D317" s="2050"/>
      <c r="E317" s="2054" t="s">
        <v>481</v>
      </c>
      <c r="F317" s="2055" t="e">
        <f>G308/G309</f>
        <v>#DIV/0!</v>
      </c>
      <c r="G317" s="2057" t="str">
        <f>IF(ISERR(F317)=TRUE,"",F317)</f>
        <v/>
      </c>
      <c r="H317" s="2663"/>
      <c r="I317" s="4"/>
      <c r="J317" s="227" t="s">
        <v>478</v>
      </c>
      <c r="K317" s="226">
        <f>'CALCULS Eau potable'!N295</f>
        <v>0</v>
      </c>
      <c r="L317" s="226">
        <f>'CALCULS Eaux usées'!N295</f>
        <v>0</v>
      </c>
      <c r="M317" s="226">
        <f>'CALCULS Eaux pluviales'!N295</f>
        <v>0</v>
      </c>
      <c r="N317" s="2062">
        <f>IF($E$30=2,(ROUNDDOWN(AVERAGE(K317:L317),0)),(ROUNDDOWN(AVERAGE(K317:M317),0)))</f>
        <v>0</v>
      </c>
      <c r="O317" s="2219" t="s">
        <v>868</v>
      </c>
    </row>
    <row r="318" spans="2:15">
      <c r="H318" s="4"/>
      <c r="I318" s="4"/>
      <c r="J318" s="227" t="s">
        <v>94</v>
      </c>
      <c r="K318" s="226">
        <f>'CALCULS Eau potable'!O295</f>
        <v>0</v>
      </c>
      <c r="L318" s="226">
        <f>'CALCULS Eaux usées'!O295</f>
        <v>0</v>
      </c>
      <c r="M318" s="226">
        <f>'CALCULS Eaux pluviales'!O295</f>
        <v>0</v>
      </c>
      <c r="N318" s="2063">
        <f>IF($E$30=2,(ROUNDDOWN(AVERAGE(K318:L318),0)),(ROUNDDOWN(AVERAGE(K318:M318),0)))</f>
        <v>0</v>
      </c>
      <c r="O318" s="2220" t="s">
        <v>869</v>
      </c>
    </row>
    <row r="319" spans="2:15">
      <c r="C319" s="1453"/>
      <c r="D319" s="2567"/>
      <c r="E319" s="4"/>
      <c r="F319" s="4"/>
      <c r="G319" s="4"/>
      <c r="H319" s="4"/>
      <c r="I319" s="4"/>
      <c r="J319" s="4"/>
      <c r="K319" s="4"/>
      <c r="L319" s="4"/>
      <c r="M319" s="4"/>
      <c r="N319" s="4"/>
    </row>
    <row r="320" spans="2:15" ht="13.5" customHeight="1">
      <c r="B320" s="224"/>
      <c r="C320" s="1323"/>
    </row>
    <row r="321" spans="2:15" ht="22.5" customHeight="1">
      <c r="C321" s="224" t="s">
        <v>931</v>
      </c>
    </row>
    <row r="322" spans="2:15" ht="15.75" customHeight="1">
      <c r="B322" s="224"/>
    </row>
    <row r="323" spans="2:15" ht="21">
      <c r="B323" s="224"/>
      <c r="C323" s="1327"/>
      <c r="D323" s="1121"/>
      <c r="E323" s="2006"/>
      <c r="F323" s="2006"/>
      <c r="G323" s="2035" t="s">
        <v>926</v>
      </c>
      <c r="I323" s="1121"/>
      <c r="J323" s="1123"/>
      <c r="K323" s="1075"/>
      <c r="L323" s="1075"/>
      <c r="M323" s="2035"/>
      <c r="N323" s="2035" t="s">
        <v>927</v>
      </c>
    </row>
    <row r="324" spans="2:15" ht="12" customHeight="1">
      <c r="B324" s="224"/>
      <c r="C324" s="2051"/>
      <c r="D324" s="217"/>
      <c r="E324" s="2052"/>
      <c r="F324" s="2052"/>
      <c r="G324" s="2053"/>
      <c r="K324" s="3777" t="s">
        <v>83</v>
      </c>
    </row>
    <row r="325" spans="2:15" ht="15.75" customHeight="1">
      <c r="B325" s="1453"/>
      <c r="C325" s="2034"/>
      <c r="D325" s="2059" t="s">
        <v>96</v>
      </c>
      <c r="E325" s="2059" t="s">
        <v>97</v>
      </c>
      <c r="F325" s="2059" t="s">
        <v>98</v>
      </c>
      <c r="G325" s="2059" t="s">
        <v>467</v>
      </c>
      <c r="I325" s="1453"/>
      <c r="J325" s="4"/>
      <c r="K325" s="3778"/>
      <c r="L325" s="1454"/>
      <c r="M325" s="2667" t="s">
        <v>928</v>
      </c>
      <c r="N325" s="2664"/>
      <c r="O325" s="2665"/>
    </row>
    <row r="326" spans="2:15">
      <c r="C326" s="370" t="s">
        <v>79</v>
      </c>
      <c r="D326" s="2197">
        <f>'CALCULS Eau potable'!E306+'CALCULS Eau potable'!F306</f>
        <v>0</v>
      </c>
      <c r="E326" s="2197">
        <f>'CALCULS Eaux usées'!E306+'CALCULS Eaux usées'!F306</f>
        <v>0</v>
      </c>
      <c r="F326" s="2197">
        <f>'CALCULS Eaux pluviales'!E306+'CALCULS Eaux pluviales'!F306</f>
        <v>0</v>
      </c>
      <c r="G326" s="2197">
        <f>SUM(D326:F326)</f>
        <v>0</v>
      </c>
      <c r="I326" s="370" t="s">
        <v>441</v>
      </c>
      <c r="J326" s="227">
        <f>G326</f>
        <v>0</v>
      </c>
      <c r="K326" s="227">
        <v>0</v>
      </c>
      <c r="L326" s="5"/>
      <c r="M326" s="5">
        <f>D329</f>
        <v>0</v>
      </c>
      <c r="N326" s="2666" t="s">
        <v>96</v>
      </c>
      <c r="O326" s="2665"/>
    </row>
    <row r="327" spans="2:15">
      <c r="C327" s="1320" t="s">
        <v>85</v>
      </c>
      <c r="D327" s="227">
        <f>'CALCULS Eau potable'!E307+'CALCULS Eau potable'!F307</f>
        <v>0</v>
      </c>
      <c r="E327" s="227">
        <f>'CALCULS Eaux usées'!E307+'CALCULS Eaux usées'!F307</f>
        <v>0</v>
      </c>
      <c r="F327" s="227">
        <f>'CALCULS Eaux pluviales'!E307+'CALCULS Eaux pluviales'!F307</f>
        <v>0</v>
      </c>
      <c r="G327" s="227">
        <f>SUM(D327:F327)</f>
        <v>0</v>
      </c>
      <c r="I327" s="370" t="s">
        <v>479</v>
      </c>
      <c r="J327" s="227">
        <f>G329</f>
        <v>0</v>
      </c>
      <c r="K327" s="227">
        <f>G330</f>
        <v>0</v>
      </c>
      <c r="L327" s="5"/>
      <c r="M327" s="5">
        <f>E329</f>
        <v>0</v>
      </c>
      <c r="N327" s="2666" t="s">
        <v>97</v>
      </c>
      <c r="O327" s="2665"/>
    </row>
    <row r="328" spans="2:15">
      <c r="C328" s="1320" t="s">
        <v>86</v>
      </c>
      <c r="D328" s="227">
        <f>'CALCULS Eau potable'!E308+'CALCULS Eau potable'!F308</f>
        <v>0</v>
      </c>
      <c r="E328" s="227">
        <f>'CALCULS Eaux usées'!E308+'CALCULS Eaux usées'!F308</f>
        <v>0</v>
      </c>
      <c r="F328" s="227">
        <f>'CALCULS Eaux pluviales'!E308+'CALCULS Eaux pluviales'!F308</f>
        <v>0</v>
      </c>
      <c r="G328" s="227">
        <f>SUM(D328:F328)</f>
        <v>0</v>
      </c>
      <c r="L328" s="5"/>
      <c r="M328" s="5">
        <f>F329</f>
        <v>0</v>
      </c>
      <c r="N328" s="2666" t="s">
        <v>98</v>
      </c>
      <c r="O328" s="2665"/>
    </row>
    <row r="329" spans="2:15">
      <c r="C329" s="370" t="s">
        <v>82</v>
      </c>
      <c r="D329" s="227">
        <f>'CALCULS Eau potable'!E309+'CALCULS Eau potable'!F309</f>
        <v>0</v>
      </c>
      <c r="E329" s="227">
        <f>'CALCULS Eaux usées'!E309+'CALCULS Eaux usées'!F309</f>
        <v>0</v>
      </c>
      <c r="F329" s="227">
        <f>'CALCULS Eaux pluviales'!E309+'CALCULS Eaux pluviales'!F309</f>
        <v>0</v>
      </c>
      <c r="G329" s="227">
        <f>SUM(D329:F329)</f>
        <v>0</v>
      </c>
      <c r="L329" s="5"/>
      <c r="M329" s="5"/>
    </row>
    <row r="330" spans="2:15" ht="15.6">
      <c r="C330" s="2034" t="s">
        <v>83</v>
      </c>
      <c r="D330" s="1123">
        <f>'CALCULS Eau potable'!E310+'CALCULS Eau potable'!F310</f>
        <v>0</v>
      </c>
      <c r="E330" s="1123">
        <f>'CALCULS Eaux usées'!E310+'CALCULS Eaux usées'!F310</f>
        <v>0</v>
      </c>
      <c r="F330" s="1123">
        <f>'CALCULS Eaux pluviales'!E310+'CALCULS Eaux pluviales'!F310</f>
        <v>0</v>
      </c>
      <c r="G330" s="1123">
        <f>SUM(D330:F330)</f>
        <v>0</v>
      </c>
      <c r="L330" s="5"/>
      <c r="M330" s="2667" t="s">
        <v>929</v>
      </c>
      <c r="N330" s="2664"/>
      <c r="O330" s="2665"/>
    </row>
    <row r="331" spans="2:15">
      <c r="C331" s="370"/>
      <c r="D331" s="227"/>
      <c r="G331" s="5"/>
      <c r="L331" s="5"/>
      <c r="M331" s="5">
        <f>D330</f>
        <v>0</v>
      </c>
      <c r="N331" s="2666" t="s">
        <v>96</v>
      </c>
      <c r="O331" s="2665"/>
    </row>
    <row r="332" spans="2:15">
      <c r="C332" s="370"/>
      <c r="D332" s="227"/>
      <c r="G332" s="5"/>
      <c r="L332" s="5"/>
      <c r="M332" s="5">
        <f>E330</f>
        <v>0</v>
      </c>
      <c r="N332" s="2666" t="s">
        <v>97</v>
      </c>
      <c r="O332" s="2665"/>
    </row>
    <row r="333" spans="2:15">
      <c r="C333" s="370"/>
      <c r="D333" s="227"/>
      <c r="G333" s="5"/>
      <c r="L333" s="5"/>
      <c r="M333" s="5">
        <f>F330</f>
        <v>0</v>
      </c>
      <c r="N333" s="2666" t="s">
        <v>98</v>
      </c>
      <c r="O333" s="2665"/>
    </row>
    <row r="334" spans="2:15">
      <c r="C334" s="370"/>
      <c r="D334" s="227"/>
      <c r="G334" s="5"/>
    </row>
    <row r="335" spans="2:15" ht="21.75" customHeight="1">
      <c r="C335" s="2046"/>
      <c r="D335" s="2046"/>
      <c r="E335" s="2047"/>
      <c r="F335" s="2048"/>
      <c r="G335" s="2035" t="s">
        <v>474</v>
      </c>
      <c r="H335" s="4"/>
      <c r="J335" s="2046"/>
      <c r="K335" s="2046"/>
      <c r="L335" s="2047"/>
      <c r="M335" s="2048"/>
      <c r="N335" s="2035" t="s">
        <v>33</v>
      </c>
    </row>
    <row r="336" spans="2:15" ht="14.25" customHeight="1">
      <c r="C336" s="2049"/>
      <c r="D336" s="2049"/>
      <c r="E336" s="614"/>
      <c r="F336" s="614"/>
      <c r="G336" s="614"/>
    </row>
    <row r="337" spans="2:16" ht="18">
      <c r="B337" s="1453"/>
      <c r="C337" s="2049"/>
      <c r="D337" s="2049"/>
      <c r="E337" s="2054" t="s">
        <v>483</v>
      </c>
      <c r="F337" s="2055" t="e">
        <f>G329/G326</f>
        <v>#DIV/0!</v>
      </c>
      <c r="G337" s="2056" t="str">
        <f>IF(ISERR(F337)=TRUE,"",F337)</f>
        <v/>
      </c>
      <c r="H337" s="2663"/>
      <c r="I337" s="4"/>
      <c r="J337" s="4"/>
      <c r="K337" s="2058" t="s">
        <v>96</v>
      </c>
      <c r="L337" s="2058" t="s">
        <v>97</v>
      </c>
      <c r="M337" s="2058" t="s">
        <v>98</v>
      </c>
      <c r="N337" s="2058" t="s">
        <v>910</v>
      </c>
    </row>
    <row r="338" spans="2:16" ht="18">
      <c r="C338" s="2050"/>
      <c r="D338" s="2050"/>
      <c r="E338" s="2054" t="s">
        <v>484</v>
      </c>
      <c r="F338" s="2055" t="e">
        <f>G328/G329</f>
        <v>#DIV/0!</v>
      </c>
      <c r="G338" s="2057" t="str">
        <f>IF(ISERR(F338)=TRUE,"",F338)</f>
        <v/>
      </c>
      <c r="H338" s="2663"/>
      <c r="I338" s="4"/>
      <c r="J338" s="227" t="s">
        <v>478</v>
      </c>
      <c r="K338" s="226">
        <f>'CALCULS Eau potable'!N314</f>
        <v>0</v>
      </c>
      <c r="L338" s="226">
        <f>'CALCULS Eaux usées'!N314</f>
        <v>0</v>
      </c>
      <c r="M338" s="226">
        <f>'CALCULS Eaux pluviales'!N314</f>
        <v>0</v>
      </c>
      <c r="N338" s="2062">
        <f>IF($E$30=2,(ROUNDDOWN(AVERAGE(K338:L338),0)),(ROUNDDOWN(AVERAGE(K338:M338),0)))</f>
        <v>0</v>
      </c>
      <c r="O338" s="2219" t="s">
        <v>868</v>
      </c>
    </row>
    <row r="339" spans="2:16">
      <c r="H339" s="4"/>
      <c r="I339" s="4"/>
      <c r="J339" s="227" t="s">
        <v>94</v>
      </c>
      <c r="K339" s="226">
        <f>'CALCULS Eau potable'!O314</f>
        <v>0</v>
      </c>
      <c r="L339" s="226">
        <f>'CALCULS Eaux usées'!O314</f>
        <v>0</v>
      </c>
      <c r="M339" s="226">
        <f>'CALCULS Eaux pluviales'!O314</f>
        <v>0</v>
      </c>
      <c r="N339" s="2063">
        <f>IF($E$30=2,(ROUNDDOWN(AVERAGE(K339:L339),0)),(ROUNDDOWN(AVERAGE(K339:M339),0)))</f>
        <v>0</v>
      </c>
      <c r="O339" s="2220" t="s">
        <v>869</v>
      </c>
    </row>
    <row r="340" spans="2:16">
      <c r="C340" s="1453"/>
      <c r="D340" s="2567"/>
      <c r="E340" s="4"/>
      <c r="F340" s="4"/>
      <c r="G340" s="4"/>
      <c r="H340" s="4"/>
      <c r="I340" s="4"/>
      <c r="J340" s="4"/>
      <c r="K340" s="4"/>
      <c r="L340" s="4"/>
      <c r="M340" s="4"/>
      <c r="N340" s="4"/>
    </row>
    <row r="341" spans="2:16">
      <c r="C341" s="370"/>
      <c r="D341" s="10"/>
    </row>
    <row r="342" spans="2:16" ht="26.25" customHeight="1">
      <c r="B342" s="1581" t="s">
        <v>932</v>
      </c>
      <c r="C342" s="837"/>
      <c r="D342" s="837"/>
      <c r="E342" s="837"/>
      <c r="F342" s="837"/>
      <c r="G342" s="837"/>
      <c r="H342" s="837"/>
      <c r="I342" s="837"/>
      <c r="J342" s="837"/>
      <c r="K342" s="837"/>
      <c r="L342" s="837"/>
      <c r="M342" s="837"/>
      <c r="N342" s="837"/>
      <c r="O342" s="837"/>
      <c r="P342" s="837"/>
    </row>
    <row r="343" spans="2:16" ht="21">
      <c r="B343" s="224"/>
      <c r="C343" s="1451"/>
    </row>
    <row r="344" spans="2:16" ht="22.5" customHeight="1">
      <c r="C344" s="224" t="s">
        <v>933</v>
      </c>
    </row>
    <row r="345" spans="2:16" ht="15.75" customHeight="1">
      <c r="B345" s="224"/>
    </row>
    <row r="346" spans="2:16" ht="21">
      <c r="B346" s="224"/>
      <c r="C346" s="1327"/>
      <c r="D346" s="1121"/>
      <c r="E346" s="2006"/>
      <c r="F346" s="2006"/>
      <c r="G346" s="2035" t="s">
        <v>926</v>
      </c>
      <c r="I346" s="1121"/>
      <c r="J346" s="1123"/>
      <c r="K346" s="1075"/>
      <c r="L346" s="1075"/>
      <c r="M346" s="2035"/>
      <c r="N346" s="2035" t="s">
        <v>33</v>
      </c>
    </row>
    <row r="347" spans="2:16" ht="9" customHeight="1">
      <c r="B347" s="224"/>
      <c r="H347" s="1455"/>
    </row>
    <row r="348" spans="2:16">
      <c r="C348" s="1121"/>
      <c r="D348" s="2059" t="s">
        <v>96</v>
      </c>
      <c r="E348" s="2059" t="s">
        <v>97</v>
      </c>
      <c r="F348" s="2059" t="s">
        <v>98</v>
      </c>
      <c r="G348" s="2059" t="s">
        <v>934</v>
      </c>
      <c r="H348" s="4"/>
      <c r="I348" s="1075"/>
      <c r="J348" s="1075"/>
      <c r="K348" s="2058" t="s">
        <v>31</v>
      </c>
      <c r="L348" s="2058" t="s">
        <v>103</v>
      </c>
      <c r="M348" s="2058" t="s">
        <v>900</v>
      </c>
      <c r="N348" s="2058" t="s">
        <v>910</v>
      </c>
    </row>
    <row r="349" spans="2:16">
      <c r="C349" s="370" t="s">
        <v>79</v>
      </c>
      <c r="D349" s="2197">
        <f>D283+D305+D326</f>
        <v>0</v>
      </c>
      <c r="E349" s="2197">
        <f>E283+E305+E326</f>
        <v>0</v>
      </c>
      <c r="F349" s="2197">
        <f>F283+F305+F326</f>
        <v>0</v>
      </c>
      <c r="G349" s="2197">
        <f>G283+G305+G326</f>
        <v>0</v>
      </c>
      <c r="H349" s="4"/>
      <c r="I349" s="4" t="s">
        <v>96</v>
      </c>
      <c r="J349" s="227" t="s">
        <v>478</v>
      </c>
      <c r="K349" s="226">
        <f>K295</f>
        <v>0</v>
      </c>
      <c r="L349" s="226">
        <f>K317</f>
        <v>0</v>
      </c>
      <c r="M349" s="226">
        <f>K338</f>
        <v>0</v>
      </c>
      <c r="N349" s="2062">
        <f t="shared" ref="N349:N354" si="71">ROUNDDOWN(AVERAGE(K349:M349),0)</f>
        <v>0</v>
      </c>
    </row>
    <row r="350" spans="2:16">
      <c r="C350" s="1320" t="s">
        <v>85</v>
      </c>
      <c r="D350" s="227">
        <f t="shared" ref="D350:G353" si="72">D284+D307+D327</f>
        <v>0</v>
      </c>
      <c r="E350" s="227">
        <f t="shared" si="72"/>
        <v>0</v>
      </c>
      <c r="F350" s="227">
        <f t="shared" si="72"/>
        <v>0</v>
      </c>
      <c r="G350" s="227">
        <f t="shared" si="72"/>
        <v>0</v>
      </c>
      <c r="H350" s="4"/>
      <c r="I350" s="1075"/>
      <c r="J350" s="1123" t="s">
        <v>94</v>
      </c>
      <c r="K350" s="1676">
        <f>K296</f>
        <v>0</v>
      </c>
      <c r="L350" s="1676">
        <f>K318</f>
        <v>0</v>
      </c>
      <c r="M350" s="2200">
        <f>K339</f>
        <v>0</v>
      </c>
      <c r="N350" s="2063">
        <f t="shared" si="71"/>
        <v>0</v>
      </c>
    </row>
    <row r="351" spans="2:16">
      <c r="C351" s="1320" t="s">
        <v>86</v>
      </c>
      <c r="D351" s="227">
        <f t="shared" si="72"/>
        <v>0</v>
      </c>
      <c r="E351" s="227">
        <f t="shared" si="72"/>
        <v>0</v>
      </c>
      <c r="F351" s="227">
        <f t="shared" si="72"/>
        <v>0</v>
      </c>
      <c r="G351" s="227">
        <f t="shared" si="72"/>
        <v>0</v>
      </c>
      <c r="H351" s="4"/>
      <c r="I351" s="4" t="s">
        <v>97</v>
      </c>
      <c r="J351" s="227" t="s">
        <v>478</v>
      </c>
      <c r="K351" s="226">
        <f>L295</f>
        <v>0</v>
      </c>
      <c r="L351" s="226">
        <f>L317</f>
        <v>0</v>
      </c>
      <c r="M351" s="2201">
        <f>L338</f>
        <v>0</v>
      </c>
      <c r="N351" s="2199">
        <f t="shared" si="71"/>
        <v>0</v>
      </c>
    </row>
    <row r="352" spans="2:16">
      <c r="C352" s="370" t="s">
        <v>82</v>
      </c>
      <c r="D352" s="227">
        <f t="shared" si="72"/>
        <v>0</v>
      </c>
      <c r="E352" s="227">
        <f t="shared" si="72"/>
        <v>0</v>
      </c>
      <c r="F352" s="227">
        <f t="shared" si="72"/>
        <v>0</v>
      </c>
      <c r="G352" s="227">
        <f t="shared" si="72"/>
        <v>0</v>
      </c>
      <c r="H352" s="4"/>
      <c r="I352" s="1075"/>
      <c r="J352" s="1123" t="s">
        <v>94</v>
      </c>
      <c r="K352" s="1676">
        <f>L296</f>
        <v>0</v>
      </c>
      <c r="L352" s="1676">
        <f>L318</f>
        <v>0</v>
      </c>
      <c r="M352" s="2200">
        <f>L339</f>
        <v>0</v>
      </c>
      <c r="N352" s="2063">
        <f t="shared" si="71"/>
        <v>0</v>
      </c>
    </row>
    <row r="353" spans="2:16">
      <c r="C353" s="1320" t="s">
        <v>935</v>
      </c>
      <c r="D353" s="227">
        <f t="shared" si="72"/>
        <v>0</v>
      </c>
      <c r="E353" s="227">
        <f t="shared" si="72"/>
        <v>0</v>
      </c>
      <c r="F353" s="227">
        <f t="shared" si="72"/>
        <v>0</v>
      </c>
      <c r="G353" s="227">
        <f t="shared" si="72"/>
        <v>0</v>
      </c>
      <c r="H353" s="4"/>
      <c r="I353" s="4" t="s">
        <v>98</v>
      </c>
      <c r="J353" s="227" t="s">
        <v>478</v>
      </c>
      <c r="K353" s="226">
        <f>M295</f>
        <v>0</v>
      </c>
      <c r="L353" s="226">
        <f>M317</f>
        <v>0</v>
      </c>
      <c r="M353" s="226">
        <f>M338</f>
        <v>0</v>
      </c>
      <c r="N353" s="2199">
        <f t="shared" si="71"/>
        <v>0</v>
      </c>
    </row>
    <row r="354" spans="2:16">
      <c r="C354" s="2198" t="s">
        <v>936</v>
      </c>
      <c r="D354" s="227"/>
      <c r="E354" s="227"/>
      <c r="F354" s="227"/>
      <c r="G354" s="4"/>
      <c r="H354" s="4"/>
      <c r="I354" s="1075"/>
      <c r="J354" s="1123" t="s">
        <v>94</v>
      </c>
      <c r="K354" s="1676">
        <f>M296</f>
        <v>0</v>
      </c>
      <c r="L354" s="1676">
        <f>M318</f>
        <v>0</v>
      </c>
      <c r="M354" s="2200">
        <f>M339</f>
        <v>0</v>
      </c>
      <c r="N354" s="2063">
        <f t="shared" si="71"/>
        <v>0</v>
      </c>
    </row>
    <row r="355" spans="2:16">
      <c r="F355" s="407"/>
      <c r="G355" s="4"/>
      <c r="H355" s="4"/>
      <c r="I355" s="4"/>
      <c r="J355" s="4"/>
      <c r="K355" s="4"/>
      <c r="L355" s="226"/>
      <c r="M355" s="4"/>
      <c r="N355" s="4"/>
    </row>
    <row r="356" spans="2:16">
      <c r="F356" s="407"/>
      <c r="G356" s="4"/>
      <c r="H356" s="4"/>
      <c r="I356" s="4"/>
      <c r="J356" s="4"/>
      <c r="K356" s="4"/>
      <c r="L356" s="226"/>
      <c r="M356" s="4"/>
      <c r="N356" s="4"/>
    </row>
    <row r="357" spans="2:16" ht="15.6">
      <c r="F357" s="2222"/>
      <c r="G357" s="1075"/>
      <c r="H357" s="1075"/>
      <c r="I357" s="1121"/>
      <c r="J357" s="1123"/>
      <c r="K357" s="1075"/>
      <c r="L357" s="1075"/>
      <c r="M357" s="2035"/>
      <c r="N357" s="2035" t="s">
        <v>927</v>
      </c>
    </row>
    <row r="358" spans="2:16" ht="15.6">
      <c r="F358" s="407"/>
      <c r="G358" s="4"/>
      <c r="H358" s="4"/>
      <c r="J358" s="227"/>
      <c r="K358" s="4"/>
      <c r="L358" s="4"/>
      <c r="M358" s="2202"/>
      <c r="N358" s="2202"/>
    </row>
    <row r="359" spans="2:16" ht="15.6">
      <c r="F359" s="407"/>
      <c r="G359" s="4"/>
      <c r="H359" s="4"/>
      <c r="J359" s="227"/>
      <c r="K359" s="4"/>
      <c r="L359" s="4"/>
      <c r="M359" s="2202"/>
      <c r="N359" s="2202"/>
    </row>
    <row r="360" spans="2:16" ht="39" customHeight="1">
      <c r="G360" s="2587"/>
      <c r="H360" s="2588"/>
      <c r="I360" s="2589"/>
      <c r="J360" s="2595" t="s">
        <v>937</v>
      </c>
      <c r="K360" s="2596" t="s">
        <v>938</v>
      </c>
      <c r="L360" s="2597" t="s">
        <v>939</v>
      </c>
      <c r="M360" s="2595" t="s">
        <v>940</v>
      </c>
      <c r="N360" s="2598" t="s">
        <v>33</v>
      </c>
    </row>
    <row r="361" spans="2:16" ht="23.25" customHeight="1">
      <c r="G361" s="2590"/>
      <c r="H361" s="2590"/>
      <c r="I361" s="2591" t="s">
        <v>941</v>
      </c>
      <c r="J361" s="2599" t="str">
        <f>IF(ISERR(D352/D349)=TRUE,"",(D352/D349))</f>
        <v/>
      </c>
      <c r="K361" s="2600" t="str">
        <f>IF(ISERR(E352/E349)=TRUE,"",(E352/E349))</f>
        <v/>
      </c>
      <c r="L361" s="2601" t="str">
        <f>IF(ISERR(F352/F349)=TRUE,"",(F352/F349))</f>
        <v/>
      </c>
      <c r="M361" s="2599" t="str">
        <f>IF(ISERR(G352/G349)=TRUE,"",(G352/G349))</f>
        <v/>
      </c>
      <c r="N361" s="2602">
        <f>IF($E$30=2,(ROUNDDOWN(AVERAGE(N350,N352),0)),(ROUNDDOWN(AVERAGE(N350,N352,N354),0)))</f>
        <v>0</v>
      </c>
    </row>
    <row r="362" spans="2:16" ht="22.5" customHeight="1">
      <c r="G362" s="2592"/>
      <c r="H362" s="2593"/>
      <c r="I362" s="2594" t="s">
        <v>942</v>
      </c>
      <c r="J362" s="2603" t="str">
        <f>IF(ISERR(D351/D352)=TRUE,"",(D351/D352))</f>
        <v/>
      </c>
      <c r="K362" s="2604" t="str">
        <f>IF(ISERR(E351/E352)=TRUE,"",(E351/E352))</f>
        <v/>
      </c>
      <c r="L362" s="2605" t="str">
        <f>IF(ISERR(F351/F352)=TRUE,"",(F351/F352))</f>
        <v/>
      </c>
      <c r="M362" s="2603" t="str">
        <f>IF(ISERR(G351/G352)=TRUE,"",(G351/G352))</f>
        <v/>
      </c>
      <c r="N362" s="2606">
        <f>IF($E$30=2,(ROUNDDOWN(AVERAGE(N349,N351),0)),(ROUNDDOWN(AVERAGE(N349,N351,N353),0)))</f>
        <v>0</v>
      </c>
    </row>
    <row r="363" spans="2:16" ht="18" customHeight="1">
      <c r="G363" s="4"/>
      <c r="H363" s="4"/>
      <c r="I363" s="4"/>
      <c r="J363" s="4"/>
      <c r="K363" s="4"/>
      <c r="L363" s="4"/>
      <c r="M363" s="4"/>
      <c r="N363" s="2560"/>
    </row>
    <row r="364" spans="2:16">
      <c r="C364" s="1453"/>
      <c r="D364" s="4"/>
      <c r="E364" s="4"/>
      <c r="F364" s="4"/>
      <c r="G364" s="4"/>
      <c r="H364" s="4"/>
      <c r="I364" s="4"/>
      <c r="J364" s="4"/>
      <c r="K364" s="4"/>
      <c r="L364" s="4"/>
      <c r="M364" s="4"/>
      <c r="N364" s="4"/>
    </row>
    <row r="365" spans="2:16">
      <c r="C365" s="1453"/>
      <c r="D365" s="4"/>
      <c r="E365" s="4"/>
      <c r="F365" s="4"/>
      <c r="G365" s="4"/>
      <c r="H365" s="4"/>
      <c r="I365" s="4"/>
      <c r="J365" s="4"/>
      <c r="K365" s="4"/>
      <c r="L365" s="4"/>
      <c r="M365" s="4"/>
      <c r="N365" s="4"/>
    </row>
    <row r="366" spans="2:16" ht="26.25" customHeight="1">
      <c r="B366" s="1581" t="s">
        <v>943</v>
      </c>
      <c r="C366" s="837"/>
      <c r="D366" s="837"/>
      <c r="E366" s="837"/>
      <c r="F366" s="837"/>
      <c r="G366" s="837"/>
      <c r="H366" s="837"/>
      <c r="I366" s="837"/>
      <c r="J366" s="837"/>
      <c r="K366" s="837"/>
      <c r="L366" s="837"/>
      <c r="M366" s="837"/>
      <c r="N366" s="837"/>
      <c r="O366" s="837"/>
      <c r="P366" s="837"/>
    </row>
    <row r="367" spans="2:16" ht="21">
      <c r="B367" s="224"/>
      <c r="C367" s="1451"/>
    </row>
    <row r="368" spans="2:16" ht="21">
      <c r="B368" s="224"/>
      <c r="C368" s="1698" t="s">
        <v>406</v>
      </c>
    </row>
    <row r="369" spans="2:16" ht="63.75" customHeight="1">
      <c r="B369" s="224"/>
      <c r="C369" s="1701" t="s">
        <v>944</v>
      </c>
      <c r="D369" s="3776">
        <f>'FORMULAIRE PGA Eau potable'!C728</f>
        <v>0</v>
      </c>
      <c r="E369" s="3776"/>
      <c r="F369" s="3776"/>
      <c r="G369" s="3776"/>
      <c r="H369" s="3776"/>
      <c r="I369" s="3776"/>
      <c r="J369" s="3776"/>
      <c r="K369" s="3776"/>
      <c r="L369" s="3776"/>
      <c r="M369" s="3776"/>
      <c r="O369" s="2612" t="str">
        <f>IF(D369=0,"",CONCATENATE(C369," ",D369))</f>
        <v/>
      </c>
    </row>
    <row r="370" spans="2:16" ht="63.75" customHeight="1">
      <c r="B370" s="224"/>
      <c r="C370" s="1701" t="s">
        <v>945</v>
      </c>
      <c r="D370" s="3776">
        <f>'FORMULAIRE PGA Eaux usées'!C728</f>
        <v>0</v>
      </c>
      <c r="E370" s="3776"/>
      <c r="F370" s="3776"/>
      <c r="G370" s="3776"/>
      <c r="H370" s="3776"/>
      <c r="I370" s="3776"/>
      <c r="J370" s="3776"/>
      <c r="K370" s="3776"/>
      <c r="L370" s="3776"/>
      <c r="M370" s="3776"/>
      <c r="O370" s="2612" t="str">
        <f>IF(D370=0,"",CONCATENATE(C370," ",D370))</f>
        <v/>
      </c>
    </row>
    <row r="371" spans="2:16" ht="63.75" customHeight="1">
      <c r="C371" s="1701" t="s">
        <v>946</v>
      </c>
      <c r="D371" s="3776">
        <f>'FORMULAIRE PGA Eaux pluviales'!C728</f>
        <v>0</v>
      </c>
      <c r="E371" s="3776"/>
      <c r="F371" s="3776"/>
      <c r="G371" s="3776"/>
      <c r="H371" s="3776"/>
      <c r="I371" s="3776"/>
      <c r="J371" s="3776"/>
      <c r="K371" s="3776"/>
      <c r="L371" s="3776"/>
      <c r="M371" s="3776"/>
      <c r="N371" s="4"/>
      <c r="O371" s="2612" t="str">
        <f>IF(D372="",IF(D371=0,"",CONCATENATE(C371," ",D371)),D372)</f>
        <v/>
      </c>
    </row>
    <row r="372" spans="2:16" ht="31.5" customHeight="1">
      <c r="C372" s="1701" t="s">
        <v>947</v>
      </c>
      <c r="D372" s="3774" t="str">
        <f>G30</f>
        <v/>
      </c>
      <c r="E372" s="3775"/>
      <c r="F372" s="3775"/>
      <c r="G372" s="3775"/>
      <c r="H372" s="3775"/>
      <c r="I372" s="3775"/>
      <c r="J372" s="3775"/>
      <c r="K372" s="3775"/>
      <c r="L372" s="3775"/>
      <c r="M372" s="3775"/>
      <c r="N372" s="4"/>
    </row>
    <row r="373" spans="2:16" ht="15" customHeight="1">
      <c r="C373" s="1701"/>
      <c r="D373" s="1700"/>
      <c r="E373" s="1700"/>
      <c r="F373" s="1700"/>
      <c r="G373" s="1700"/>
      <c r="H373" s="1700"/>
      <c r="I373" s="1700"/>
      <c r="J373" s="1700"/>
      <c r="K373" s="1700"/>
      <c r="L373" s="1700"/>
      <c r="M373" s="1700"/>
      <c r="N373" s="4"/>
    </row>
    <row r="374" spans="2:16" ht="15" customHeight="1">
      <c r="C374" s="1699"/>
      <c r="D374" s="1700"/>
      <c r="E374" s="1700"/>
      <c r="F374" s="1700"/>
      <c r="G374" s="1700"/>
      <c r="H374" s="1700"/>
      <c r="I374" s="1700"/>
      <c r="J374" s="1700"/>
      <c r="K374" s="1700"/>
      <c r="L374" s="1700"/>
      <c r="M374" s="1700"/>
      <c r="N374" s="4"/>
    </row>
    <row r="375" spans="2:16" ht="15" customHeight="1">
      <c r="C375" s="2"/>
      <c r="D375" s="4"/>
      <c r="E375" s="4"/>
      <c r="F375" s="4"/>
      <c r="G375" s="4"/>
      <c r="H375" s="4"/>
      <c r="I375" s="4"/>
      <c r="J375" s="4"/>
      <c r="K375" s="4"/>
      <c r="L375" s="4"/>
      <c r="M375" s="4"/>
      <c r="N375" s="4"/>
    </row>
    <row r="376" spans="2:16" ht="26.25" customHeight="1">
      <c r="B376" s="1581" t="s">
        <v>948</v>
      </c>
      <c r="C376" s="837"/>
      <c r="D376" s="837"/>
      <c r="E376" s="837"/>
      <c r="F376" s="837"/>
      <c r="G376" s="837"/>
      <c r="H376" s="837"/>
      <c r="I376" s="837"/>
      <c r="J376" s="837"/>
      <c r="K376" s="837"/>
      <c r="L376" s="837"/>
      <c r="M376" s="837"/>
      <c r="N376" s="837"/>
      <c r="O376" s="837"/>
      <c r="P376" s="837"/>
    </row>
    <row r="377" spans="2:16" ht="21">
      <c r="B377" s="224"/>
      <c r="C377" s="1451"/>
    </row>
    <row r="378" spans="2:16" ht="28.5" customHeight="1">
      <c r="C378" s="2613" t="s">
        <v>949</v>
      </c>
      <c r="D378" s="4"/>
      <c r="E378" s="2614" t="s">
        <v>950</v>
      </c>
      <c r="F378" s="4"/>
      <c r="G378" s="4"/>
      <c r="H378" s="4"/>
      <c r="I378" s="2613" t="s">
        <v>951</v>
      </c>
      <c r="J378" s="4"/>
      <c r="K378" s="4"/>
      <c r="L378" s="2614" t="s">
        <v>952</v>
      </c>
      <c r="M378" s="4"/>
      <c r="N378" s="4"/>
      <c r="O378" s="2613" t="s">
        <v>953</v>
      </c>
    </row>
    <row r="379" spans="2:16" ht="12.75" customHeight="1">
      <c r="C379" s="2615" t="s">
        <v>954</v>
      </c>
      <c r="D379" s="4"/>
      <c r="E379" s="2616" t="s">
        <v>955</v>
      </c>
      <c r="F379" s="4"/>
      <c r="G379" s="4"/>
      <c r="H379" s="4"/>
      <c r="I379" s="1531" t="s">
        <v>956</v>
      </c>
      <c r="J379" s="4"/>
      <c r="K379" s="4"/>
      <c r="L379" s="2616" t="s">
        <v>957</v>
      </c>
      <c r="M379" s="4"/>
      <c r="N379" s="4"/>
      <c r="O379" s="2615" t="s">
        <v>958</v>
      </c>
    </row>
    <row r="380" spans="2:16" ht="12.75" customHeight="1">
      <c r="C380" s="2615" t="s">
        <v>959</v>
      </c>
      <c r="D380" s="4"/>
      <c r="E380" s="2616" t="s">
        <v>960</v>
      </c>
      <c r="F380" s="4"/>
      <c r="G380" s="4"/>
      <c r="H380" s="4"/>
      <c r="I380" s="2615" t="s">
        <v>961</v>
      </c>
      <c r="J380" s="4"/>
      <c r="K380" s="4"/>
      <c r="L380" s="2616" t="s">
        <v>962</v>
      </c>
      <c r="M380" s="4"/>
      <c r="N380" s="4"/>
    </row>
    <row r="381" spans="2:16" ht="12.75" customHeight="1">
      <c r="C381" s="2615" t="s">
        <v>963</v>
      </c>
      <c r="D381" s="4"/>
      <c r="E381" s="4"/>
      <c r="F381" s="4"/>
      <c r="G381" s="4"/>
      <c r="H381" s="4"/>
      <c r="I381" s="4"/>
      <c r="J381" s="4"/>
      <c r="K381" s="4"/>
      <c r="L381" s="2616" t="s">
        <v>964</v>
      </c>
      <c r="M381" s="4"/>
      <c r="N381" s="4"/>
    </row>
    <row r="382" spans="2:16">
      <c r="C382" s="1453"/>
      <c r="D382" s="4"/>
      <c r="E382" s="4"/>
      <c r="F382" s="4"/>
      <c r="G382" s="4"/>
      <c r="H382" s="4"/>
      <c r="I382" s="4"/>
      <c r="J382" s="4"/>
      <c r="K382" s="4"/>
      <c r="L382" s="4"/>
      <c r="M382" s="4"/>
      <c r="N382" s="4"/>
    </row>
    <row r="383" spans="2:16" ht="21">
      <c r="B383" s="224"/>
    </row>
    <row r="384" spans="2:16">
      <c r="B384" s="6"/>
    </row>
    <row r="385" spans="3:14">
      <c r="D385" s="225"/>
      <c r="E385" s="225"/>
      <c r="F385" s="225"/>
      <c r="G385" s="225"/>
      <c r="H385" s="225"/>
      <c r="I385" s="225"/>
      <c r="J385" s="225"/>
      <c r="K385" s="225"/>
      <c r="L385" s="225"/>
      <c r="M385" s="225"/>
      <c r="N385" s="10"/>
    </row>
    <row r="386" spans="3:14">
      <c r="C386" s="2"/>
      <c r="D386" s="4"/>
      <c r="E386" s="4"/>
      <c r="F386" s="4"/>
      <c r="G386" s="4"/>
      <c r="H386" s="4"/>
      <c r="I386" s="4"/>
      <c r="J386" s="4"/>
      <c r="K386" s="4"/>
      <c r="L386" s="4"/>
      <c r="M386" s="4"/>
      <c r="N386" s="4"/>
    </row>
  </sheetData>
  <sheetProtection algorithmName="SHA-512" hashValue="Ohz33YIuwqfWZBnmLn9CsJJErIZQIFQ/yktbyHvhiZ/G4FUt9MeqA31T9xyj5D9erGccSWuwJiUdB4tAjU9uMA==" saltValue="48rJ47mV0mUx6GQ9YDNnHQ==" spinCount="100000" sheet="1" objects="1" scenarios="1"/>
  <mergeCells count="31">
    <mergeCell ref="D27:E28"/>
    <mergeCell ref="C27:C28"/>
    <mergeCell ref="C30:D30"/>
    <mergeCell ref="H23:H25"/>
    <mergeCell ref="I17:I25"/>
    <mergeCell ref="H20:H22"/>
    <mergeCell ref="H17:H19"/>
    <mergeCell ref="B2:O2"/>
    <mergeCell ref="D372:M372"/>
    <mergeCell ref="D371:M371"/>
    <mergeCell ref="D370:M370"/>
    <mergeCell ref="D369:M369"/>
    <mergeCell ref="K324:K325"/>
    <mergeCell ref="K281:K282"/>
    <mergeCell ref="K303:K304"/>
    <mergeCell ref="G189:G191"/>
    <mergeCell ref="G186:G188"/>
    <mergeCell ref="M38:M49"/>
    <mergeCell ref="L44:L49"/>
    <mergeCell ref="L38:L43"/>
    <mergeCell ref="L80:L85"/>
    <mergeCell ref="L74:L79"/>
    <mergeCell ref="M56:M67"/>
    <mergeCell ref="L9:N10"/>
    <mergeCell ref="O9:O10"/>
    <mergeCell ref="L215:N215"/>
    <mergeCell ref="N223:N224"/>
    <mergeCell ref="M223:M224"/>
    <mergeCell ref="L62:L67"/>
    <mergeCell ref="L56:L61"/>
    <mergeCell ref="M74:M85"/>
  </mergeCells>
  <conditionalFormatting sqref="O136:O138 O142:O144">
    <cfRule type="expression" dxfId="2" priority="6">
      <formula>$O136=2</formula>
    </cfRule>
    <cfRule type="expression" dxfId="1" priority="7">
      <formula>$O136=3</formula>
    </cfRule>
    <cfRule type="expression" dxfId="0" priority="8">
      <formula>$O136=4</formula>
    </cfRule>
  </conditionalFormatting>
  <pageMargins left="0.61" right="0.36" top="0.45" bottom="0.63" header="0.31496062992125984" footer="0.31496062992125984"/>
  <pageSetup scale="43" fitToHeight="0" orientation="landscape" r:id="rId1"/>
  <headerFooter>
    <oddFooter>&amp;L&amp;10Version 1.0    © CERIU, 2023&amp;R&amp;10Onglet CALCULS Eau
Page &amp;P de &amp;N</oddFooter>
  </headerFooter>
  <ignoredErrors>
    <ignoredError sqref="E19 E22 D47" formula="1"/>
  </ignoredError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2060"/>
    <pageSetUpPr fitToPage="1"/>
  </sheetPr>
  <dimension ref="B1:CG97"/>
  <sheetViews>
    <sheetView showGridLines="0" topLeftCell="T36" zoomScaleNormal="100" workbookViewId="0">
      <selection activeCell="BC40" sqref="BC40:BE41"/>
    </sheetView>
  </sheetViews>
  <sheetFormatPr baseColWidth="10" defaultColWidth="11.44140625" defaultRowHeight="14.4"/>
  <cols>
    <col min="1" max="1" width="1.44140625" style="28" customWidth="1"/>
    <col min="2" max="3" width="2" style="28" customWidth="1"/>
    <col min="4" max="4" width="2.6640625" style="28" customWidth="1"/>
    <col min="5" max="6" width="7.6640625" style="28" customWidth="1"/>
    <col min="7" max="7" width="1.88671875" style="28" customWidth="1"/>
    <col min="8" max="8" width="3.109375" style="28" customWidth="1"/>
    <col min="9" max="9" width="5.109375" style="28" customWidth="1"/>
    <col min="10" max="10" width="7.6640625" style="28" customWidth="1"/>
    <col min="11" max="11" width="1.88671875" style="28" customWidth="1"/>
    <col min="12" max="13" width="8" style="28" customWidth="1"/>
    <col min="14" max="14" width="2.109375" style="28" customWidth="1"/>
    <col min="15" max="15" width="2.6640625" style="28" customWidth="1"/>
    <col min="16" max="16" width="3.109375" style="28" customWidth="1"/>
    <col min="17" max="17" width="7.33203125" style="28" customWidth="1"/>
    <col min="18" max="18" width="1.88671875" style="28" customWidth="1"/>
    <col min="19" max="19" width="2" style="28" customWidth="1"/>
    <col min="20" max="20" width="1.88671875" style="28" customWidth="1"/>
    <col min="21" max="21" width="1.109375" style="28" customWidth="1"/>
    <col min="22" max="22" width="1.88671875" style="28" customWidth="1"/>
    <col min="23" max="24" width="2" style="28" customWidth="1"/>
    <col min="25" max="25" width="5" style="28" customWidth="1"/>
    <col min="26" max="26" width="11" style="28" customWidth="1"/>
    <col min="27" max="27" width="6.33203125" style="28" customWidth="1"/>
    <col min="28" max="28" width="5.5546875" style="28" customWidth="1"/>
    <col min="29" max="29" width="2.6640625" style="28" customWidth="1"/>
    <col min="30" max="30" width="4.5546875" style="28" customWidth="1"/>
    <col min="31" max="31" width="1.44140625" style="28" customWidth="1"/>
    <col min="32" max="32" width="2.6640625" style="28" customWidth="1"/>
    <col min="33" max="33" width="9.44140625" style="28" customWidth="1"/>
    <col min="34" max="34" width="2.109375" style="28" customWidth="1"/>
    <col min="35" max="35" width="1.44140625" style="28" customWidth="1"/>
    <col min="36" max="36" width="2.6640625" style="28" customWidth="1"/>
    <col min="37" max="37" width="6.33203125" style="28" customWidth="1"/>
    <col min="38" max="38" width="2.109375" style="28" customWidth="1"/>
    <col min="39" max="39" width="3.5546875" style="28" customWidth="1"/>
    <col min="40" max="40" width="2.44140625" style="28" customWidth="1"/>
    <col min="41" max="42" width="1.88671875" style="28" customWidth="1"/>
    <col min="43" max="43" width="5.6640625" style="28" customWidth="1"/>
    <col min="44" max="45" width="1.88671875" style="28" customWidth="1"/>
    <col min="46" max="46" width="2" style="28" customWidth="1"/>
    <col min="47" max="47" width="1" style="28" customWidth="1"/>
    <col min="48" max="48" width="2.6640625" style="28" customWidth="1"/>
    <col min="49" max="49" width="13.44140625" style="28" customWidth="1"/>
    <col min="50" max="50" width="1.44140625" style="28" customWidth="1"/>
    <col min="51" max="51" width="4.44140625" style="28" customWidth="1"/>
    <col min="52" max="52" width="3.109375" style="28" customWidth="1"/>
    <col min="53" max="53" width="5.33203125" style="28" customWidth="1"/>
    <col min="54" max="54" width="7.33203125" style="28" customWidth="1"/>
    <col min="55" max="55" width="3.6640625" style="28" customWidth="1"/>
    <col min="56" max="56" width="6.44140625" style="28" customWidth="1"/>
    <col min="57" max="57" width="4.6640625" style="28" customWidth="1"/>
    <col min="58" max="59" width="1.88671875" style="28" customWidth="1"/>
    <col min="60" max="60" width="2" style="28" customWidth="1"/>
    <col min="61" max="61" width="1.109375" style="28" customWidth="1"/>
    <col min="62" max="62" width="2" style="28" customWidth="1"/>
    <col min="63" max="63" width="2.33203125" style="28" customWidth="1"/>
    <col min="64" max="65" width="1.5546875" style="28" customWidth="1"/>
    <col min="66" max="66" width="9.44140625" style="28" customWidth="1"/>
    <col min="67" max="67" width="7.33203125" style="28" customWidth="1"/>
    <col min="68" max="68" width="1" style="28" customWidth="1"/>
    <col min="69" max="69" width="3.6640625" style="28" customWidth="1"/>
    <col min="70" max="70" width="1.88671875" style="28" customWidth="1"/>
    <col min="71" max="71" width="3.5546875" style="28" customWidth="1"/>
    <col min="72" max="72" width="1.44140625" style="28" customWidth="1"/>
    <col min="73" max="73" width="2.6640625" style="28" customWidth="1"/>
    <col min="74" max="74" width="5.6640625" style="28" customWidth="1"/>
    <col min="75" max="75" width="6" style="28" customWidth="1"/>
    <col min="76" max="76" width="1.44140625" style="28" customWidth="1"/>
    <col min="77" max="77" width="2.6640625" style="28" customWidth="1"/>
    <col min="78" max="79" width="3.44140625" style="28" customWidth="1"/>
    <col min="80" max="80" width="4.44140625" style="28" customWidth="1"/>
    <col min="81" max="81" width="0.6640625" style="28" customWidth="1"/>
    <col min="82" max="82" width="2.6640625" style="28" customWidth="1"/>
    <col min="83" max="83" width="2" style="28" customWidth="1"/>
    <col min="84" max="84" width="1.6640625" style="28" customWidth="1"/>
    <col min="85" max="85" width="17.33203125" style="28" customWidth="1"/>
    <col min="86" max="16384" width="11.44140625" style="28"/>
  </cols>
  <sheetData>
    <row r="1" spans="2:84" ht="2.25" customHeight="1"/>
    <row r="2" spans="2:84" ht="26.25" customHeight="1">
      <c r="B2" s="1984"/>
      <c r="C2" s="2000" t="str">
        <f>CONCATENATE('CALCULS Eau'!C6,'CALCULS Eau'!F6)</f>
        <v>ORGANISATION :  ##</v>
      </c>
      <c r="D2" s="1985"/>
      <c r="E2" s="1985"/>
      <c r="F2" s="1985"/>
      <c r="G2" s="1985"/>
      <c r="H2" s="1985"/>
      <c r="I2" s="1985"/>
      <c r="J2" s="1985"/>
      <c r="K2" s="1985"/>
      <c r="L2" s="1986"/>
      <c r="M2" s="1986"/>
      <c r="N2" s="1986"/>
      <c r="O2" s="1986"/>
      <c r="P2" s="1986"/>
      <c r="Q2" s="1986"/>
      <c r="R2" s="1987"/>
      <c r="S2" s="1987"/>
      <c r="T2" s="1987"/>
      <c r="U2" s="1987"/>
      <c r="V2" s="1987"/>
      <c r="W2" s="1987"/>
      <c r="X2" s="1988"/>
      <c r="Y2" s="3917" t="s">
        <v>965</v>
      </c>
      <c r="Z2" s="3917"/>
      <c r="AA2" s="3917"/>
      <c r="AB2" s="3917"/>
      <c r="AC2" s="3917"/>
      <c r="AD2" s="3917"/>
      <c r="AE2" s="3917"/>
      <c r="AF2" s="3917"/>
      <c r="AG2" s="3917"/>
      <c r="AH2" s="3917"/>
      <c r="AI2" s="3917"/>
      <c r="AJ2" s="3917"/>
      <c r="AK2" s="3917"/>
      <c r="AL2" s="3917"/>
      <c r="AM2" s="3917"/>
      <c r="AN2" s="3917"/>
      <c r="AO2" s="3917"/>
      <c r="AP2" s="3917"/>
      <c r="AQ2" s="3917"/>
      <c r="AR2" s="3917"/>
      <c r="AS2" s="3917"/>
      <c r="AT2" s="3917"/>
      <c r="AU2" s="3917"/>
      <c r="AV2" s="3917"/>
      <c r="AW2" s="3917"/>
      <c r="AX2" s="3917"/>
      <c r="AY2" s="3917"/>
      <c r="AZ2" s="3917"/>
      <c r="BA2" s="3917"/>
      <c r="BB2" s="1988"/>
      <c r="BC2" s="1988"/>
      <c r="BD2" s="1988"/>
      <c r="BE2" s="1988"/>
      <c r="BF2" s="1988"/>
      <c r="BG2" s="1988"/>
      <c r="BH2" s="1988"/>
      <c r="BI2" s="1988"/>
      <c r="BJ2" s="1988"/>
      <c r="BK2" s="1988"/>
      <c r="BL2" s="1988"/>
      <c r="BM2" s="1988"/>
      <c r="BN2" s="1988"/>
      <c r="BO2" s="1988"/>
      <c r="BP2" s="1988"/>
      <c r="BQ2" s="1988"/>
      <c r="BR2" s="1988"/>
      <c r="BS2" s="1988"/>
      <c r="BT2" s="1988"/>
      <c r="BU2" s="1988"/>
      <c r="BV2" s="1988"/>
      <c r="BW2" s="1988"/>
      <c r="BX2" s="1988"/>
      <c r="BY2" s="1988"/>
      <c r="BZ2" s="1988"/>
      <c r="CA2" s="1988"/>
      <c r="CB2" s="1988"/>
      <c r="CC2" s="1988"/>
      <c r="CD2" s="2003" t="str">
        <f>CONCATENATE('CALCULS Eau'!C9,'CALCULS Eau'!F9)</f>
        <v>ANNÉE DU PGA :  ##</v>
      </c>
      <c r="CE2" s="1987"/>
      <c r="CF2" s="33"/>
    </row>
    <row r="3" spans="2:84" ht="16.5" customHeight="1">
      <c r="B3" s="1984"/>
      <c r="C3" s="2001" t="str">
        <f>CONCATENATE('CALCULS Eau'!C8,'CALCULS Eau'!F8)</f>
        <v>RÉGION ADMINISTRATIVE :  ##</v>
      </c>
      <c r="D3" s="1985"/>
      <c r="E3" s="1985"/>
      <c r="F3" s="1985"/>
      <c r="G3" s="1985"/>
      <c r="H3" s="1985"/>
      <c r="I3" s="1985"/>
      <c r="J3" s="1985"/>
      <c r="K3" s="1985"/>
      <c r="L3" s="1986"/>
      <c r="M3" s="1986"/>
      <c r="N3" s="1986"/>
      <c r="O3" s="1986"/>
      <c r="P3" s="1986"/>
      <c r="Q3" s="1986"/>
      <c r="R3" s="1987"/>
      <c r="S3" s="1987"/>
      <c r="T3" s="1987"/>
      <c r="U3" s="1987"/>
      <c r="V3" s="1987"/>
      <c r="W3" s="1987"/>
      <c r="X3" s="1989"/>
      <c r="Y3" s="3916" t="s">
        <v>966</v>
      </c>
      <c r="Z3" s="3916"/>
      <c r="AA3" s="3916"/>
      <c r="AB3" s="3916"/>
      <c r="AC3" s="3916"/>
      <c r="AD3" s="3916"/>
      <c r="AE3" s="3916"/>
      <c r="AF3" s="3916"/>
      <c r="AG3" s="3916"/>
      <c r="AH3" s="3916"/>
      <c r="AI3" s="3916"/>
      <c r="AJ3" s="3916"/>
      <c r="AK3" s="3916"/>
      <c r="AL3" s="3916"/>
      <c r="AM3" s="3916"/>
      <c r="AN3" s="3916"/>
      <c r="AO3" s="3916"/>
      <c r="AP3" s="3916"/>
      <c r="AQ3" s="3916"/>
      <c r="AR3" s="3916"/>
      <c r="AS3" s="3916"/>
      <c r="AT3" s="3916"/>
      <c r="AU3" s="3916"/>
      <c r="AV3" s="3916"/>
      <c r="AW3" s="3916"/>
      <c r="AX3" s="3916"/>
      <c r="AY3" s="3916"/>
      <c r="AZ3" s="3916"/>
      <c r="BA3" s="3916"/>
      <c r="BB3" s="1989"/>
      <c r="BC3" s="1989"/>
      <c r="BD3" s="1989"/>
      <c r="BE3" s="1989"/>
      <c r="BF3" s="1989"/>
      <c r="BG3" s="1989"/>
      <c r="BH3" s="1989"/>
      <c r="BI3" s="1989"/>
      <c r="BJ3" s="1989"/>
      <c r="BK3" s="1989"/>
      <c r="BL3" s="1989"/>
      <c r="BM3" s="1989"/>
      <c r="BN3" s="1989"/>
      <c r="BO3" s="1989"/>
      <c r="BP3" s="1989"/>
      <c r="BQ3" s="1989"/>
      <c r="BR3" s="1989"/>
      <c r="BS3" s="1989"/>
      <c r="BT3" s="1989"/>
      <c r="BU3" s="1989"/>
      <c r="BV3" s="1989"/>
      <c r="BW3" s="1989"/>
      <c r="BX3" s="1989"/>
      <c r="BY3" s="1989"/>
      <c r="BZ3" s="1989"/>
      <c r="CA3" s="1989"/>
      <c r="CB3" s="1989"/>
      <c r="CC3" s="1989"/>
      <c r="CD3" s="2002" t="str">
        <f>CONCATENATE('CALCULS Eau'!F10,'CALCULS Eau'!G10,'CALCULS Eau'!H10)</f>
        <v/>
      </c>
      <c r="CE3" s="1987"/>
      <c r="CF3" s="33"/>
    </row>
    <row r="4" spans="2:84" ht="18.75" customHeight="1">
      <c r="B4" s="1984"/>
      <c r="C4" s="2001" t="str">
        <f>CONCATENATE('CALCULS Eau'!C7,'CALCULS Eau'!F7)</f>
        <v>CODE DE L'ORGANISATION :  ##</v>
      </c>
      <c r="D4" s="1985"/>
      <c r="E4" s="1985"/>
      <c r="F4" s="1985"/>
      <c r="G4" s="1985"/>
      <c r="H4" s="1985"/>
      <c r="I4" s="1985"/>
      <c r="J4" s="1985"/>
      <c r="K4" s="1985"/>
      <c r="L4" s="1986"/>
      <c r="M4" s="1986"/>
      <c r="N4" s="1986"/>
      <c r="O4" s="1986"/>
      <c r="P4" s="1986"/>
      <c r="Q4" s="1986"/>
      <c r="R4" s="1990"/>
      <c r="S4" s="1990"/>
      <c r="T4" s="1990"/>
      <c r="U4" s="1990"/>
      <c r="V4" s="1990"/>
      <c r="W4" s="1990"/>
      <c r="X4" s="1989"/>
      <c r="Y4" s="3916"/>
      <c r="Z4" s="3916"/>
      <c r="AA4" s="3916"/>
      <c r="AB4" s="3916"/>
      <c r="AC4" s="3916"/>
      <c r="AD4" s="3916"/>
      <c r="AE4" s="3916"/>
      <c r="AF4" s="3916"/>
      <c r="AG4" s="3916"/>
      <c r="AH4" s="3916"/>
      <c r="AI4" s="3916"/>
      <c r="AJ4" s="3916"/>
      <c r="AK4" s="3916"/>
      <c r="AL4" s="3916"/>
      <c r="AM4" s="3916"/>
      <c r="AN4" s="3916"/>
      <c r="AO4" s="3916"/>
      <c r="AP4" s="3916"/>
      <c r="AQ4" s="3916"/>
      <c r="AR4" s="3916"/>
      <c r="AS4" s="3916"/>
      <c r="AT4" s="3916"/>
      <c r="AU4" s="3916"/>
      <c r="AV4" s="3916"/>
      <c r="AW4" s="3916"/>
      <c r="AX4" s="3916"/>
      <c r="AY4" s="3916"/>
      <c r="AZ4" s="3916"/>
      <c r="BA4" s="3916"/>
      <c r="BB4" s="1989"/>
      <c r="BC4" s="1989"/>
      <c r="BD4" s="1989"/>
      <c r="BE4" s="1989"/>
      <c r="BF4" s="1989"/>
      <c r="BG4" s="1989"/>
      <c r="BH4" s="1989"/>
      <c r="BI4" s="1989"/>
      <c r="BJ4" s="1989"/>
      <c r="BK4" s="1989"/>
      <c r="BL4" s="1989"/>
      <c r="BM4" s="1989"/>
      <c r="BN4" s="1989"/>
      <c r="BO4" s="1989"/>
      <c r="BP4" s="1989"/>
      <c r="BQ4" s="1989"/>
      <c r="BR4" s="1989"/>
      <c r="BS4" s="1989"/>
      <c r="BT4" s="1989"/>
      <c r="BU4" s="1989"/>
      <c r="BV4" s="1989"/>
      <c r="BW4" s="1989"/>
      <c r="BX4" s="1989"/>
      <c r="BY4" s="2002" t="str">
        <f>'CALCULS Eau'!C11</f>
        <v>En date du :</v>
      </c>
      <c r="BZ4" s="3915" t="str">
        <f>'CALCULS Eau'!F11</f>
        <v>##</v>
      </c>
      <c r="CA4" s="3915"/>
      <c r="CB4" s="3915"/>
      <c r="CC4" s="3915"/>
      <c r="CD4" s="3915"/>
      <c r="CE4" s="1990"/>
      <c r="CF4" s="35"/>
    </row>
    <row r="5" spans="2:84" ht="7.5" customHeight="1">
      <c r="B5" s="1984"/>
      <c r="C5" s="1991"/>
      <c r="D5" s="1985"/>
      <c r="E5" s="1985"/>
      <c r="F5" s="1985"/>
      <c r="G5" s="1985"/>
      <c r="H5" s="1985"/>
      <c r="I5" s="1985"/>
      <c r="J5" s="1985"/>
      <c r="K5" s="1985"/>
      <c r="L5" s="1986"/>
      <c r="M5" s="1986"/>
      <c r="N5" s="1986"/>
      <c r="O5" s="1986"/>
      <c r="P5" s="1986"/>
      <c r="Q5" s="1986"/>
      <c r="R5" s="1990"/>
      <c r="S5" s="1990"/>
      <c r="T5" s="1990"/>
      <c r="U5" s="1990"/>
      <c r="V5" s="1990"/>
      <c r="W5" s="1990"/>
      <c r="X5" s="1989"/>
      <c r="Y5" s="2878"/>
      <c r="Z5" s="2878"/>
      <c r="AA5" s="2878"/>
      <c r="AB5" s="2878"/>
      <c r="AC5" s="2878"/>
      <c r="AD5" s="2878"/>
      <c r="AE5" s="2878"/>
      <c r="AF5" s="2878"/>
      <c r="AG5" s="2878"/>
      <c r="AH5" s="2878"/>
      <c r="AI5" s="2878"/>
      <c r="AJ5" s="2878"/>
      <c r="AK5" s="2878"/>
      <c r="AL5" s="2878"/>
      <c r="AM5" s="2878"/>
      <c r="AN5" s="2878"/>
      <c r="AO5" s="2878"/>
      <c r="AP5" s="2878"/>
      <c r="AQ5" s="2878"/>
      <c r="AR5" s="2878"/>
      <c r="AS5" s="2878"/>
      <c r="AT5" s="2878"/>
      <c r="AU5" s="2878"/>
      <c r="AV5" s="2878"/>
      <c r="AW5" s="2878"/>
      <c r="AX5" s="2878"/>
      <c r="AY5" s="2878"/>
      <c r="AZ5" s="2878"/>
      <c r="BA5" s="2878"/>
      <c r="BB5" s="2878"/>
      <c r="BC5" s="2878"/>
      <c r="BD5" s="2878"/>
      <c r="BE5" s="1989"/>
      <c r="BF5" s="1989"/>
      <c r="BG5" s="1989"/>
      <c r="BH5" s="1989"/>
      <c r="BI5" s="1989"/>
      <c r="BJ5" s="1989"/>
      <c r="BK5" s="1989"/>
      <c r="BL5" s="1989"/>
      <c r="BM5" s="1989"/>
      <c r="BN5" s="1989"/>
      <c r="BO5" s="1989"/>
      <c r="BP5" s="1989"/>
      <c r="BQ5" s="1989"/>
      <c r="BR5" s="1989"/>
      <c r="BS5" s="1989"/>
      <c r="BT5" s="1989"/>
      <c r="BU5" s="1989"/>
      <c r="BV5" s="1989"/>
      <c r="BW5" s="1989"/>
      <c r="BX5" s="1989"/>
      <c r="BY5" s="1989"/>
      <c r="BZ5" s="1989"/>
      <c r="CA5" s="1989"/>
      <c r="CB5" s="1989"/>
      <c r="CC5" s="1989"/>
      <c r="CD5" s="1992"/>
      <c r="CE5" s="1990"/>
      <c r="CF5" s="35"/>
    </row>
    <row r="6" spans="2:84" ht="24" customHeight="1">
      <c r="B6" s="2394" t="str">
        <f>IF((IDENTIFICATION!G142='MENU DÉROULANT'!C10),"NOTE: La municipalité a fait le choix d'intégrer sa gestion des infrastructures d'eaux pluviales avec celles des eaux usées. Le présent sommaire ne contient donc pas de","")</f>
        <v/>
      </c>
      <c r="AM6" s="2395" t="str">
        <f>IF((IDENTIFICATION!G142='MENU DÉROULANT'!C10)," résultats pour les eaux pluviales, et le terme Eaux usées utilisé dans les légendes de cet onglet réfère donc à Eaux usées &amp; pluviales.","")</f>
        <v/>
      </c>
      <c r="BN6" s="2831"/>
      <c r="BO6" s="2831"/>
      <c r="BP6" s="2831"/>
      <c r="BQ6" s="2831"/>
      <c r="BR6" s="2831"/>
      <c r="BS6" s="3070" t="s">
        <v>4041</v>
      </c>
      <c r="BT6" s="3070"/>
      <c r="BU6" s="3070"/>
      <c r="BV6" s="3070"/>
      <c r="BW6" s="3070"/>
      <c r="BX6" s="3070"/>
      <c r="BY6" s="3070"/>
      <c r="BZ6" s="3070"/>
      <c r="CA6" s="3070"/>
      <c r="CB6" s="3070"/>
      <c r="CC6" s="3070"/>
      <c r="CD6" s="3070"/>
      <c r="CE6" s="3070"/>
    </row>
    <row r="7" spans="2:84" ht="7.5" customHeight="1">
      <c r="BN7" s="2831"/>
      <c r="BO7" s="2831"/>
      <c r="BP7" s="2831"/>
      <c r="BQ7" s="2831"/>
      <c r="BR7" s="2831"/>
      <c r="BS7" s="2831"/>
      <c r="BT7" s="2831"/>
      <c r="BU7" s="2831"/>
      <c r="BV7" s="2831"/>
      <c r="BW7" s="2831"/>
      <c r="BX7" s="2831"/>
      <c r="BY7" s="2831"/>
      <c r="BZ7" s="2831"/>
      <c r="CA7" s="2831"/>
      <c r="CB7" s="2831"/>
      <c r="CC7" s="2831"/>
      <c r="CD7" s="2831"/>
      <c r="CE7" s="2831"/>
    </row>
    <row r="8" spans="2:84" ht="25.5" customHeight="1">
      <c r="B8" s="1976"/>
      <c r="C8" s="1977" t="s">
        <v>967</v>
      </c>
      <c r="D8" s="1978"/>
      <c r="E8" s="1978"/>
      <c r="F8" s="1978"/>
      <c r="G8" s="1978"/>
      <c r="H8" s="1978"/>
      <c r="I8" s="1978"/>
      <c r="J8" s="1978"/>
      <c r="K8" s="1978"/>
      <c r="L8" s="1978"/>
      <c r="M8" s="1978"/>
      <c r="N8" s="1978"/>
      <c r="O8" s="1978"/>
      <c r="P8" s="1978"/>
      <c r="Q8" s="1978"/>
      <c r="R8" s="1978"/>
      <c r="S8" s="1978"/>
      <c r="T8" s="55"/>
      <c r="U8" s="1993"/>
      <c r="V8" s="55"/>
      <c r="W8" s="1976"/>
      <c r="X8" s="1977" t="s">
        <v>968</v>
      </c>
      <c r="Y8" s="1978"/>
      <c r="Z8" s="1978"/>
      <c r="AA8" s="1978"/>
      <c r="AB8" s="1978"/>
      <c r="AC8" s="1978"/>
      <c r="AD8" s="1978"/>
      <c r="AE8" s="1978"/>
      <c r="AF8" s="1978"/>
      <c r="AG8" s="1978"/>
      <c r="AH8" s="1978"/>
      <c r="AI8" s="1978"/>
      <c r="AJ8" s="1978"/>
      <c r="AK8" s="1978"/>
      <c r="AL8" s="1978"/>
      <c r="AM8" s="1978"/>
      <c r="AN8" s="1978"/>
      <c r="AO8" s="1978"/>
      <c r="AP8" s="1978"/>
      <c r="AQ8" s="1978"/>
      <c r="AR8" s="1978"/>
      <c r="AS8" s="1978"/>
      <c r="AT8" s="1978"/>
      <c r="AU8" s="1978"/>
      <c r="AV8" s="1978"/>
      <c r="AW8" s="1978"/>
      <c r="AX8" s="1978"/>
      <c r="AY8" s="1978"/>
      <c r="AZ8" s="1978"/>
      <c r="BA8" s="1978"/>
      <c r="BB8" s="1978"/>
      <c r="BC8" s="1978"/>
      <c r="BD8" s="1978"/>
      <c r="BE8" s="1978"/>
      <c r="BF8" s="1978"/>
      <c r="BG8" s="1978"/>
      <c r="BH8" s="55"/>
      <c r="BI8" s="1993"/>
      <c r="BJ8" s="55"/>
      <c r="BK8" s="1978"/>
      <c r="BL8" s="1977" t="s">
        <v>969</v>
      </c>
      <c r="BM8" s="1977"/>
      <c r="BN8" s="1978"/>
      <c r="BO8" s="1978"/>
      <c r="BP8" s="1978"/>
      <c r="BQ8" s="1978"/>
      <c r="BR8" s="1978"/>
      <c r="BS8" s="1979"/>
      <c r="BT8" s="1979"/>
      <c r="BU8" s="1979"/>
      <c r="BV8" s="1979"/>
      <c r="BW8" s="1978"/>
      <c r="BX8" s="1978"/>
      <c r="BY8" s="1978"/>
      <c r="BZ8" s="1978"/>
      <c r="CA8" s="1978"/>
      <c r="CB8" s="1978"/>
      <c r="CC8" s="1978"/>
      <c r="CD8" s="1980"/>
      <c r="CE8" s="1978"/>
    </row>
    <row r="9" spans="2:84" ht="6.75" customHeight="1">
      <c r="U9" s="1993"/>
      <c r="V9" s="59"/>
      <c r="BH9" s="55"/>
      <c r="BI9" s="1993"/>
      <c r="BJ9" s="55"/>
    </row>
    <row r="10" spans="2:84" ht="12" customHeight="1">
      <c r="B10" s="1457"/>
      <c r="C10" s="1458"/>
      <c r="D10" s="1458"/>
      <c r="E10" s="1458"/>
      <c r="F10" s="1458"/>
      <c r="G10" s="1458"/>
      <c r="H10" s="1458"/>
      <c r="I10" s="1458"/>
      <c r="J10" s="1458"/>
      <c r="K10" s="1458"/>
      <c r="L10" s="1458"/>
      <c r="M10" s="1458"/>
      <c r="N10" s="1458"/>
      <c r="O10" s="1458"/>
      <c r="P10" s="1458"/>
      <c r="Q10" s="1458"/>
      <c r="R10" s="1458"/>
      <c r="S10" s="1459"/>
      <c r="T10" s="1460"/>
      <c r="U10" s="1994"/>
      <c r="V10" s="59"/>
      <c r="W10" s="1461"/>
      <c r="X10" s="1462"/>
      <c r="Y10" s="1458"/>
      <c r="Z10" s="1458"/>
      <c r="AA10" s="1458"/>
      <c r="AB10" s="1458"/>
      <c r="AC10" s="1458"/>
      <c r="AD10" s="1458"/>
      <c r="AE10" s="1458"/>
      <c r="AF10" s="1458"/>
      <c r="AG10" s="1458"/>
      <c r="AH10" s="1458"/>
      <c r="AI10" s="1458"/>
      <c r="AJ10" s="1458"/>
      <c r="AK10" s="1458"/>
      <c r="AL10" s="1458"/>
      <c r="AM10" s="1458"/>
      <c r="AN10" s="1458"/>
      <c r="AO10" s="1458"/>
      <c r="AP10" s="1458"/>
      <c r="AQ10" s="1458"/>
      <c r="AR10" s="1458"/>
      <c r="AS10" s="1458"/>
      <c r="AT10" s="1458"/>
      <c r="AU10" s="1458"/>
      <c r="AV10" s="1458"/>
      <c r="AW10" s="1458"/>
      <c r="AX10" s="1458"/>
      <c r="AY10" s="1458"/>
      <c r="AZ10" s="1458"/>
      <c r="BA10" s="1458"/>
      <c r="BB10" s="1458"/>
      <c r="BC10" s="1458"/>
      <c r="BD10" s="1458"/>
      <c r="BE10" s="1458"/>
      <c r="BF10" s="1458"/>
      <c r="BG10" s="1458"/>
      <c r="BH10" s="175"/>
      <c r="BI10" s="1993"/>
      <c r="BJ10" s="59"/>
      <c r="BK10" s="1457"/>
      <c r="BL10" s="1458"/>
      <c r="BM10" s="1458"/>
      <c r="BN10" s="1458"/>
      <c r="BO10" s="1458"/>
      <c r="BP10" s="1458"/>
      <c r="BQ10" s="1458"/>
      <c r="BR10" s="1458"/>
      <c r="BS10" s="1458"/>
      <c r="BT10" s="1458"/>
      <c r="BU10" s="1458"/>
      <c r="BV10" s="1458"/>
      <c r="BW10" s="1458"/>
      <c r="BX10" s="1458"/>
      <c r="BY10" s="1458"/>
      <c r="BZ10" s="1458"/>
      <c r="CA10" s="1458"/>
      <c r="CB10" s="1458"/>
      <c r="CC10" s="1458"/>
      <c r="CD10" s="1458"/>
      <c r="CE10" s="1459"/>
      <c r="CF10" s="43"/>
    </row>
    <row r="11" spans="2:84" ht="9.75" customHeight="1">
      <c r="B11" s="1463"/>
      <c r="C11" s="45"/>
      <c r="D11" s="46"/>
      <c r="E11" s="46"/>
      <c r="F11" s="46"/>
      <c r="G11" s="46"/>
      <c r="H11" s="46"/>
      <c r="I11" s="46"/>
      <c r="J11" s="46"/>
      <c r="K11" s="46"/>
      <c r="L11" s="46"/>
      <c r="M11" s="46"/>
      <c r="N11" s="46"/>
      <c r="O11" s="46"/>
      <c r="P11" s="46"/>
      <c r="Q11" s="3856">
        <f>'CALCULS Eau'!I17</f>
        <v>0</v>
      </c>
      <c r="R11" s="47"/>
      <c r="S11" s="1464"/>
      <c r="T11" s="1460"/>
      <c r="U11" s="1994"/>
      <c r="V11" s="59"/>
      <c r="W11" s="1465"/>
      <c r="X11" s="1466"/>
      <c r="Y11" s="46"/>
      <c r="Z11" s="46"/>
      <c r="AA11" s="46"/>
      <c r="AB11" s="46"/>
      <c r="AC11" s="46"/>
      <c r="AD11" s="46"/>
      <c r="AE11" s="46"/>
      <c r="AF11" s="46"/>
      <c r="AG11" s="46"/>
      <c r="AH11" s="46"/>
      <c r="AI11" s="46"/>
      <c r="AJ11" s="46"/>
      <c r="AK11" s="46"/>
      <c r="AL11" s="46"/>
      <c r="AM11" s="46"/>
      <c r="AN11" s="46"/>
      <c r="AO11" s="46"/>
      <c r="AP11" s="46"/>
      <c r="AQ11" s="46"/>
      <c r="AR11" s="46"/>
      <c r="AS11" s="1467"/>
      <c r="AT11" s="46"/>
      <c r="AU11" s="46"/>
      <c r="AV11" s="46"/>
      <c r="AW11" s="46"/>
      <c r="AX11" s="46"/>
      <c r="AY11" s="46"/>
      <c r="AZ11" s="46"/>
      <c r="BA11" s="46"/>
      <c r="BB11" s="46"/>
      <c r="BC11" s="46"/>
      <c r="BD11" s="46"/>
      <c r="BE11" s="46"/>
      <c r="BF11" s="46"/>
      <c r="BG11" s="1468"/>
      <c r="BH11" s="59"/>
      <c r="BI11" s="1993"/>
      <c r="BJ11" s="59"/>
      <c r="BK11" s="1463"/>
      <c r="BL11" s="45"/>
      <c r="BM11" s="46"/>
      <c r="BN11" s="46"/>
      <c r="BO11" s="46"/>
      <c r="BP11" s="46"/>
      <c r="BQ11" s="46"/>
      <c r="BR11" s="46"/>
      <c r="BS11" s="46"/>
      <c r="BT11" s="46"/>
      <c r="BU11" s="46"/>
      <c r="BV11" s="46"/>
      <c r="BW11" s="46"/>
      <c r="BX11" s="46"/>
      <c r="BY11" s="46"/>
      <c r="BZ11" s="46"/>
      <c r="CA11" s="46"/>
      <c r="CB11" s="46"/>
      <c r="CC11" s="46"/>
      <c r="CD11" s="47"/>
      <c r="CE11" s="1469"/>
      <c r="CF11" s="43"/>
    </row>
    <row r="12" spans="2:84" ht="19.5" customHeight="1">
      <c r="B12" s="1463"/>
      <c r="C12" s="50"/>
      <c r="D12" s="51" t="s">
        <v>746</v>
      </c>
      <c r="E12" s="51"/>
      <c r="F12" s="51"/>
      <c r="G12" s="51"/>
      <c r="H12" s="51"/>
      <c r="I12" s="51"/>
      <c r="J12" s="51"/>
      <c r="K12" s="51"/>
      <c r="L12" s="52"/>
      <c r="M12" s="52"/>
      <c r="N12" s="52"/>
      <c r="O12" s="52"/>
      <c r="P12" s="52"/>
      <c r="Q12" s="3857"/>
      <c r="R12" s="442"/>
      <c r="S12" s="1470"/>
      <c r="T12" s="1471"/>
      <c r="U12" s="1993"/>
      <c r="V12" s="55"/>
      <c r="W12" s="1465"/>
      <c r="X12" s="1472"/>
      <c r="Y12" s="1546" t="s">
        <v>970</v>
      </c>
      <c r="Z12" s="1546"/>
      <c r="AA12" s="1546"/>
      <c r="AB12" s="1546"/>
      <c r="AC12" s="1546"/>
      <c r="AD12" s="1546"/>
      <c r="AE12" s="215"/>
      <c r="AF12" s="215"/>
      <c r="AG12" s="215"/>
      <c r="AH12" s="215"/>
      <c r="AI12" s="215"/>
      <c r="AJ12" s="215"/>
      <c r="AK12" s="215"/>
      <c r="AL12" s="215"/>
      <c r="AM12" s="215"/>
      <c r="AN12" s="215"/>
      <c r="AO12" s="215"/>
      <c r="AP12" s="215"/>
      <c r="AQ12" s="2864">
        <f>'CALCULS Eau'!G189</f>
        <v>0</v>
      </c>
      <c r="AR12" s="25"/>
      <c r="AS12" s="1473"/>
      <c r="AT12" s="53"/>
      <c r="AU12" s="51" t="s">
        <v>971</v>
      </c>
      <c r="AV12" s="51"/>
      <c r="AW12" s="51"/>
      <c r="AX12" s="51"/>
      <c r="AY12" s="25"/>
      <c r="AZ12" s="25"/>
      <c r="BA12" s="25"/>
      <c r="BB12" s="25"/>
      <c r="BC12" s="25"/>
      <c r="BD12" s="25"/>
      <c r="BE12" s="2705">
        <f>'CALCULS Eau'!M219</f>
        <v>0</v>
      </c>
      <c r="BF12" s="25"/>
      <c r="BG12" s="1474"/>
      <c r="BH12" s="25"/>
      <c r="BI12" s="1993"/>
      <c r="BJ12" s="25"/>
      <c r="BK12" s="1547"/>
      <c r="BL12" s="1548"/>
      <c r="BM12" s="1546" t="s">
        <v>972</v>
      </c>
      <c r="BP12" s="25"/>
      <c r="BQ12" s="25"/>
      <c r="BR12" s="58"/>
      <c r="BW12" s="52"/>
      <c r="BX12" s="52"/>
      <c r="BY12" s="52"/>
      <c r="BZ12" s="52"/>
      <c r="CA12" s="52"/>
      <c r="CB12" s="52"/>
      <c r="CC12" s="59"/>
      <c r="CD12" s="61"/>
      <c r="CE12" s="1469"/>
      <c r="CF12" s="43"/>
    </row>
    <row r="13" spans="2:84" ht="5.25" customHeight="1">
      <c r="B13" s="1463"/>
      <c r="C13" s="50"/>
      <c r="D13" s="62"/>
      <c r="E13" s="62"/>
      <c r="F13" s="62"/>
      <c r="G13" s="62"/>
      <c r="H13" s="62"/>
      <c r="I13" s="62"/>
      <c r="J13" s="62"/>
      <c r="K13" s="62"/>
      <c r="L13" s="52"/>
      <c r="M13" s="52"/>
      <c r="N13" s="52"/>
      <c r="O13" s="52"/>
      <c r="P13" s="52"/>
      <c r="Q13" s="60"/>
      <c r="R13" s="442"/>
      <c r="S13" s="1470"/>
      <c r="T13" s="1475"/>
      <c r="U13" s="1995"/>
      <c r="V13" s="54"/>
      <c r="W13" s="1465"/>
      <c r="X13" s="1472"/>
      <c r="Y13" s="215"/>
      <c r="Z13" s="215"/>
      <c r="AA13" s="215"/>
      <c r="AB13" s="215"/>
      <c r="AC13" s="215"/>
      <c r="AD13" s="215"/>
      <c r="AE13" s="215"/>
      <c r="AF13" s="215"/>
      <c r="AG13" s="215"/>
      <c r="AH13" s="215"/>
      <c r="AI13" s="215"/>
      <c r="AJ13" s="215"/>
      <c r="AK13" s="215"/>
      <c r="AL13" s="215"/>
      <c r="AM13" s="215"/>
      <c r="AN13" s="215"/>
      <c r="AO13" s="215"/>
      <c r="AP13" s="215"/>
      <c r="AQ13" s="27"/>
      <c r="AR13" s="25"/>
      <c r="AS13" s="1473"/>
      <c r="AT13" s="53"/>
      <c r="AU13" s="3845" t="s">
        <v>973</v>
      </c>
      <c r="AV13" s="3846"/>
      <c r="AW13" s="3846"/>
      <c r="AX13" s="3846"/>
      <c r="AY13" s="3846"/>
      <c r="AZ13" s="2543"/>
      <c r="BA13" s="2543"/>
      <c r="BB13" s="2543"/>
      <c r="BC13" s="2543"/>
      <c r="BD13" s="2543"/>
      <c r="BE13" s="25"/>
      <c r="BF13" s="25"/>
      <c r="BG13" s="1474"/>
      <c r="BH13" s="25"/>
      <c r="BI13" s="1993"/>
      <c r="BJ13" s="25"/>
      <c r="BK13" s="1549"/>
      <c r="BL13" s="591"/>
      <c r="BM13" s="25"/>
      <c r="BN13" s="58"/>
      <c r="BO13" s="58"/>
      <c r="BP13" s="25"/>
      <c r="BQ13" s="25"/>
      <c r="BR13" s="58"/>
      <c r="BS13" s="52"/>
      <c r="BT13" s="52"/>
      <c r="BU13" s="52"/>
      <c r="BV13" s="52"/>
      <c r="BW13" s="52"/>
      <c r="BX13" s="52"/>
      <c r="BY13" s="52"/>
      <c r="BZ13" s="52"/>
      <c r="CA13" s="52"/>
      <c r="CB13" s="52"/>
      <c r="CC13" s="59"/>
      <c r="CD13" s="61"/>
      <c r="CE13" s="1476"/>
      <c r="CF13" s="43"/>
    </row>
    <row r="14" spans="2:84" ht="6.75" customHeight="1">
      <c r="B14" s="1463"/>
      <c r="C14" s="50"/>
      <c r="D14" s="62"/>
      <c r="E14" s="62"/>
      <c r="F14" s="62"/>
      <c r="G14" s="62"/>
      <c r="H14" s="62"/>
      <c r="I14" s="62"/>
      <c r="J14" s="62"/>
      <c r="K14" s="62"/>
      <c r="L14" s="52"/>
      <c r="M14" s="52"/>
      <c r="N14" s="52"/>
      <c r="O14" s="52"/>
      <c r="P14" s="52"/>
      <c r="Q14" s="60"/>
      <c r="R14" s="442"/>
      <c r="S14" s="1470"/>
      <c r="T14" s="1475"/>
      <c r="U14" s="1995"/>
      <c r="V14" s="54"/>
      <c r="W14" s="1465"/>
      <c r="X14" s="1472"/>
      <c r="Y14" s="215"/>
      <c r="Z14" s="215"/>
      <c r="AA14" s="215"/>
      <c r="AB14" s="215"/>
      <c r="AC14" s="215"/>
      <c r="AD14" s="215"/>
      <c r="AE14" s="215"/>
      <c r="AF14" s="215"/>
      <c r="AG14" s="215"/>
      <c r="AH14" s="215"/>
      <c r="AI14" s="215"/>
      <c r="AJ14" s="215"/>
      <c r="AK14" s="215"/>
      <c r="AL14" s="215"/>
      <c r="AM14" s="215"/>
      <c r="AN14" s="215"/>
      <c r="AO14" s="215"/>
      <c r="AP14" s="215"/>
      <c r="AQ14" s="27"/>
      <c r="AR14" s="25"/>
      <c r="AS14" s="1473"/>
      <c r="AT14" s="53"/>
      <c r="AU14" s="3846"/>
      <c r="AV14" s="3846"/>
      <c r="AW14" s="3846"/>
      <c r="AX14" s="3846"/>
      <c r="AY14" s="3846"/>
      <c r="AZ14" s="2543"/>
      <c r="BA14" s="2543"/>
      <c r="BB14" s="2543"/>
      <c r="BC14" s="2543"/>
      <c r="BD14" s="2543"/>
      <c r="BE14" s="25"/>
      <c r="BF14" s="25"/>
      <c r="BG14" s="1474"/>
      <c r="BH14" s="25"/>
      <c r="BI14" s="1993"/>
      <c r="BJ14" s="25"/>
      <c r="BK14" s="1549"/>
      <c r="BL14" s="591"/>
      <c r="BM14" s="25"/>
      <c r="BN14" s="58"/>
      <c r="BO14" s="58"/>
      <c r="BP14" s="25"/>
      <c r="BQ14" s="3883" t="s">
        <v>307</v>
      </c>
      <c r="BR14" s="3884"/>
      <c r="BS14" s="3884"/>
      <c r="BT14" s="3884"/>
      <c r="BU14" s="3885"/>
      <c r="BV14" s="3861" t="s">
        <v>308</v>
      </c>
      <c r="BW14" s="3862"/>
      <c r="BX14" s="3863"/>
      <c r="BY14" s="3930" t="s">
        <v>309</v>
      </c>
      <c r="BZ14" s="3931"/>
      <c r="CA14" s="3931"/>
      <c r="CB14" s="3932"/>
      <c r="CC14" s="59"/>
      <c r="CD14" s="61"/>
      <c r="CE14" s="1476"/>
      <c r="CF14" s="43"/>
    </row>
    <row r="15" spans="2:84" ht="18.75" customHeight="1">
      <c r="B15" s="1463"/>
      <c r="C15" s="50"/>
      <c r="D15" s="2893" t="s">
        <v>748</v>
      </c>
      <c r="E15" s="2851" t="s">
        <v>888</v>
      </c>
      <c r="F15" s="2851"/>
      <c r="H15" s="3725" t="str">
        <f>'CALCULS Eau'!E17</f>
        <v>Aucun</v>
      </c>
      <c r="I15" s="3725"/>
      <c r="J15" s="3725"/>
      <c r="K15" s="62"/>
      <c r="L15" s="52"/>
      <c r="M15" s="52"/>
      <c r="N15" s="52"/>
      <c r="O15" s="52"/>
      <c r="P15" s="52"/>
      <c r="Q15" s="60"/>
      <c r="R15" s="442"/>
      <c r="S15" s="1470"/>
      <c r="T15" s="1475"/>
      <c r="U15" s="1995"/>
      <c r="V15" s="54"/>
      <c r="W15" s="1477"/>
      <c r="X15" s="1478"/>
      <c r="Y15" s="1550"/>
      <c r="Z15" s="1550"/>
      <c r="AA15" s="1550"/>
      <c r="AB15" s="1550"/>
      <c r="AC15" s="1550"/>
      <c r="AD15" s="1550"/>
      <c r="AE15" s="25"/>
      <c r="AF15" s="25"/>
      <c r="AG15" s="25"/>
      <c r="AH15" s="25"/>
      <c r="AI15" s="25"/>
      <c r="AJ15" s="25"/>
      <c r="AK15" s="25"/>
      <c r="AL15" s="25"/>
      <c r="AM15" s="25"/>
      <c r="AN15" s="25"/>
      <c r="AO15" s="25"/>
      <c r="AP15" s="25"/>
      <c r="AQ15" s="55"/>
      <c r="AR15" s="25"/>
      <c r="AS15" s="1473"/>
      <c r="AT15" s="53"/>
      <c r="AU15" s="3846"/>
      <c r="AV15" s="3846"/>
      <c r="AW15" s="3846"/>
      <c r="AX15" s="3846"/>
      <c r="AY15" s="3846"/>
      <c r="AZ15" s="25"/>
      <c r="BA15" s="25"/>
      <c r="BB15" s="25"/>
      <c r="BC15" s="25"/>
      <c r="BD15" s="25"/>
      <c r="BE15" s="25"/>
      <c r="BF15" s="25"/>
      <c r="BG15" s="1474"/>
      <c r="BH15" s="25"/>
      <c r="BI15" s="1993"/>
      <c r="BJ15" s="25"/>
      <c r="BK15" s="1549"/>
      <c r="BL15" s="591"/>
      <c r="BM15" s="25"/>
      <c r="BN15" s="58"/>
      <c r="BO15" s="58"/>
      <c r="BP15" s="25"/>
      <c r="BQ15" s="3883"/>
      <c r="BR15" s="3884"/>
      <c r="BS15" s="3884"/>
      <c r="BT15" s="3884"/>
      <c r="BU15" s="3885"/>
      <c r="BV15" s="3861"/>
      <c r="BW15" s="3862"/>
      <c r="BX15" s="3863"/>
      <c r="BY15" s="3930"/>
      <c r="BZ15" s="3931"/>
      <c r="CA15" s="3931"/>
      <c r="CB15" s="3932"/>
      <c r="CC15" s="25"/>
      <c r="CD15" s="61"/>
      <c r="CE15" s="1469"/>
      <c r="CF15" s="43"/>
    </row>
    <row r="16" spans="2:84" s="72" customFormat="1" ht="15" customHeight="1">
      <c r="B16" s="1479"/>
      <c r="C16" s="64"/>
      <c r="D16" s="2894" t="s">
        <v>748</v>
      </c>
      <c r="E16" s="2849" t="s">
        <v>889</v>
      </c>
      <c r="F16" s="2849"/>
      <c r="H16" s="3675" t="str">
        <f>'CALCULS Eau'!E18</f>
        <v>Aucun</v>
      </c>
      <c r="I16" s="3675"/>
      <c r="J16" s="3675"/>
      <c r="K16" s="215"/>
      <c r="L16" s="215"/>
      <c r="M16" s="215"/>
      <c r="N16" s="215"/>
      <c r="O16" s="215"/>
      <c r="P16" s="215"/>
      <c r="Q16" s="215"/>
      <c r="R16" s="67"/>
      <c r="S16" s="1480"/>
      <c r="T16" s="1481"/>
      <c r="U16" s="1996"/>
      <c r="V16" s="66"/>
      <c r="W16" s="1477"/>
      <c r="X16" s="68"/>
      <c r="Y16" s="1482"/>
      <c r="Z16" s="1482"/>
      <c r="AA16" s="1482"/>
      <c r="AB16" s="1482"/>
      <c r="AC16" s="1482"/>
      <c r="AD16" s="1482"/>
      <c r="AE16" s="1482"/>
      <c r="AF16" s="1482"/>
      <c r="AG16" s="1482"/>
      <c r="AH16" s="1482"/>
      <c r="AI16" s="1482"/>
      <c r="AJ16" s="1482"/>
      <c r="AK16" s="1482"/>
      <c r="AL16" s="1482"/>
      <c r="AM16" s="1482"/>
      <c r="AN16" s="2556" t="s">
        <v>974</v>
      </c>
      <c r="AO16" s="1482"/>
      <c r="AQ16" s="1559"/>
      <c r="AR16" s="66"/>
      <c r="AS16" s="1483"/>
      <c r="AT16" s="66"/>
      <c r="AU16" s="1482"/>
      <c r="AV16" s="1482"/>
      <c r="AW16" s="1482"/>
      <c r="AX16" s="1482"/>
      <c r="AY16" s="1482"/>
      <c r="AZ16" s="1482"/>
      <c r="BA16" s="1482"/>
      <c r="BB16" s="1482"/>
      <c r="BC16" s="1482"/>
      <c r="BD16" s="1482"/>
      <c r="BE16" s="1482"/>
      <c r="BF16" s="1482"/>
      <c r="BG16" s="1484"/>
      <c r="BH16" s="1482"/>
      <c r="BI16" s="1993"/>
      <c r="BJ16" s="1482"/>
      <c r="BK16" s="1551"/>
      <c r="BL16" s="3809"/>
      <c r="BM16" s="1552"/>
      <c r="BN16" s="66"/>
      <c r="BO16" s="66"/>
      <c r="BP16" s="1552"/>
      <c r="BQ16" s="2861"/>
      <c r="BR16" s="1456"/>
      <c r="BS16" s="1456"/>
      <c r="BT16" s="1456"/>
      <c r="BU16" s="1553"/>
      <c r="BV16" s="66"/>
      <c r="BW16" s="66"/>
      <c r="BX16" s="66"/>
      <c r="BY16" s="68"/>
      <c r="BZ16" s="66"/>
      <c r="CA16" s="66"/>
      <c r="CB16" s="67"/>
      <c r="CC16" s="59"/>
      <c r="CD16" s="69"/>
      <c r="CE16" s="1485"/>
      <c r="CF16" s="71"/>
    </row>
    <row r="17" spans="2:85" s="72" customFormat="1" ht="18" customHeight="1">
      <c r="B17" s="1479"/>
      <c r="C17" s="64"/>
      <c r="D17" s="2895" t="s">
        <v>748</v>
      </c>
      <c r="E17" s="2851" t="s">
        <v>975</v>
      </c>
      <c r="F17" s="2851"/>
      <c r="H17" s="3725" t="str">
        <f>'CALCULS Eau'!E19</f>
        <v>Aucun</v>
      </c>
      <c r="I17" s="3725"/>
      <c r="J17" s="3725"/>
      <c r="K17" s="215"/>
      <c r="L17" s="215"/>
      <c r="M17" s="215"/>
      <c r="N17" s="215"/>
      <c r="O17" s="215"/>
      <c r="P17" s="215"/>
      <c r="Q17" s="215"/>
      <c r="R17" s="67"/>
      <c r="S17" s="1480"/>
      <c r="T17" s="1481"/>
      <c r="U17" s="1996"/>
      <c r="V17" s="66"/>
      <c r="W17" s="1486"/>
      <c r="X17" s="1487"/>
      <c r="Y17" s="66"/>
      <c r="Z17" s="66"/>
      <c r="AA17" s="66"/>
      <c r="AB17" s="66"/>
      <c r="AC17" s="66"/>
      <c r="AD17" s="66"/>
      <c r="AE17" s="1439"/>
      <c r="AF17" s="1439"/>
      <c r="AG17" s="1439"/>
      <c r="AH17" s="1439"/>
      <c r="AI17" s="1439"/>
      <c r="AJ17" s="1439"/>
      <c r="AK17" s="1439"/>
      <c r="AL17" s="1439"/>
      <c r="AM17" s="1439"/>
      <c r="AN17" s="2558" t="s">
        <v>100</v>
      </c>
      <c r="AP17" s="2557"/>
      <c r="AR17" s="66"/>
      <c r="AS17" s="1483"/>
      <c r="AT17" s="66"/>
      <c r="AU17" s="66"/>
      <c r="AV17" s="66"/>
      <c r="AW17" s="66"/>
      <c r="AX17" s="66"/>
      <c r="AY17" s="1439"/>
      <c r="AZ17" s="1439"/>
      <c r="BA17" s="1439"/>
      <c r="BB17" s="1439"/>
      <c r="BC17" s="1439"/>
      <c r="BD17" s="1439"/>
      <c r="BE17" s="1439"/>
      <c r="BF17" s="1439"/>
      <c r="BG17" s="1484"/>
      <c r="BH17" s="1439"/>
      <c r="BI17" s="1993"/>
      <c r="BJ17" s="1439"/>
      <c r="BK17" s="1554"/>
      <c r="BL17" s="3809"/>
      <c r="BM17" s="1552"/>
      <c r="BN17" s="3858" t="s">
        <v>196</v>
      </c>
      <c r="BO17" s="3858"/>
      <c r="BP17" s="2862"/>
      <c r="BQ17" s="3872" t="str">
        <f>'CALCULS Eau'!D$267</f>
        <v/>
      </c>
      <c r="BR17" s="3873"/>
      <c r="BS17" s="2618"/>
      <c r="BT17" s="2618"/>
      <c r="BU17" s="2617"/>
      <c r="BV17" s="2869" t="str">
        <f>'CALCULS Eau'!E$267</f>
        <v/>
      </c>
      <c r="BW17" s="2618"/>
      <c r="BX17" s="2618"/>
      <c r="BY17" s="3941" t="str">
        <f>'CALCULS Eau'!F$267</f>
        <v/>
      </c>
      <c r="BZ17" s="3873"/>
      <c r="CA17" s="2869"/>
      <c r="CB17" s="2617"/>
      <c r="CD17" s="69"/>
      <c r="CE17" s="1485"/>
      <c r="CF17" s="71"/>
    </row>
    <row r="18" spans="2:85" s="72" customFormat="1" ht="18" customHeight="1">
      <c r="B18" s="1479"/>
      <c r="C18" s="64"/>
      <c r="D18" s="2896" t="s">
        <v>748</v>
      </c>
      <c r="E18" s="2751" t="s">
        <v>890</v>
      </c>
      <c r="F18" s="2751"/>
      <c r="H18" s="3814" t="str">
        <f>'CALCULS Eau'!E20</f>
        <v>Aucun</v>
      </c>
      <c r="I18" s="3814"/>
      <c r="J18" s="3814"/>
      <c r="K18" s="215"/>
      <c r="L18" s="215"/>
      <c r="M18" s="215"/>
      <c r="N18" s="215"/>
      <c r="O18" s="215"/>
      <c r="P18" s="215"/>
      <c r="Q18" s="215"/>
      <c r="R18" s="67"/>
      <c r="S18" s="1480"/>
      <c r="T18" s="1481"/>
      <c r="U18" s="1996"/>
      <c r="V18" s="66"/>
      <c r="W18" s="1486"/>
      <c r="X18" s="1487"/>
      <c r="Y18" s="66"/>
      <c r="Z18" s="66"/>
      <c r="AA18" s="66"/>
      <c r="AB18" s="66"/>
      <c r="AC18" s="66"/>
      <c r="AD18" s="66"/>
      <c r="AE18" s="1439"/>
      <c r="AF18" s="1439"/>
      <c r="AG18" s="1439"/>
      <c r="AH18" s="1439"/>
      <c r="AI18" s="1439"/>
      <c r="AJ18" s="1439"/>
      <c r="AK18" s="1439"/>
      <c r="AL18" s="1439"/>
      <c r="AM18" s="1439"/>
      <c r="AN18" s="3860">
        <f>'CALCULS Eau'!J191</f>
        <v>0</v>
      </c>
      <c r="AO18" s="3860"/>
      <c r="AP18" s="3860"/>
      <c r="AQ18" s="3860"/>
      <c r="AR18" s="66"/>
      <c r="AS18" s="1483"/>
      <c r="AT18" s="66"/>
      <c r="AU18" s="66"/>
      <c r="AV18" s="66"/>
      <c r="AW18" s="66"/>
      <c r="AX18" s="66"/>
      <c r="AY18" s="1439"/>
      <c r="AZ18" s="1439"/>
      <c r="BA18" s="1439"/>
      <c r="BB18" s="1439"/>
      <c r="BC18" s="1439"/>
      <c r="BD18" s="1439"/>
      <c r="BE18" s="1439"/>
      <c r="BF18" s="1439"/>
      <c r="BG18" s="1484"/>
      <c r="BH18" s="1439"/>
      <c r="BI18" s="1993"/>
      <c r="BJ18" s="1439"/>
      <c r="BK18" s="1554"/>
      <c r="BL18" s="68"/>
      <c r="BM18" s="66"/>
      <c r="BN18" s="3869" t="s">
        <v>194</v>
      </c>
      <c r="BO18" s="3869"/>
      <c r="BP18" s="2867"/>
      <c r="BQ18" s="3874" t="str">
        <f>'CALCULS Eau'!D$268</f>
        <v/>
      </c>
      <c r="BR18" s="3875"/>
      <c r="BS18" s="2620"/>
      <c r="BT18" s="2620"/>
      <c r="BU18" s="2619"/>
      <c r="BV18" s="2870" t="str">
        <f>'CALCULS Eau'!E$268</f>
        <v/>
      </c>
      <c r="BW18" s="2620"/>
      <c r="BX18" s="2620"/>
      <c r="BY18" s="3940" t="str">
        <f>'CALCULS Eau'!F$268</f>
        <v/>
      </c>
      <c r="BZ18" s="3875"/>
      <c r="CA18" s="2870"/>
      <c r="CB18" s="2619"/>
      <c r="CC18" s="59"/>
      <c r="CD18" s="69"/>
      <c r="CE18" s="1485"/>
      <c r="CF18" s="71"/>
    </row>
    <row r="19" spans="2:85" s="72" customFormat="1" ht="18" customHeight="1">
      <c r="B19" s="1479"/>
      <c r="C19" s="64"/>
      <c r="D19" s="2897" t="s">
        <v>748</v>
      </c>
      <c r="E19" s="2851" t="s">
        <v>891</v>
      </c>
      <c r="F19" s="2851"/>
      <c r="H19" s="3718" t="str">
        <f>'CALCULS Eau'!E21</f>
        <v>Aucun</v>
      </c>
      <c r="I19" s="3718"/>
      <c r="J19" s="3718"/>
      <c r="K19" s="215"/>
      <c r="L19" s="215"/>
      <c r="M19" s="215"/>
      <c r="N19" s="215"/>
      <c r="O19" s="215"/>
      <c r="P19" s="215"/>
      <c r="Q19" s="215"/>
      <c r="R19" s="67"/>
      <c r="S19" s="1480"/>
      <c r="T19" s="1481"/>
      <c r="U19" s="1996"/>
      <c r="V19" s="66"/>
      <c r="W19" s="1486"/>
      <c r="X19" s="1487"/>
      <c r="Y19" s="66"/>
      <c r="Z19" s="66"/>
      <c r="AA19" s="66"/>
      <c r="AB19" s="66"/>
      <c r="AC19" s="66"/>
      <c r="AD19" s="66"/>
      <c r="AE19" s="1439"/>
      <c r="AF19" s="1439"/>
      <c r="AG19" s="1439"/>
      <c r="AH19" s="1439"/>
      <c r="AI19" s="1439"/>
      <c r="AJ19" s="1439"/>
      <c r="AK19" s="1439"/>
      <c r="AL19" s="1439"/>
      <c r="AM19" s="1439"/>
      <c r="AN19" s="1439"/>
      <c r="AO19" s="1439"/>
      <c r="AP19" s="1439"/>
      <c r="AQ19" s="66"/>
      <c r="AR19" s="66"/>
      <c r="AS19" s="1483"/>
      <c r="AT19" s="66"/>
      <c r="AU19" s="66"/>
      <c r="AV19" s="66"/>
      <c r="AW19" s="66"/>
      <c r="AX19" s="66"/>
      <c r="AY19" s="1439"/>
      <c r="AZ19" s="1439"/>
      <c r="BA19" s="1439"/>
      <c r="BB19" s="1439"/>
      <c r="BC19" s="1439"/>
      <c r="BD19" s="1439"/>
      <c r="BE19" s="1439"/>
      <c r="BF19" s="1439"/>
      <c r="BG19" s="1484"/>
      <c r="BH19" s="1439"/>
      <c r="BI19" s="1993"/>
      <c r="BJ19" s="1439"/>
      <c r="BK19" s="1554"/>
      <c r="BL19" s="68"/>
      <c r="BM19" s="66"/>
      <c r="BN19" s="3870" t="s">
        <v>192</v>
      </c>
      <c r="BO19" s="3870"/>
      <c r="BP19" s="2868"/>
      <c r="BQ19" s="3876" t="str">
        <f>'CALCULS Eau'!D$269</f>
        <v/>
      </c>
      <c r="BR19" s="3877"/>
      <c r="BS19" s="2622"/>
      <c r="BT19" s="2622"/>
      <c r="BU19" s="2621"/>
      <c r="BV19" s="2871" t="str">
        <f>'CALCULS Eau'!E$269</f>
        <v/>
      </c>
      <c r="BW19" s="2622"/>
      <c r="BX19" s="2622"/>
      <c r="BY19" s="3939" t="str">
        <f>'CALCULS Eau'!F$269</f>
        <v/>
      </c>
      <c r="BZ19" s="3877"/>
      <c r="CA19" s="2871"/>
      <c r="CB19" s="2621"/>
      <c r="CD19" s="69"/>
      <c r="CE19" s="1485"/>
      <c r="CF19" s="71"/>
    </row>
    <row r="20" spans="2:85" s="72" customFormat="1" ht="18" customHeight="1">
      <c r="B20" s="1479"/>
      <c r="C20" s="64"/>
      <c r="D20" s="2898" t="s">
        <v>748</v>
      </c>
      <c r="E20" s="2851" t="s">
        <v>976</v>
      </c>
      <c r="F20" s="2849"/>
      <c r="H20" s="3725" t="str">
        <f>'CALCULS Eau'!E22</f>
        <v>Aucun</v>
      </c>
      <c r="I20" s="3725"/>
      <c r="J20" s="3725"/>
      <c r="K20" s="215"/>
      <c r="L20" s="215"/>
      <c r="M20" s="215"/>
      <c r="N20" s="215"/>
      <c r="O20" s="215"/>
      <c r="P20" s="215"/>
      <c r="Q20" s="215"/>
      <c r="R20" s="67"/>
      <c r="S20" s="1480"/>
      <c r="T20" s="1481"/>
      <c r="U20" s="1996"/>
      <c r="V20" s="66"/>
      <c r="W20" s="1486"/>
      <c r="X20" s="1487"/>
      <c r="Y20" s="66"/>
      <c r="Z20" s="66"/>
      <c r="AA20" s="66"/>
      <c r="AB20" s="66"/>
      <c r="AC20" s="66"/>
      <c r="AD20" s="66"/>
      <c r="AE20" s="1439"/>
      <c r="AF20" s="1439"/>
      <c r="AG20" s="1439"/>
      <c r="AH20" s="1439"/>
      <c r="AI20" s="1439"/>
      <c r="AJ20" s="1439"/>
      <c r="AK20" s="1439"/>
      <c r="AL20" s="1439"/>
      <c r="AM20" s="1439"/>
      <c r="AN20" s="1439"/>
      <c r="AO20" s="1439"/>
      <c r="AP20" s="1439"/>
      <c r="AQ20" s="66"/>
      <c r="AR20" s="66"/>
      <c r="AS20" s="1483"/>
      <c r="AT20" s="66"/>
      <c r="AU20" s="66"/>
      <c r="AV20" s="66"/>
      <c r="AW20" s="66"/>
      <c r="AX20" s="66"/>
      <c r="AY20" s="1439"/>
      <c r="AZ20" s="1439"/>
      <c r="BA20" s="1439"/>
      <c r="BB20" s="1439"/>
      <c r="BC20" s="1439"/>
      <c r="BD20" s="1439"/>
      <c r="BE20" s="1439"/>
      <c r="BF20" s="1439"/>
      <c r="BG20" s="1484"/>
      <c r="BH20" s="1439"/>
      <c r="BI20" s="1993"/>
      <c r="BJ20" s="1439"/>
      <c r="BK20" s="1554"/>
      <c r="BL20" s="68"/>
      <c r="BM20" s="66"/>
      <c r="BN20" s="3859" t="s">
        <v>190</v>
      </c>
      <c r="BO20" s="3859"/>
      <c r="BP20" s="2863"/>
      <c r="BQ20" s="3878" t="str">
        <f>'CALCULS Eau'!D$270</f>
        <v/>
      </c>
      <c r="BR20" s="3879"/>
      <c r="BS20" s="2624"/>
      <c r="BT20" s="2624"/>
      <c r="BU20" s="2623"/>
      <c r="BV20" s="2872" t="str">
        <f>'CALCULS Eau'!E$270</f>
        <v/>
      </c>
      <c r="BW20" s="2624"/>
      <c r="BX20" s="2624"/>
      <c r="BY20" s="3938" t="str">
        <f>'CALCULS Eau'!F$270</f>
        <v/>
      </c>
      <c r="BZ20" s="3879"/>
      <c r="CA20" s="2872"/>
      <c r="CB20" s="2623"/>
      <c r="CD20" s="69"/>
      <c r="CE20" s="1485"/>
      <c r="CF20" s="71"/>
    </row>
    <row r="21" spans="2:85" s="72" customFormat="1" ht="18" customHeight="1">
      <c r="B21" s="1479"/>
      <c r="C21" s="64"/>
      <c r="D21" s="2899" t="str">
        <f>IF('CALCULS Eau'!$G$30="","n","")</f>
        <v>n</v>
      </c>
      <c r="E21" s="2751" t="str">
        <f>IF('CALCULS Eau'!$G$30="","Eaux pluviales /Linéaire","")</f>
        <v>Eaux pluviales /Linéaire</v>
      </c>
      <c r="F21" s="2849"/>
      <c r="H21" s="3814" t="str">
        <f>IF('CALCULS Eau'!$G$30="",'CALCULS Eau'!E23,"")</f>
        <v>Aucun</v>
      </c>
      <c r="I21" s="3814"/>
      <c r="J21" s="3814"/>
      <c r="K21" s="215"/>
      <c r="L21" s="215"/>
      <c r="M21" s="215"/>
      <c r="N21" s="215"/>
      <c r="O21" s="215"/>
      <c r="P21" s="215"/>
      <c r="Q21" s="215"/>
      <c r="R21" s="67"/>
      <c r="S21" s="1480"/>
      <c r="T21" s="1481"/>
      <c r="U21" s="1996"/>
      <c r="V21" s="66"/>
      <c r="W21" s="1486"/>
      <c r="X21" s="1487"/>
      <c r="Y21" s="66"/>
      <c r="Z21" s="66"/>
      <c r="AA21" s="66"/>
      <c r="AB21" s="66"/>
      <c r="AC21" s="66"/>
      <c r="AD21" s="66"/>
      <c r="AE21" s="1439"/>
      <c r="AF21" s="1439"/>
      <c r="AG21" s="1439"/>
      <c r="AH21" s="1439"/>
      <c r="AI21" s="1439"/>
      <c r="AJ21" s="1439"/>
      <c r="AK21" s="1439"/>
      <c r="AL21" s="1439"/>
      <c r="AM21" s="1439"/>
      <c r="AN21" s="1439"/>
      <c r="AO21" s="1439"/>
      <c r="AP21" s="1439"/>
      <c r="AQ21" s="66"/>
      <c r="AR21" s="66"/>
      <c r="AS21" s="1483"/>
      <c r="AT21" s="66"/>
      <c r="AU21" s="66"/>
      <c r="AV21" s="66"/>
      <c r="AW21" s="66"/>
      <c r="AX21" s="66"/>
      <c r="AY21" s="1439"/>
      <c r="AZ21" s="1439"/>
      <c r="BA21" s="1439"/>
      <c r="BB21" s="1439"/>
      <c r="BC21" s="1439"/>
      <c r="BD21" s="1439"/>
      <c r="BE21" s="1439"/>
      <c r="BF21" s="1439"/>
      <c r="BG21" s="1484"/>
      <c r="BH21" s="1439"/>
      <c r="BI21" s="1993"/>
      <c r="BJ21" s="1439"/>
      <c r="BK21" s="1554"/>
      <c r="BL21" s="68"/>
      <c r="BM21" s="66"/>
      <c r="BN21" s="3886" t="s">
        <v>187</v>
      </c>
      <c r="BO21" s="3886"/>
      <c r="BP21" s="2874"/>
      <c r="BQ21" s="3880" t="str">
        <f>'CALCULS Eau'!D$271</f>
        <v/>
      </c>
      <c r="BR21" s="3881"/>
      <c r="BS21" s="2626"/>
      <c r="BT21" s="2626"/>
      <c r="BU21" s="2625"/>
      <c r="BV21" s="2873" t="str">
        <f>'CALCULS Eau'!E$271</f>
        <v/>
      </c>
      <c r="BW21" s="2626"/>
      <c r="BX21" s="2626"/>
      <c r="BY21" s="3937" t="str">
        <f>'CALCULS Eau'!F$271</f>
        <v/>
      </c>
      <c r="BZ21" s="3881"/>
      <c r="CA21" s="2873"/>
      <c r="CB21" s="2625"/>
      <c r="CD21" s="69"/>
      <c r="CE21" s="1485"/>
      <c r="CF21" s="71"/>
    </row>
    <row r="22" spans="2:85" s="72" customFormat="1" ht="15" customHeight="1">
      <c r="B22" s="1479"/>
      <c r="C22" s="64"/>
      <c r="D22" s="2900" t="str">
        <f>IF('CALCULS Eau'!$G$30="","n","")</f>
        <v>n</v>
      </c>
      <c r="E22" s="2851" t="str">
        <f>IF('CALCULS Eau'!$G$30="","Eaux pluviales /Ponctuel","")</f>
        <v>Eaux pluviales /Ponctuel</v>
      </c>
      <c r="F22" s="2849"/>
      <c r="H22" s="3718" t="str">
        <f>IF('CALCULS Eau'!$G$30="",'CALCULS Eau'!E24,"")</f>
        <v>Aucun</v>
      </c>
      <c r="I22" s="3718"/>
      <c r="J22" s="3718"/>
      <c r="K22" s="215"/>
      <c r="L22" s="215"/>
      <c r="M22" s="215"/>
      <c r="N22" s="215"/>
      <c r="O22" s="215"/>
      <c r="P22" s="215"/>
      <c r="Q22" s="215"/>
      <c r="R22" s="67"/>
      <c r="S22" s="1480"/>
      <c r="T22" s="1481"/>
      <c r="U22" s="1996"/>
      <c r="V22" s="66"/>
      <c r="W22" s="1486"/>
      <c r="X22" s="1487"/>
      <c r="Y22" s="66"/>
      <c r="Z22" s="66"/>
      <c r="AA22" s="66"/>
      <c r="AB22" s="66"/>
      <c r="AC22" s="66"/>
      <c r="AD22" s="66"/>
      <c r="AE22" s="1439"/>
      <c r="AF22" s="1439"/>
      <c r="AG22" s="1439"/>
      <c r="AH22" s="1439"/>
      <c r="AI22" s="1439"/>
      <c r="AJ22" s="1439"/>
      <c r="AK22" s="1439"/>
      <c r="AL22" s="1439"/>
      <c r="AM22" s="1439"/>
      <c r="AN22" s="1439"/>
      <c r="AO22" s="1439"/>
      <c r="AP22" s="1439"/>
      <c r="AQ22" s="66"/>
      <c r="AR22" s="66"/>
      <c r="AS22" s="1483"/>
      <c r="AT22" s="66"/>
      <c r="AU22" s="66"/>
      <c r="AV22" s="66"/>
      <c r="AW22" s="66"/>
      <c r="AX22" s="66"/>
      <c r="AY22" s="1439"/>
      <c r="AZ22" s="1439"/>
      <c r="BA22" s="1439"/>
      <c r="BB22" s="1439"/>
      <c r="BC22" s="1439"/>
      <c r="BD22" s="1439"/>
      <c r="BE22" s="1439"/>
      <c r="BF22" s="1439"/>
      <c r="BG22" s="1484"/>
      <c r="BH22" s="1439"/>
      <c r="BI22" s="1993"/>
      <c r="BJ22" s="1439"/>
      <c r="BK22" s="1554"/>
      <c r="BL22" s="68"/>
      <c r="BM22" s="66"/>
      <c r="BN22" s="2826"/>
      <c r="BO22" s="2826"/>
      <c r="BP22" s="76"/>
      <c r="BQ22" s="80"/>
      <c r="BR22" s="2826"/>
      <c r="BS22" s="2826"/>
      <c r="BT22" s="2826"/>
      <c r="BU22" s="1556"/>
      <c r="BV22" s="2826"/>
      <c r="BW22" s="2826"/>
      <c r="BX22" s="2826"/>
      <c r="BY22" s="1555"/>
      <c r="BZ22" s="2826"/>
      <c r="CA22" s="2826"/>
      <c r="CB22" s="1556"/>
      <c r="CD22" s="69"/>
      <c r="CE22" s="1485"/>
      <c r="CF22" s="71"/>
    </row>
    <row r="23" spans="2:85" s="72" customFormat="1" ht="18" customHeight="1">
      <c r="B23" s="1479"/>
      <c r="C23" s="64"/>
      <c r="D23" s="2901" t="str">
        <f>IF('CALCULS Eau'!$G$30="","n","")</f>
        <v>n</v>
      </c>
      <c r="E23" s="2851" t="str">
        <f>IF('CALCULS Eau'!$G$30="","Eaux pluviales /Autres","")</f>
        <v>Eaux pluviales /Autres</v>
      </c>
      <c r="F23" s="2849"/>
      <c r="H23" s="3725" t="str">
        <f>IF('CALCULS Eau'!$G$30="",'CALCULS Eau'!E25,"")</f>
        <v>Aucun</v>
      </c>
      <c r="I23" s="3725"/>
      <c r="J23" s="3725"/>
      <c r="K23" s="215"/>
      <c r="L23" s="215"/>
      <c r="M23" s="215"/>
      <c r="N23" s="215"/>
      <c r="O23" s="215"/>
      <c r="P23" s="215"/>
      <c r="Q23" s="215"/>
      <c r="R23" s="1488"/>
      <c r="S23" s="1489"/>
      <c r="T23" s="1490"/>
      <c r="U23" s="1997"/>
      <c r="V23" s="73"/>
      <c r="W23" s="1491"/>
      <c r="X23" s="1492"/>
      <c r="Y23" s="76"/>
      <c r="Z23" s="76"/>
      <c r="AA23" s="76"/>
      <c r="AB23" s="76"/>
      <c r="AC23" s="76"/>
      <c r="AD23" s="76"/>
      <c r="AE23" s="78"/>
      <c r="AF23" s="78"/>
      <c r="AG23" s="78"/>
      <c r="AH23" s="78"/>
      <c r="AI23" s="78"/>
      <c r="AJ23" s="78"/>
      <c r="AK23" s="78"/>
      <c r="AL23" s="78"/>
      <c r="AM23" s="78"/>
      <c r="AN23" s="78"/>
      <c r="AO23" s="78"/>
      <c r="AP23" s="78"/>
      <c r="AQ23" s="76"/>
      <c r="AR23" s="76"/>
      <c r="AS23" s="1493"/>
      <c r="AT23" s="76"/>
      <c r="AU23" s="76"/>
      <c r="AV23" s="76"/>
      <c r="AW23" s="76"/>
      <c r="AX23" s="76"/>
      <c r="AY23" s="78"/>
      <c r="AZ23" s="78"/>
      <c r="BA23" s="78"/>
      <c r="BB23" s="78"/>
      <c r="BC23" s="78"/>
      <c r="BD23" s="78"/>
      <c r="BE23" s="78"/>
      <c r="BF23" s="78"/>
      <c r="BG23" s="1494"/>
      <c r="BH23" s="78"/>
      <c r="BI23" s="1993"/>
      <c r="BJ23" s="78"/>
      <c r="BK23" s="1557"/>
      <c r="BL23" s="80"/>
      <c r="BM23" s="76"/>
      <c r="BN23" s="3887" t="s">
        <v>95</v>
      </c>
      <c r="BO23" s="3887"/>
      <c r="BP23" s="76"/>
      <c r="BQ23" s="3882" t="e">
        <f>'CALCULS Eau'!E260</f>
        <v>#DIV/0!</v>
      </c>
      <c r="BR23" s="3808"/>
      <c r="BS23" s="3922" t="s">
        <v>977</v>
      </c>
      <c r="BT23" s="3923"/>
      <c r="BU23" s="3923"/>
      <c r="BV23" s="3796" t="e">
        <f>'CALCULS Eau'!E261</f>
        <v>#DIV/0!</v>
      </c>
      <c r="BW23" s="3920" t="s">
        <v>977</v>
      </c>
      <c r="BX23" s="3921"/>
      <c r="BY23" s="3895" t="e">
        <f>'CALCULS Eau'!E262</f>
        <v>#DIV/0!</v>
      </c>
      <c r="BZ23" s="3794"/>
      <c r="CA23" s="3918" t="s">
        <v>977</v>
      </c>
      <c r="CB23" s="3919"/>
      <c r="CD23" s="84"/>
      <c r="CE23" s="1485"/>
      <c r="CF23" s="71"/>
    </row>
    <row r="24" spans="2:85" s="72" customFormat="1" ht="7.5" customHeight="1">
      <c r="B24" s="1479"/>
      <c r="C24" s="64"/>
      <c r="D24" s="3914" t="str">
        <f>'CALCULS Eau'!G30</f>
        <v/>
      </c>
      <c r="E24" s="3914"/>
      <c r="F24" s="3914"/>
      <c r="G24" s="3914"/>
      <c r="H24" s="3914"/>
      <c r="I24" s="3914"/>
      <c r="J24" s="3914"/>
      <c r="K24" s="3914"/>
      <c r="L24" s="215"/>
      <c r="M24" s="215"/>
      <c r="N24" s="215"/>
      <c r="O24" s="215"/>
      <c r="P24" s="215"/>
      <c r="Q24" s="215"/>
      <c r="R24" s="1488"/>
      <c r="S24" s="1489"/>
      <c r="T24" s="1490"/>
      <c r="U24" s="1997"/>
      <c r="V24" s="73"/>
      <c r="W24" s="1491"/>
      <c r="X24" s="1492"/>
      <c r="Y24" s="76"/>
      <c r="Z24" s="76"/>
      <c r="AA24" s="76"/>
      <c r="AB24" s="76"/>
      <c r="AC24" s="76"/>
      <c r="AD24" s="76"/>
      <c r="AE24" s="78"/>
      <c r="AF24" s="78"/>
      <c r="AG24" s="78"/>
      <c r="AH24" s="78"/>
      <c r="AI24" s="78"/>
      <c r="AJ24" s="78"/>
      <c r="AK24" s="78"/>
      <c r="AL24" s="78"/>
      <c r="AM24" s="78"/>
      <c r="AN24" s="78"/>
      <c r="AO24" s="78"/>
      <c r="AP24" s="78"/>
      <c r="AQ24" s="76"/>
      <c r="AR24" s="76"/>
      <c r="AS24" s="1493"/>
      <c r="AT24" s="76"/>
      <c r="AU24" s="76"/>
      <c r="AV24" s="76"/>
      <c r="AW24" s="76"/>
      <c r="AX24" s="76"/>
      <c r="AY24" s="78"/>
      <c r="AZ24" s="78"/>
      <c r="BA24" s="78"/>
      <c r="BB24" s="78"/>
      <c r="BC24" s="78"/>
      <c r="BD24" s="78"/>
      <c r="BE24" s="78"/>
      <c r="BF24" s="78"/>
      <c r="BG24" s="1498"/>
      <c r="BH24" s="78"/>
      <c r="BI24" s="1993"/>
      <c r="BJ24" s="78"/>
      <c r="BK24" s="1557"/>
      <c r="BL24" s="80"/>
      <c r="BM24" s="76"/>
      <c r="BQ24" s="3882"/>
      <c r="BR24" s="3808"/>
      <c r="BS24" s="3922"/>
      <c r="BT24" s="3923"/>
      <c r="BU24" s="3923"/>
      <c r="BV24" s="3796"/>
      <c r="BW24" s="3920"/>
      <c r="BX24" s="3921"/>
      <c r="BY24" s="3895"/>
      <c r="BZ24" s="3794"/>
      <c r="CA24" s="3918"/>
      <c r="CB24" s="3919"/>
      <c r="CC24" s="82"/>
      <c r="CD24" s="84"/>
      <c r="CE24" s="1485"/>
      <c r="CF24" s="71"/>
    </row>
    <row r="25" spans="2:85" s="72" customFormat="1" ht="12.75" customHeight="1">
      <c r="B25" s="1479"/>
      <c r="C25" s="64"/>
      <c r="D25" s="3914"/>
      <c r="E25" s="3914"/>
      <c r="F25" s="3914"/>
      <c r="G25" s="3914"/>
      <c r="H25" s="3914"/>
      <c r="I25" s="3914"/>
      <c r="J25" s="3914"/>
      <c r="K25" s="3914"/>
      <c r="L25" s="215"/>
      <c r="M25" s="215"/>
      <c r="N25" s="215"/>
      <c r="O25" s="215"/>
      <c r="P25" s="215"/>
      <c r="Q25" s="215"/>
      <c r="R25" s="1488"/>
      <c r="S25" s="1489"/>
      <c r="T25" s="1490"/>
      <c r="U25" s="1997"/>
      <c r="V25" s="73"/>
      <c r="W25" s="1491"/>
      <c r="X25" s="1492"/>
      <c r="Y25" s="76"/>
      <c r="Z25" s="76"/>
      <c r="AA25" s="76"/>
      <c r="AB25" s="76"/>
      <c r="AC25" s="76"/>
      <c r="AD25" s="76"/>
      <c r="AE25" s="78"/>
      <c r="AF25" s="78"/>
      <c r="AG25" s="78"/>
      <c r="AH25" s="78"/>
      <c r="AI25" s="78"/>
      <c r="AJ25" s="78"/>
      <c r="AK25" s="78"/>
      <c r="AL25" s="78"/>
      <c r="AM25" s="78"/>
      <c r="AN25" s="78"/>
      <c r="AO25" s="78"/>
      <c r="AP25" s="78"/>
      <c r="AQ25" s="76"/>
      <c r="AR25" s="76"/>
      <c r="AS25" s="1493"/>
      <c r="AT25" s="76"/>
      <c r="AU25" s="3871" t="s">
        <v>2287</v>
      </c>
      <c r="AV25" s="3871"/>
      <c r="AW25" s="3871"/>
      <c r="AX25" s="3871"/>
      <c r="AY25" s="3871"/>
      <c r="AZ25" s="3871"/>
      <c r="BA25" s="3871"/>
      <c r="BB25" s="78"/>
      <c r="BC25" s="78"/>
      <c r="BD25" s="78"/>
      <c r="BE25" s="78"/>
      <c r="BF25" s="78"/>
      <c r="BG25" s="1498"/>
      <c r="BH25" s="78"/>
      <c r="BI25" s="1993"/>
      <c r="BJ25" s="78"/>
      <c r="BK25" s="1557"/>
      <c r="BL25" s="80"/>
      <c r="BM25" s="76"/>
      <c r="CC25" s="82"/>
      <c r="CD25" s="84"/>
      <c r="CE25" s="1485"/>
      <c r="CF25" s="71"/>
    </row>
    <row r="26" spans="2:85" s="72" customFormat="1" ht="15" customHeight="1">
      <c r="B26" s="1479"/>
      <c r="C26" s="64"/>
      <c r="D26" s="3914"/>
      <c r="E26" s="3914"/>
      <c r="F26" s="3914"/>
      <c r="G26" s="3914"/>
      <c r="H26" s="3914"/>
      <c r="I26" s="3914"/>
      <c r="J26" s="3914"/>
      <c r="K26" s="3914"/>
      <c r="L26" s="215"/>
      <c r="M26" s="215"/>
      <c r="N26" s="215"/>
      <c r="O26" s="215"/>
      <c r="P26" s="215"/>
      <c r="Q26" s="215" t="s">
        <v>552</v>
      </c>
      <c r="R26" s="1488"/>
      <c r="S26" s="1489"/>
      <c r="T26" s="1490"/>
      <c r="U26" s="1997"/>
      <c r="V26" s="73"/>
      <c r="W26" s="1491"/>
      <c r="X26" s="1492"/>
      <c r="Y26" s="2902" t="s">
        <v>748</v>
      </c>
      <c r="Z26" s="2903" t="s">
        <v>901</v>
      </c>
      <c r="AA26" s="2903"/>
      <c r="AB26" s="2903"/>
      <c r="AC26" s="2904" t="s">
        <v>748</v>
      </c>
      <c r="AD26" s="2905" t="s">
        <v>103</v>
      </c>
      <c r="AF26" s="2903"/>
      <c r="AG26" s="2903"/>
      <c r="AH26" s="2903"/>
      <c r="AI26" s="2903"/>
      <c r="AJ26" s="2906" t="s">
        <v>748</v>
      </c>
      <c r="AK26" s="2903" t="s">
        <v>902</v>
      </c>
      <c r="AL26" s="2903"/>
      <c r="AM26" s="78"/>
      <c r="AN26" s="78"/>
      <c r="AO26" s="78"/>
      <c r="AP26" s="78"/>
      <c r="AQ26" s="76"/>
      <c r="AR26" s="76"/>
      <c r="AS26" s="1493"/>
      <c r="AT26" s="76"/>
      <c r="AU26" s="3871"/>
      <c r="AV26" s="3871"/>
      <c r="AW26" s="3871"/>
      <c r="AX26" s="3871"/>
      <c r="AY26" s="3871"/>
      <c r="AZ26" s="3871"/>
      <c r="BA26" s="3871"/>
      <c r="BB26" s="78"/>
      <c r="BC26" s="78"/>
      <c r="BD26" s="78"/>
      <c r="BE26" s="78"/>
      <c r="BF26" s="78"/>
      <c r="BG26" s="1498"/>
      <c r="BH26" s="78"/>
      <c r="BI26" s="1993"/>
      <c r="BJ26" s="78"/>
      <c r="BK26" s="1557"/>
      <c r="BL26" s="80"/>
      <c r="BM26" s="76"/>
      <c r="BN26" s="1456"/>
      <c r="BO26" s="2826"/>
      <c r="BP26" s="76"/>
      <c r="BQ26" s="76"/>
      <c r="BR26" s="2826"/>
      <c r="BS26" s="2826"/>
      <c r="BT26" s="2826"/>
      <c r="BU26" s="2826"/>
      <c r="BV26" s="2826"/>
      <c r="BW26" s="2826"/>
      <c r="BX26" s="2826"/>
      <c r="BY26" s="2826"/>
      <c r="BZ26" s="2826"/>
      <c r="CA26" s="2826"/>
      <c r="CB26" s="2826"/>
      <c r="CC26" s="82"/>
      <c r="CD26" s="84"/>
      <c r="CE26" s="1485"/>
      <c r="CF26" s="71"/>
      <c r="CG26" s="1558"/>
    </row>
    <row r="27" spans="2:85" s="72" customFormat="1" ht="9.75" customHeight="1">
      <c r="B27" s="1479"/>
      <c r="C27" s="64"/>
      <c r="D27" s="3888"/>
      <c r="E27" s="3888"/>
      <c r="F27" s="3888"/>
      <c r="G27" s="3888"/>
      <c r="H27" s="3888"/>
      <c r="I27" s="3888"/>
      <c r="J27" s="3888"/>
      <c r="K27" s="3888"/>
      <c r="L27" s="3888"/>
      <c r="M27" s="2875"/>
      <c r="N27" s="2875"/>
      <c r="O27" s="2875"/>
      <c r="P27" s="2875"/>
      <c r="Q27" s="2860"/>
      <c r="R27" s="1488"/>
      <c r="S27" s="1489"/>
      <c r="T27" s="1490"/>
      <c r="U27" s="1997"/>
      <c r="V27" s="73"/>
      <c r="W27" s="1491"/>
      <c r="X27" s="1492"/>
      <c r="Y27" s="1482"/>
      <c r="Z27" s="1482"/>
      <c r="AA27" s="1482"/>
      <c r="AB27" s="1482"/>
      <c r="AC27" s="1482"/>
      <c r="AD27" s="1482"/>
      <c r="AE27" s="1482"/>
      <c r="AF27" s="1482"/>
      <c r="AG27" s="1482"/>
      <c r="AH27" s="1482"/>
      <c r="AI27" s="1482"/>
      <c r="AJ27" s="1482"/>
      <c r="AK27" s="1482"/>
      <c r="AL27" s="1482"/>
      <c r="AM27" s="1482"/>
      <c r="AN27" s="1482"/>
      <c r="AO27" s="1482"/>
      <c r="AP27" s="1482"/>
      <c r="AQ27" s="1559"/>
      <c r="AR27" s="76"/>
      <c r="AS27" s="1493"/>
      <c r="AT27" s="76"/>
      <c r="AU27" s="3871"/>
      <c r="AV27" s="3871"/>
      <c r="AW27" s="3871"/>
      <c r="AX27" s="3871"/>
      <c r="AY27" s="3871"/>
      <c r="AZ27" s="3871"/>
      <c r="BA27" s="3871"/>
      <c r="BB27" s="1482"/>
      <c r="BC27" s="1482"/>
      <c r="BD27" s="1482"/>
      <c r="BE27" s="1482"/>
      <c r="BF27" s="1482"/>
      <c r="BG27" s="1498"/>
      <c r="BH27" s="1482"/>
      <c r="BI27" s="1993"/>
      <c r="BJ27" s="1482"/>
      <c r="BK27" s="1551"/>
      <c r="BL27" s="1560"/>
      <c r="BM27" s="1552"/>
      <c r="BN27" s="2826"/>
      <c r="BO27" s="2826"/>
      <c r="BP27" s="1559"/>
      <c r="BQ27" s="1559"/>
      <c r="BR27" s="2826"/>
      <c r="BS27" s="2826"/>
      <c r="BT27" s="2826"/>
      <c r="BU27" s="2826"/>
      <c r="BV27" s="2826"/>
      <c r="BW27" s="2826"/>
      <c r="BX27" s="2826"/>
      <c r="BY27" s="2826"/>
      <c r="BZ27" s="2826"/>
      <c r="CA27" s="2826"/>
      <c r="CB27" s="2826"/>
      <c r="CC27" s="82"/>
      <c r="CD27" s="84"/>
      <c r="CE27" s="1485"/>
      <c r="CF27" s="71"/>
    </row>
    <row r="28" spans="2:85" s="72" customFormat="1" ht="15" customHeight="1">
      <c r="B28" s="1479"/>
      <c r="C28" s="1499"/>
      <c r="D28" s="1500"/>
      <c r="E28" s="1500"/>
      <c r="F28" s="1500"/>
      <c r="G28" s="1500"/>
      <c r="H28" s="1500"/>
      <c r="I28" s="1500"/>
      <c r="J28" s="1500"/>
      <c r="K28" s="1500"/>
      <c r="L28" s="1500"/>
      <c r="M28" s="1500"/>
      <c r="N28" s="1500"/>
      <c r="O28" s="1500"/>
      <c r="P28" s="1500"/>
      <c r="Q28" s="1500"/>
      <c r="R28" s="1501"/>
      <c r="S28" s="1489"/>
      <c r="T28" s="1490"/>
      <c r="U28" s="1997"/>
      <c r="V28" s="73"/>
      <c r="W28" s="1491"/>
      <c r="X28" s="1561"/>
      <c r="Y28" s="1562"/>
      <c r="Z28" s="1562"/>
      <c r="AA28" s="1562"/>
      <c r="AB28" s="1562"/>
      <c r="AC28" s="1562"/>
      <c r="AD28" s="1562"/>
      <c r="AE28" s="1563"/>
      <c r="AF28" s="1563"/>
      <c r="AG28" s="1563"/>
      <c r="AH28" s="1563"/>
      <c r="AI28" s="1563"/>
      <c r="AJ28" s="1563"/>
      <c r="AK28" s="1563"/>
      <c r="AL28" s="1563"/>
      <c r="AM28" s="1563"/>
      <c r="AN28" s="1563"/>
      <c r="AO28" s="1563"/>
      <c r="AP28" s="1563"/>
      <c r="AQ28" s="1564"/>
      <c r="AR28" s="1565"/>
      <c r="AS28" s="1566"/>
      <c r="AT28" s="132"/>
      <c r="AU28" s="66"/>
      <c r="AV28" s="2674" t="s">
        <v>748</v>
      </c>
      <c r="AW28" s="2480" t="s">
        <v>31</v>
      </c>
      <c r="AX28" s="2480"/>
      <c r="AY28" s="1439"/>
      <c r="AZ28" s="1439"/>
      <c r="BA28" s="1439"/>
      <c r="BB28" s="1439"/>
      <c r="BC28" s="1439"/>
      <c r="BD28" s="1439"/>
      <c r="BE28" s="1559"/>
      <c r="BF28" s="79"/>
      <c r="BG28" s="1567"/>
      <c r="BH28" s="1439"/>
      <c r="BI28" s="1993"/>
      <c r="BJ28" s="1439"/>
      <c r="BK28" s="1554"/>
      <c r="BL28" s="1564"/>
      <c r="BM28" s="1568"/>
      <c r="BN28" s="1569"/>
      <c r="BO28" s="1569"/>
      <c r="BP28" s="1564"/>
      <c r="BQ28" s="1564"/>
      <c r="BR28" s="1569"/>
      <c r="BS28" s="1569"/>
      <c r="BT28" s="1569"/>
      <c r="BU28" s="1569"/>
      <c r="BV28" s="1570"/>
      <c r="BW28" s="1561"/>
      <c r="BX28" s="1561"/>
      <c r="BY28" s="1561"/>
      <c r="BZ28" s="1561"/>
      <c r="CA28" s="1561"/>
      <c r="CB28" s="1562"/>
      <c r="CC28" s="1561"/>
      <c r="CD28" s="1561"/>
      <c r="CE28" s="1571"/>
      <c r="CF28" s="71"/>
    </row>
    <row r="29" spans="2:85" s="72" customFormat="1" ht="10.5" customHeight="1">
      <c r="B29" s="1503"/>
      <c r="C29" s="64"/>
      <c r="D29" s="1502"/>
      <c r="E29" s="1502"/>
      <c r="F29" s="1502"/>
      <c r="G29" s="1502"/>
      <c r="H29" s="1502"/>
      <c r="I29" s="1502"/>
      <c r="J29" s="1502"/>
      <c r="K29" s="1502"/>
      <c r="L29" s="1502"/>
      <c r="M29" s="1502"/>
      <c r="N29" s="1502"/>
      <c r="O29" s="1502"/>
      <c r="P29" s="1502"/>
      <c r="Q29" s="2675"/>
      <c r="R29" s="1488"/>
      <c r="S29" s="1505"/>
      <c r="T29" s="73"/>
      <c r="U29" s="1997"/>
      <c r="V29" s="73"/>
      <c r="W29" s="1491"/>
      <c r="X29" s="132"/>
      <c r="Y29" s="66"/>
      <c r="Z29" s="66"/>
      <c r="AA29" s="66"/>
      <c r="AB29" s="66"/>
      <c r="AC29" s="66"/>
      <c r="AD29" s="66"/>
      <c r="AE29" s="1439"/>
      <c r="AF29" s="1439"/>
      <c r="AG29" s="1439"/>
      <c r="AH29" s="1439"/>
      <c r="AI29" s="1439"/>
      <c r="AJ29" s="1439"/>
      <c r="AK29" s="1439"/>
      <c r="AL29" s="1439"/>
      <c r="AM29" s="1439"/>
      <c r="AN29" s="1439"/>
      <c r="AO29" s="1439"/>
      <c r="AP29" s="1439"/>
      <c r="AQ29" s="66"/>
      <c r="AR29" s="79"/>
      <c r="AS29" s="1505"/>
      <c r="AT29" s="76"/>
      <c r="AU29" s="66"/>
      <c r="AV29" s="3867" t="s">
        <v>748</v>
      </c>
      <c r="AW29" s="3868" t="s">
        <v>32</v>
      </c>
      <c r="AX29" s="3868"/>
      <c r="AY29" s="3868"/>
      <c r="AZ29" s="1439"/>
      <c r="BA29" s="1439"/>
      <c r="BB29" s="1439"/>
      <c r="BC29" s="1439"/>
      <c r="BD29" s="1439"/>
      <c r="BE29" s="1439"/>
      <c r="BF29" s="1439"/>
      <c r="BG29" s="1498"/>
      <c r="BH29" s="1439"/>
      <c r="BI29" s="1993"/>
      <c r="BJ29" s="1439"/>
      <c r="BK29" s="1554"/>
      <c r="BL29" s="68"/>
      <c r="BM29" s="66"/>
      <c r="BN29" s="2826"/>
      <c r="BO29" s="2826"/>
      <c r="BP29" s="66"/>
      <c r="BQ29" s="66"/>
      <c r="BR29" s="2826"/>
      <c r="BS29" s="2826"/>
      <c r="BT29" s="2826"/>
      <c r="BU29" s="2826"/>
      <c r="BV29" s="66"/>
      <c r="BW29" s="66"/>
      <c r="BX29" s="66"/>
      <c r="BY29" s="66"/>
      <c r="BZ29" s="66"/>
      <c r="CA29" s="66"/>
      <c r="CB29" s="66"/>
      <c r="CC29" s="59"/>
      <c r="CD29" s="84"/>
      <c r="CE29" s="1485"/>
      <c r="CF29" s="71"/>
    </row>
    <row r="30" spans="2:85" s="72" customFormat="1" ht="5.25" customHeight="1">
      <c r="B30" s="1479"/>
      <c r="C30" s="64"/>
      <c r="D30" s="3865" t="s">
        <v>747</v>
      </c>
      <c r="E30" s="3865"/>
      <c r="F30" s="3865"/>
      <c r="G30" s="3865"/>
      <c r="H30" s="3865"/>
      <c r="I30" s="3865"/>
      <c r="J30" s="3865"/>
      <c r="K30" s="215"/>
      <c r="L30" s="215"/>
      <c r="M30" s="215"/>
      <c r="N30" s="215"/>
      <c r="O30" s="215"/>
      <c r="P30" s="215"/>
      <c r="Q30" s="3857">
        <f>'CALCULS Eau'!M93</f>
        <v>0</v>
      </c>
      <c r="R30" s="1488"/>
      <c r="S30" s="1489"/>
      <c r="T30" s="1490"/>
      <c r="U30" s="1997"/>
      <c r="V30" s="73"/>
      <c r="W30" s="1491"/>
      <c r="X30" s="1492"/>
      <c r="Y30" s="3865" t="s">
        <v>978</v>
      </c>
      <c r="Z30" s="3865"/>
      <c r="AA30" s="3865"/>
      <c r="AB30" s="3865"/>
      <c r="AC30" s="3865"/>
      <c r="AD30" s="3865"/>
      <c r="AE30" s="3865"/>
      <c r="AF30" s="3865"/>
      <c r="AG30" s="3865"/>
      <c r="AH30" s="1439"/>
      <c r="AI30" s="1439"/>
      <c r="AJ30" s="1439"/>
      <c r="AK30" s="1439"/>
      <c r="AL30" s="1439"/>
      <c r="AM30" s="1439"/>
      <c r="AN30" s="1439"/>
      <c r="AO30" s="1439"/>
      <c r="AP30" s="1439"/>
      <c r="AQ30" s="3864">
        <f>'CALCULS Eau'!G189</f>
        <v>0</v>
      </c>
      <c r="AR30" s="76"/>
      <c r="AS30" s="1493"/>
      <c r="AT30" s="76"/>
      <c r="AU30" s="1546"/>
      <c r="AV30" s="3867"/>
      <c r="AW30" s="3868"/>
      <c r="AX30" s="3868"/>
      <c r="AY30" s="3868"/>
      <c r="AZ30" s="1439"/>
      <c r="BA30" s="1439"/>
      <c r="BB30" s="1439"/>
      <c r="BC30" s="1439"/>
      <c r="BD30" s="1439"/>
      <c r="BF30" s="1439"/>
      <c r="BG30" s="1498"/>
      <c r="BH30" s="1439"/>
      <c r="BI30" s="1993"/>
      <c r="BJ30" s="1439"/>
      <c r="BK30" s="1554"/>
      <c r="BL30" s="68"/>
      <c r="BM30" s="3888" t="s">
        <v>979</v>
      </c>
      <c r="BN30" s="3888"/>
      <c r="BO30" s="3888"/>
      <c r="BP30" s="3888"/>
      <c r="BQ30" s="3888"/>
      <c r="BR30" s="3888"/>
      <c r="BS30" s="3888"/>
      <c r="BT30" s="3888"/>
      <c r="BU30" s="3888"/>
      <c r="BV30" s="3888"/>
      <c r="BW30" s="3888"/>
      <c r="BX30" s="3888"/>
      <c r="BY30" s="3888"/>
      <c r="BZ30" s="3888"/>
      <c r="CA30" s="3888"/>
      <c r="CB30" s="66"/>
      <c r="CC30" s="82"/>
      <c r="CD30" s="84"/>
      <c r="CE30" s="1485"/>
      <c r="CF30" s="71"/>
    </row>
    <row r="31" spans="2:85" s="72" customFormat="1" ht="13.5" customHeight="1">
      <c r="B31" s="1479"/>
      <c r="C31" s="64"/>
      <c r="D31" s="3865"/>
      <c r="E31" s="3865"/>
      <c r="F31" s="3865"/>
      <c r="G31" s="3865"/>
      <c r="H31" s="3865"/>
      <c r="I31" s="3865"/>
      <c r="J31" s="3865"/>
      <c r="K31" s="215"/>
      <c r="L31" s="215"/>
      <c r="M31" s="215"/>
      <c r="N31" s="215"/>
      <c r="O31" s="215"/>
      <c r="P31" s="215"/>
      <c r="Q31" s="3857"/>
      <c r="R31" s="1488"/>
      <c r="S31" s="1489"/>
      <c r="T31" s="1490"/>
      <c r="U31" s="1997"/>
      <c r="V31" s="73"/>
      <c r="W31" s="1491"/>
      <c r="X31" s="1492"/>
      <c r="Y31" s="3865"/>
      <c r="Z31" s="3865"/>
      <c r="AA31" s="3865"/>
      <c r="AB31" s="3865"/>
      <c r="AC31" s="3865"/>
      <c r="AD31" s="3865"/>
      <c r="AE31" s="3865"/>
      <c r="AF31" s="3865"/>
      <c r="AG31" s="3865"/>
      <c r="AH31" s="1439"/>
      <c r="AI31" s="1439"/>
      <c r="AJ31" s="1439"/>
      <c r="AK31" s="1439"/>
      <c r="AL31" s="1439"/>
      <c r="AM31" s="1439"/>
      <c r="AN31" s="1439"/>
      <c r="AO31" s="1439"/>
      <c r="AP31" s="1439"/>
      <c r="AQ31" s="3864"/>
      <c r="AR31" s="76"/>
      <c r="AS31" s="1493"/>
      <c r="AT31" s="76"/>
      <c r="AU31" s="3866" t="s">
        <v>48</v>
      </c>
      <c r="AV31" s="3866"/>
      <c r="AW31" s="3866"/>
      <c r="AX31" s="3866"/>
      <c r="AY31" s="3866"/>
      <c r="AZ31" s="3866"/>
      <c r="BA31" s="3866"/>
      <c r="BB31" s="3866"/>
      <c r="BC31" s="2866"/>
      <c r="BD31" s="1439"/>
      <c r="BF31" s="1439"/>
      <c r="BG31" s="1498"/>
      <c r="BH31" s="1439"/>
      <c r="BI31" s="1993"/>
      <c r="BJ31" s="1439"/>
      <c r="BK31" s="1554"/>
      <c r="BL31" s="68"/>
      <c r="BM31" s="3888"/>
      <c r="BN31" s="3888"/>
      <c r="BO31" s="3888"/>
      <c r="BP31" s="3888"/>
      <c r="BQ31" s="3888"/>
      <c r="BR31" s="3888"/>
      <c r="BS31" s="3888"/>
      <c r="BT31" s="3888"/>
      <c r="BU31" s="3888"/>
      <c r="BV31" s="3888"/>
      <c r="BW31" s="3888"/>
      <c r="BX31" s="3888"/>
      <c r="BY31" s="3888"/>
      <c r="BZ31" s="3888"/>
      <c r="CA31" s="3888"/>
      <c r="CB31" s="66"/>
      <c r="CC31" s="82"/>
      <c r="CD31" s="84"/>
      <c r="CE31" s="1485"/>
      <c r="CF31" s="71"/>
    </row>
    <row r="32" spans="2:85" s="72" customFormat="1" ht="7.5" customHeight="1">
      <c r="B32" s="1479"/>
      <c r="C32" s="64"/>
      <c r="D32" s="51"/>
      <c r="E32" s="51"/>
      <c r="F32" s="51"/>
      <c r="G32" s="51"/>
      <c r="H32" s="51"/>
      <c r="I32" s="51"/>
      <c r="J32" s="51"/>
      <c r="K32" s="215"/>
      <c r="L32" s="215"/>
      <c r="M32" s="215"/>
      <c r="N32" s="215"/>
      <c r="O32" s="215"/>
      <c r="P32" s="215"/>
      <c r="Q32" s="2540"/>
      <c r="R32" s="1488"/>
      <c r="S32" s="1489"/>
      <c r="T32" s="1490"/>
      <c r="U32" s="1997"/>
      <c r="V32" s="73"/>
      <c r="W32" s="1491"/>
      <c r="X32" s="1492"/>
      <c r="Y32" s="51"/>
      <c r="Z32" s="51"/>
      <c r="AA32" s="51"/>
      <c r="AB32" s="51"/>
      <c r="AC32" s="51"/>
      <c r="AD32" s="51"/>
      <c r="AE32" s="1439"/>
      <c r="AF32" s="1439"/>
      <c r="AG32" s="1439"/>
      <c r="AH32" s="1439"/>
      <c r="AI32" s="1439"/>
      <c r="AJ32" s="1439"/>
      <c r="AK32" s="1439"/>
      <c r="AL32" s="1439"/>
      <c r="AM32" s="1439"/>
      <c r="AN32" s="1439"/>
      <c r="AO32" s="1439"/>
      <c r="AP32" s="1439"/>
      <c r="AQ32" s="2555"/>
      <c r="AR32" s="76"/>
      <c r="AS32" s="1493"/>
      <c r="AT32" s="76"/>
      <c r="AU32" s="3866"/>
      <c r="AV32" s="3866"/>
      <c r="AW32" s="3866"/>
      <c r="AX32" s="3866"/>
      <c r="AY32" s="3866"/>
      <c r="AZ32" s="3866"/>
      <c r="BA32" s="3866"/>
      <c r="BB32" s="3866"/>
      <c r="BC32" s="2866"/>
      <c r="BD32" s="1439"/>
      <c r="BF32" s="1439"/>
      <c r="BG32" s="1498"/>
      <c r="BH32" s="1439"/>
      <c r="BI32" s="1993"/>
      <c r="BJ32" s="1439"/>
      <c r="BK32" s="1554"/>
      <c r="BL32" s="68"/>
      <c r="BM32" s="1546"/>
      <c r="BN32" s="2826"/>
      <c r="BO32" s="2826"/>
      <c r="BP32" s="66"/>
      <c r="BQ32" s="66"/>
      <c r="BR32" s="2826"/>
      <c r="BS32" s="2826"/>
      <c r="BT32" s="2826"/>
      <c r="BU32" s="2826"/>
      <c r="BV32" s="1572"/>
      <c r="BW32" s="1572"/>
      <c r="BX32" s="1572"/>
      <c r="BY32" s="82"/>
      <c r="BZ32" s="82"/>
      <c r="CA32" s="82"/>
      <c r="CB32" s="66"/>
      <c r="CC32" s="82"/>
      <c r="CD32" s="84"/>
      <c r="CE32" s="1485"/>
      <c r="CF32" s="71"/>
    </row>
    <row r="33" spans="2:84" s="72" customFormat="1" ht="6.75" customHeight="1">
      <c r="B33" s="1479"/>
      <c r="C33" s="64"/>
      <c r="D33" s="51"/>
      <c r="E33" s="51"/>
      <c r="F33" s="51"/>
      <c r="G33" s="51"/>
      <c r="H33" s="51"/>
      <c r="I33" s="51"/>
      <c r="J33" s="51"/>
      <c r="K33" s="51"/>
      <c r="L33" s="215"/>
      <c r="M33" s="215"/>
      <c r="N33" s="215"/>
      <c r="O33" s="215"/>
      <c r="P33" s="215"/>
      <c r="Q33" s="1504"/>
      <c r="R33" s="1488"/>
      <c r="S33" s="1489"/>
      <c r="T33" s="1490"/>
      <c r="U33" s="1997"/>
      <c r="V33" s="73"/>
      <c r="W33" s="1491"/>
      <c r="X33" s="1492"/>
      <c r="Y33" s="66"/>
      <c r="Z33" s="66"/>
      <c r="AA33" s="66"/>
      <c r="AB33" s="66"/>
      <c r="AC33" s="66"/>
      <c r="AD33" s="66"/>
      <c r="AE33" s="1439"/>
      <c r="AF33" s="1439"/>
      <c r="AG33" s="1439"/>
      <c r="AH33" s="1439"/>
      <c r="AI33" s="1439"/>
      <c r="AJ33" s="1439"/>
      <c r="AK33" s="1439"/>
      <c r="AL33" s="1439"/>
      <c r="AM33" s="1439"/>
      <c r="AN33" s="1439"/>
      <c r="AO33" s="1439"/>
      <c r="AP33" s="1439"/>
      <c r="AQ33" s="66"/>
      <c r="AR33" s="76"/>
      <c r="AS33" s="1493"/>
      <c r="AT33" s="76"/>
      <c r="AU33" s="2671"/>
      <c r="AV33" s="3844" t="s">
        <v>748</v>
      </c>
      <c r="AW33" s="3816" t="s">
        <v>76</v>
      </c>
      <c r="AX33" s="3816"/>
      <c r="AY33" s="3816"/>
      <c r="AZ33" s="3816"/>
      <c r="BA33" s="3816"/>
      <c r="BB33" s="2671"/>
      <c r="BC33" s="2671"/>
      <c r="BD33" s="1439"/>
      <c r="BE33" s="1439"/>
      <c r="BF33" s="1439"/>
      <c r="BG33" s="1498"/>
      <c r="BH33" s="1439"/>
      <c r="BI33" s="1993"/>
      <c r="BJ33" s="1439"/>
      <c r="BK33" s="1554"/>
      <c r="BL33" s="68"/>
      <c r="BM33" s="66"/>
      <c r="BN33" s="2826"/>
      <c r="BO33" s="2826"/>
      <c r="BP33" s="66"/>
      <c r="BQ33" s="3908" t="s">
        <v>307</v>
      </c>
      <c r="BR33" s="3909"/>
      <c r="BS33" s="3909"/>
      <c r="BT33" s="3909"/>
      <c r="BU33" s="3910"/>
      <c r="BV33" s="3892" t="s">
        <v>308</v>
      </c>
      <c r="BW33" s="3893"/>
      <c r="BX33" s="3894"/>
      <c r="BY33" s="3889" t="s">
        <v>309</v>
      </c>
      <c r="BZ33" s="3890"/>
      <c r="CA33" s="3890"/>
      <c r="CB33" s="3891"/>
      <c r="CC33" s="82"/>
      <c r="CD33" s="84"/>
      <c r="CE33" s="1485"/>
      <c r="CF33" s="71"/>
    </row>
    <row r="34" spans="2:84" s="72" customFormat="1" ht="18" customHeight="1">
      <c r="B34" s="1479"/>
      <c r="C34" s="64"/>
      <c r="D34" s="215"/>
      <c r="E34" s="215"/>
      <c r="F34" s="215"/>
      <c r="G34" s="215"/>
      <c r="H34" s="215"/>
      <c r="I34" s="215"/>
      <c r="J34" s="215"/>
      <c r="K34" s="215"/>
      <c r="L34" s="215"/>
      <c r="M34" s="215"/>
      <c r="N34" s="215"/>
      <c r="O34" s="215"/>
      <c r="P34" s="215"/>
      <c r="Q34" s="1504"/>
      <c r="R34" s="1488"/>
      <c r="S34" s="1489"/>
      <c r="T34" s="1490"/>
      <c r="U34" s="1997"/>
      <c r="V34" s="73"/>
      <c r="W34" s="1491"/>
      <c r="X34" s="1492"/>
      <c r="AE34" s="1439"/>
      <c r="AF34" s="1439"/>
      <c r="AG34" s="1439"/>
      <c r="AH34" s="1439"/>
      <c r="AI34" s="1439"/>
      <c r="AJ34" s="1439"/>
      <c r="AK34" s="1439"/>
      <c r="AL34" s="1439"/>
      <c r="AM34" s="1439"/>
      <c r="AN34" s="2556"/>
      <c r="AO34" s="1439"/>
      <c r="AP34" s="1439"/>
      <c r="AQ34" s="66"/>
      <c r="AR34" s="76"/>
      <c r="AS34" s="1493"/>
      <c r="AT34" s="76"/>
      <c r="AU34" s="66"/>
      <c r="AV34" s="3844"/>
      <c r="AW34" s="3816"/>
      <c r="AX34" s="3816"/>
      <c r="AY34" s="3816"/>
      <c r="AZ34" s="3816"/>
      <c r="BA34" s="3816"/>
      <c r="BB34" s="1439"/>
      <c r="BC34" s="1439"/>
      <c r="BD34" s="1439"/>
      <c r="BE34" s="1439"/>
      <c r="BF34" s="1439"/>
      <c r="BG34" s="1498"/>
      <c r="BH34" s="1439"/>
      <c r="BI34" s="1993"/>
      <c r="BJ34" s="1439"/>
      <c r="BK34" s="1554"/>
      <c r="BL34" s="68"/>
      <c r="BM34" s="66"/>
      <c r="BN34" s="2826"/>
      <c r="BO34" s="2826"/>
      <c r="BP34" s="66"/>
      <c r="BQ34" s="3908"/>
      <c r="BR34" s="3909"/>
      <c r="BS34" s="3909"/>
      <c r="BT34" s="3909"/>
      <c r="BU34" s="3910"/>
      <c r="BV34" s="3892"/>
      <c r="BW34" s="3893"/>
      <c r="BX34" s="3894"/>
      <c r="BY34" s="3889"/>
      <c r="BZ34" s="3890"/>
      <c r="CA34" s="3890"/>
      <c r="CB34" s="3891"/>
      <c r="CC34" s="82"/>
      <c r="CD34" s="84"/>
      <c r="CE34" s="1485"/>
      <c r="CF34" s="71"/>
    </row>
    <row r="35" spans="2:84" s="72" customFormat="1" ht="15" customHeight="1">
      <c r="B35" s="1479"/>
      <c r="C35" s="64"/>
      <c r="D35" s="215"/>
      <c r="E35" s="215"/>
      <c r="F35" s="215"/>
      <c r="G35" s="215"/>
      <c r="H35" s="215"/>
      <c r="I35" s="215"/>
      <c r="J35" s="215"/>
      <c r="K35" s="215"/>
      <c r="L35" s="215"/>
      <c r="M35" s="215"/>
      <c r="N35" s="215"/>
      <c r="O35" s="2907" t="s">
        <v>748</v>
      </c>
      <c r="P35" s="2849" t="s">
        <v>544</v>
      </c>
      <c r="Q35" s="2706"/>
      <c r="R35" s="1488"/>
      <c r="S35" s="1489"/>
      <c r="T35" s="1490"/>
      <c r="U35" s="1997"/>
      <c r="V35" s="73"/>
      <c r="W35" s="1491"/>
      <c r="X35" s="1492"/>
      <c r="AE35" s="1439"/>
      <c r="AF35" s="1439"/>
      <c r="AG35" s="1439"/>
      <c r="AH35" s="1439"/>
      <c r="AI35" s="1439"/>
      <c r="AJ35" s="1439"/>
      <c r="AK35" s="1439"/>
      <c r="AL35" s="1439"/>
      <c r="AM35" s="1439"/>
      <c r="AN35" s="2556" t="s">
        <v>974</v>
      </c>
      <c r="AO35" s="1439"/>
      <c r="AP35" s="1439"/>
      <c r="AQ35" s="66"/>
      <c r="AR35" s="76"/>
      <c r="AS35" s="1493"/>
      <c r="AT35" s="76"/>
      <c r="AU35" s="2275" t="s">
        <v>49</v>
      </c>
      <c r="AV35" s="66"/>
      <c r="AW35" s="66"/>
      <c r="AX35" s="66"/>
      <c r="AY35" s="1439"/>
      <c r="AZ35" s="1439"/>
      <c r="BA35" s="1439"/>
      <c r="BB35" s="1439"/>
      <c r="BC35" s="1439"/>
      <c r="BD35" s="1439"/>
      <c r="BE35" s="1439"/>
      <c r="BF35" s="1439"/>
      <c r="BG35" s="1498"/>
      <c r="BH35" s="1439"/>
      <c r="BI35" s="1993"/>
      <c r="BJ35" s="1439"/>
      <c r="BK35" s="1554"/>
      <c r="BL35" s="68"/>
      <c r="BM35" s="66"/>
      <c r="BN35" s="2826"/>
      <c r="BO35" s="2826"/>
      <c r="BP35" s="66"/>
      <c r="BQ35" s="1573"/>
      <c r="BR35" s="1456"/>
      <c r="BS35" s="1456"/>
      <c r="BT35" s="1456"/>
      <c r="BU35" s="1456"/>
      <c r="BV35" s="1573"/>
      <c r="BW35" s="66"/>
      <c r="BX35" s="1574"/>
      <c r="BY35" s="1573"/>
      <c r="BZ35" s="66"/>
      <c r="CA35" s="66"/>
      <c r="CB35" s="1574"/>
      <c r="CC35" s="82"/>
      <c r="CD35" s="84"/>
      <c r="CE35" s="1485"/>
      <c r="CF35" s="71"/>
    </row>
    <row r="36" spans="2:84" s="72" customFormat="1" ht="18" customHeight="1">
      <c r="B36" s="1479"/>
      <c r="C36" s="64"/>
      <c r="D36" s="215"/>
      <c r="E36" s="215"/>
      <c r="F36" s="215"/>
      <c r="G36" s="215"/>
      <c r="H36" s="215"/>
      <c r="I36" s="215"/>
      <c r="J36" s="215"/>
      <c r="K36" s="215"/>
      <c r="L36" s="215"/>
      <c r="M36" s="215"/>
      <c r="N36" s="215"/>
      <c r="O36" s="2908" t="s">
        <v>748</v>
      </c>
      <c r="P36" s="2751" t="s">
        <v>545</v>
      </c>
      <c r="Q36" s="2707"/>
      <c r="R36" s="1488"/>
      <c r="S36" s="1489"/>
      <c r="T36" s="1490"/>
      <c r="U36" s="1997"/>
      <c r="V36" s="73"/>
      <c r="W36" s="1491"/>
      <c r="X36" s="1492"/>
      <c r="AE36" s="78"/>
      <c r="AF36" s="78"/>
      <c r="AG36" s="78"/>
      <c r="AH36" s="78"/>
      <c r="AI36" s="78"/>
      <c r="AJ36" s="78"/>
      <c r="AK36" s="78"/>
      <c r="AL36" s="78"/>
      <c r="AM36" s="78"/>
      <c r="AN36" s="2558" t="s">
        <v>100</v>
      </c>
      <c r="AO36" s="78"/>
      <c r="AP36" s="78"/>
      <c r="AQ36" s="76"/>
      <c r="AR36" s="76"/>
      <c r="AS36" s="1493"/>
      <c r="AT36" s="76"/>
      <c r="AV36" s="2677" t="s">
        <v>748</v>
      </c>
      <c r="AW36" s="2673" t="s">
        <v>77</v>
      </c>
      <c r="AX36" s="2673"/>
      <c r="AY36" s="78"/>
      <c r="AZ36" s="78"/>
      <c r="BA36" s="78"/>
      <c r="BB36" s="78"/>
      <c r="BC36" s="78"/>
      <c r="BD36" s="78"/>
      <c r="BE36" s="78"/>
      <c r="BF36" s="78"/>
      <c r="BG36" s="1498"/>
      <c r="BH36" s="78"/>
      <c r="BI36" s="1993"/>
      <c r="BJ36" s="78"/>
      <c r="BK36" s="1557"/>
      <c r="BL36" s="80"/>
      <c r="BM36" s="76"/>
      <c r="BN36" s="3942" t="s">
        <v>207</v>
      </c>
      <c r="BO36" s="3942"/>
      <c r="BP36" s="3942"/>
      <c r="BQ36" s="3902" t="str">
        <f>'CALCULS Eau'!J$267</f>
        <v/>
      </c>
      <c r="BR36" s="3903"/>
      <c r="BS36" s="2876"/>
      <c r="BT36" s="2876"/>
      <c r="BU36" s="2876"/>
      <c r="BV36" s="2880" t="str">
        <f>'CALCULS Eau'!K$267</f>
        <v/>
      </c>
      <c r="BW36" s="2876"/>
      <c r="BX36" s="2627"/>
      <c r="BY36" s="3936" t="str">
        <f>'CALCULS Eau'!L$267</f>
        <v/>
      </c>
      <c r="BZ36" s="3903"/>
      <c r="CA36" s="2876"/>
      <c r="CB36" s="2627"/>
      <c r="CC36" s="82"/>
      <c r="CD36" s="84"/>
      <c r="CE36" s="1485"/>
      <c r="CF36" s="71"/>
    </row>
    <row r="37" spans="2:84" s="72" customFormat="1" ht="18" customHeight="1">
      <c r="B37" s="1479"/>
      <c r="C37" s="64"/>
      <c r="D37" s="215"/>
      <c r="E37" s="215"/>
      <c r="F37" s="215"/>
      <c r="G37" s="215"/>
      <c r="H37" s="215"/>
      <c r="I37" s="215"/>
      <c r="J37" s="215"/>
      <c r="K37" s="215"/>
      <c r="L37" s="215"/>
      <c r="M37" s="215"/>
      <c r="N37" s="215"/>
      <c r="O37" s="2909" t="s">
        <v>748</v>
      </c>
      <c r="P37" s="2751" t="s">
        <v>3494</v>
      </c>
      <c r="Q37" s="2707"/>
      <c r="R37" s="1488"/>
      <c r="S37" s="1489"/>
      <c r="T37" s="1490"/>
      <c r="U37" s="1997"/>
      <c r="V37" s="73"/>
      <c r="W37" s="1491"/>
      <c r="X37" s="1492"/>
      <c r="AE37" s="25"/>
      <c r="AF37" s="25"/>
      <c r="AG37" s="25"/>
      <c r="AH37" s="25"/>
      <c r="AI37" s="25"/>
      <c r="AJ37" s="25"/>
      <c r="AK37" s="25"/>
      <c r="AL37" s="25"/>
      <c r="AM37" s="25"/>
      <c r="AN37" s="3860">
        <f>'CALCULS Eau'!J191</f>
        <v>0</v>
      </c>
      <c r="AO37" s="3860"/>
      <c r="AP37" s="3860"/>
      <c r="AQ37" s="3860"/>
      <c r="AR37" s="76"/>
      <c r="AS37" s="1493"/>
      <c r="AT37" s="76"/>
      <c r="AU37" s="1550"/>
      <c r="AV37" s="2676" t="s">
        <v>748</v>
      </c>
      <c r="AW37" s="2673" t="s">
        <v>980</v>
      </c>
      <c r="AX37" s="2673"/>
      <c r="AY37" s="25"/>
      <c r="AZ37" s="25"/>
      <c r="BA37" s="25"/>
      <c r="BB37" s="25"/>
      <c r="BC37" s="25"/>
      <c r="BD37" s="25"/>
      <c r="BE37" s="25"/>
      <c r="BF37" s="25"/>
      <c r="BG37" s="1498"/>
      <c r="BH37" s="25"/>
      <c r="BI37" s="1993"/>
      <c r="BJ37" s="25"/>
      <c r="BK37" s="1549"/>
      <c r="BL37" s="591"/>
      <c r="BM37" s="25"/>
      <c r="BN37" s="3943" t="s">
        <v>205</v>
      </c>
      <c r="BO37" s="3943"/>
      <c r="BP37" s="3943"/>
      <c r="BQ37" s="3904" t="str">
        <f>'CALCULS Eau'!J$268</f>
        <v/>
      </c>
      <c r="BR37" s="3905"/>
      <c r="BS37" s="2633"/>
      <c r="BT37" s="2633"/>
      <c r="BU37" s="2633"/>
      <c r="BV37" s="2628" t="str">
        <f>'CALCULS Eau'!K$268</f>
        <v/>
      </c>
      <c r="BW37" s="2633"/>
      <c r="BX37" s="2629"/>
      <c r="BY37" s="3935" t="str">
        <f>'CALCULS Eau'!L$268</f>
        <v/>
      </c>
      <c r="BZ37" s="3905"/>
      <c r="CA37" s="2633"/>
      <c r="CB37" s="2629"/>
      <c r="CC37" s="25"/>
      <c r="CD37" s="84"/>
      <c r="CE37" s="1485"/>
      <c r="CF37" s="71"/>
    </row>
    <row r="38" spans="2:84" s="72" customFormat="1" ht="18" customHeight="1">
      <c r="B38" s="1479"/>
      <c r="C38" s="64"/>
      <c r="D38" s="215"/>
      <c r="E38" s="215"/>
      <c r="F38" s="215"/>
      <c r="G38" s="215"/>
      <c r="H38" s="215"/>
      <c r="I38" s="215"/>
      <c r="J38" s="215"/>
      <c r="K38" s="215"/>
      <c r="L38" s="215"/>
      <c r="M38" s="215"/>
      <c r="N38" s="215"/>
      <c r="O38" s="2910" t="s">
        <v>748</v>
      </c>
      <c r="P38" s="2751" t="s">
        <v>546</v>
      </c>
      <c r="Q38" s="2707"/>
      <c r="R38" s="1488"/>
      <c r="S38" s="1489"/>
      <c r="T38" s="1490"/>
      <c r="U38" s="1997"/>
      <c r="V38" s="73"/>
      <c r="W38" s="1491"/>
      <c r="X38" s="1492"/>
      <c r="AE38" s="1482"/>
      <c r="AF38" s="1482"/>
      <c r="AG38" s="1482"/>
      <c r="AH38" s="1482"/>
      <c r="AI38" s="1482"/>
      <c r="AJ38" s="1482"/>
      <c r="AK38" s="1482"/>
      <c r="AL38" s="1482"/>
      <c r="AM38" s="1482"/>
      <c r="AN38" s="1482"/>
      <c r="AO38" s="1482"/>
      <c r="AP38" s="1482"/>
      <c r="AQ38" s="1559"/>
      <c r="AR38" s="76"/>
      <c r="AS38" s="1493"/>
      <c r="AT38" s="76"/>
      <c r="AU38" s="66"/>
      <c r="AV38" s="66"/>
      <c r="AW38" s="2672" t="s">
        <v>909</v>
      </c>
      <c r="AX38" s="2672"/>
      <c r="AY38" s="1482"/>
      <c r="AZ38" s="1482"/>
      <c r="BA38" s="1482"/>
      <c r="BB38" s="1482"/>
      <c r="BC38" s="1482"/>
      <c r="BD38" s="1482"/>
      <c r="BE38" s="1482"/>
      <c r="BF38" s="1482"/>
      <c r="BG38" s="1498"/>
      <c r="BH38" s="1482"/>
      <c r="BI38" s="1993"/>
      <c r="BJ38" s="1482"/>
      <c r="BK38" s="1551"/>
      <c r="BL38" s="3809"/>
      <c r="BM38" s="1552"/>
      <c r="BN38" s="3810" t="s">
        <v>203</v>
      </c>
      <c r="BO38" s="3810"/>
      <c r="BP38" s="3810"/>
      <c r="BQ38" s="3906" t="str">
        <f>'CALCULS Eau'!J$269</f>
        <v/>
      </c>
      <c r="BR38" s="3907"/>
      <c r="BS38" s="2634"/>
      <c r="BT38" s="2634"/>
      <c r="BU38" s="2634"/>
      <c r="BV38" s="2630" t="str">
        <f>'CALCULS Eau'!K$269</f>
        <v/>
      </c>
      <c r="BW38" s="2634"/>
      <c r="BX38" s="2631"/>
      <c r="BY38" s="3934" t="str">
        <f>'CALCULS Eau'!L$269</f>
        <v/>
      </c>
      <c r="BZ38" s="3907"/>
      <c r="CA38" s="2634"/>
      <c r="CB38" s="2631"/>
      <c r="CC38" s="82"/>
      <c r="CD38" s="84"/>
      <c r="CE38" s="1485"/>
      <c r="CF38" s="71"/>
    </row>
    <row r="39" spans="2:84" s="72" customFormat="1" ht="10.5" customHeight="1">
      <c r="B39" s="1479"/>
      <c r="C39" s="64"/>
      <c r="D39" s="215"/>
      <c r="E39" s="215"/>
      <c r="F39" s="215"/>
      <c r="G39" s="215"/>
      <c r="H39" s="215"/>
      <c r="I39" s="215"/>
      <c r="J39" s="215"/>
      <c r="K39" s="215"/>
      <c r="L39" s="215"/>
      <c r="M39" s="215"/>
      <c r="N39" s="215"/>
      <c r="O39" s="3813" t="s">
        <v>748</v>
      </c>
      <c r="P39" s="3814" t="s">
        <v>547</v>
      </c>
      <c r="Q39" s="3814"/>
      <c r="R39" s="3815"/>
      <c r="S39" s="1489"/>
      <c r="T39" s="1490"/>
      <c r="U39" s="1997"/>
      <c r="V39" s="73"/>
      <c r="W39" s="1491"/>
      <c r="X39" s="1492"/>
      <c r="AE39" s="76"/>
      <c r="AF39" s="76"/>
      <c r="AG39" s="76"/>
      <c r="AH39" s="76"/>
      <c r="AI39" s="76"/>
      <c r="AJ39" s="76"/>
      <c r="AK39" s="76"/>
      <c r="AL39" s="76"/>
      <c r="AM39" s="76"/>
      <c r="AN39" s="76"/>
      <c r="AO39" s="76"/>
      <c r="AP39" s="76"/>
      <c r="AQ39" s="1559"/>
      <c r="AR39" s="76"/>
      <c r="AS39" s="1493"/>
      <c r="AT39" s="76"/>
      <c r="AU39" s="76"/>
      <c r="AV39" s="76"/>
      <c r="AW39" s="76"/>
      <c r="AX39" s="76"/>
      <c r="AY39" s="1439"/>
      <c r="AZ39" s="1439"/>
      <c r="BA39" s="1439"/>
      <c r="BB39" s="2704" t="s">
        <v>31</v>
      </c>
      <c r="BC39" s="1439"/>
      <c r="BD39" s="1439"/>
      <c r="BE39" s="2535" t="s">
        <v>32</v>
      </c>
      <c r="BF39" s="1439"/>
      <c r="BG39" s="1498"/>
      <c r="BH39" s="1439"/>
      <c r="BI39" s="1993"/>
      <c r="BJ39" s="1439"/>
      <c r="BK39" s="1554"/>
      <c r="BL39" s="3809"/>
      <c r="BM39" s="1552"/>
      <c r="BN39" s="3900" t="s">
        <v>201</v>
      </c>
      <c r="BO39" s="3900"/>
      <c r="BP39" s="3900"/>
      <c r="BQ39" s="3803" t="str">
        <f>'CALCULS Eau'!J$270</f>
        <v/>
      </c>
      <c r="BR39" s="3804"/>
      <c r="BS39" s="3896"/>
      <c r="BT39" s="3896"/>
      <c r="BU39" s="3897"/>
      <c r="BV39" s="3811" t="str">
        <f>'CALCULS Eau'!K$270</f>
        <v/>
      </c>
      <c r="BW39" s="3896"/>
      <c r="BX39" s="3897"/>
      <c r="BY39" s="3811" t="str">
        <f>'CALCULS Eau'!L$270</f>
        <v/>
      </c>
      <c r="BZ39" s="3804"/>
      <c r="CA39" s="3896"/>
      <c r="CB39" s="3897"/>
      <c r="CC39" s="82"/>
      <c r="CD39" s="84"/>
      <c r="CE39" s="1485"/>
      <c r="CF39" s="71"/>
    </row>
    <row r="40" spans="2:84" s="72" customFormat="1" ht="8.25" customHeight="1">
      <c r="B40" s="1479"/>
      <c r="C40" s="64"/>
      <c r="D40" s="215"/>
      <c r="E40" s="215"/>
      <c r="F40" s="215"/>
      <c r="G40" s="215"/>
      <c r="H40" s="215"/>
      <c r="I40" s="215"/>
      <c r="J40" s="215"/>
      <c r="K40" s="215"/>
      <c r="L40" s="215"/>
      <c r="M40" s="215"/>
      <c r="N40" s="215"/>
      <c r="O40" s="3813"/>
      <c r="P40" s="3814"/>
      <c r="Q40" s="3814"/>
      <c r="R40" s="3815"/>
      <c r="S40" s="1489"/>
      <c r="T40" s="1490"/>
      <c r="U40" s="1997"/>
      <c r="V40" s="73"/>
      <c r="W40" s="1491"/>
      <c r="X40" s="1492"/>
      <c r="AE40" s="76"/>
      <c r="AF40" s="76"/>
      <c r="AG40" s="76"/>
      <c r="AH40" s="76"/>
      <c r="AI40" s="76"/>
      <c r="AJ40" s="76"/>
      <c r="AK40" s="76"/>
      <c r="AL40" s="76"/>
      <c r="AM40" s="76"/>
      <c r="AN40" s="76"/>
      <c r="AO40" s="76"/>
      <c r="AP40" s="76"/>
      <c r="AQ40" s="1559"/>
      <c r="AR40" s="76"/>
      <c r="AS40" s="1493"/>
      <c r="AT40" s="76"/>
      <c r="AU40" s="2486"/>
      <c r="AV40" s="3792" t="s">
        <v>4043</v>
      </c>
      <c r="AW40" s="3792"/>
      <c r="AX40" s="2854"/>
      <c r="AY40" s="3847">
        <f>'CALCULS Eau'!G234</f>
        <v>0</v>
      </c>
      <c r="AZ40" s="3849">
        <f>'CALCULS Eau'!M225</f>
        <v>0</v>
      </c>
      <c r="BA40" s="3849"/>
      <c r="BB40" s="3849"/>
      <c r="BC40" s="3784">
        <f>'CALCULS Eau'!N225</f>
        <v>0</v>
      </c>
      <c r="BD40" s="3784"/>
      <c r="BE40" s="3784"/>
      <c r="BF40" s="1439"/>
      <c r="BG40" s="1498"/>
      <c r="BH40" s="1439"/>
      <c r="BI40" s="1993"/>
      <c r="BJ40" s="1439"/>
      <c r="BK40" s="1554"/>
      <c r="BL40" s="2861"/>
      <c r="BM40" s="1552"/>
      <c r="BN40" s="3901"/>
      <c r="BO40" s="3901"/>
      <c r="BP40" s="3901"/>
      <c r="BQ40" s="3805"/>
      <c r="BR40" s="3806"/>
      <c r="BS40" s="3898"/>
      <c r="BT40" s="3898"/>
      <c r="BU40" s="3899"/>
      <c r="BV40" s="3812"/>
      <c r="BW40" s="3898"/>
      <c r="BX40" s="3899"/>
      <c r="BY40" s="3812"/>
      <c r="BZ40" s="3806"/>
      <c r="CA40" s="3898"/>
      <c r="CB40" s="3899"/>
      <c r="CC40" s="82"/>
      <c r="CD40" s="84"/>
      <c r="CE40" s="1485"/>
      <c r="CF40" s="71"/>
    </row>
    <row r="41" spans="2:84" s="72" customFormat="1" ht="18.75" customHeight="1" thickBot="1">
      <c r="B41" s="1479"/>
      <c r="C41" s="64"/>
      <c r="D41" s="215"/>
      <c r="E41" s="215"/>
      <c r="F41" s="215"/>
      <c r="G41" s="215"/>
      <c r="H41" s="215"/>
      <c r="I41" s="215"/>
      <c r="J41" s="215"/>
      <c r="K41" s="215"/>
      <c r="L41" s="215"/>
      <c r="M41" s="215"/>
      <c r="N41" s="215"/>
      <c r="O41" s="2911" t="s">
        <v>748</v>
      </c>
      <c r="P41" s="2851" t="s">
        <v>66</v>
      </c>
      <c r="Q41" s="215"/>
      <c r="R41" s="1488"/>
      <c r="S41" s="1489"/>
      <c r="T41" s="1490"/>
      <c r="U41" s="1997"/>
      <c r="V41" s="73"/>
      <c r="W41" s="1491"/>
      <c r="X41" s="1492"/>
      <c r="AE41" s="76"/>
      <c r="AF41" s="76"/>
      <c r="AG41" s="76"/>
      <c r="AH41" s="76"/>
      <c r="AI41" s="76"/>
      <c r="AJ41" s="76"/>
      <c r="AK41" s="76"/>
      <c r="AL41" s="76"/>
      <c r="AM41" s="76"/>
      <c r="AN41" s="76"/>
      <c r="AO41" s="76"/>
      <c r="AP41" s="76"/>
      <c r="AQ41" s="66"/>
      <c r="AR41" s="76"/>
      <c r="AS41" s="1493"/>
      <c r="AT41" s="76"/>
      <c r="AU41" s="2487"/>
      <c r="AV41" s="3853"/>
      <c r="AW41" s="3853"/>
      <c r="AX41" s="2859"/>
      <c r="AY41" s="3852"/>
      <c r="AZ41" s="3851"/>
      <c r="BA41" s="3851"/>
      <c r="BB41" s="3851"/>
      <c r="BC41" s="3785"/>
      <c r="BD41" s="3785"/>
      <c r="BE41" s="3785"/>
      <c r="BF41" s="1439"/>
      <c r="BG41" s="1498"/>
      <c r="BH41" s="1439"/>
      <c r="BI41" s="1993"/>
      <c r="BJ41" s="1439"/>
      <c r="BK41" s="1554"/>
      <c r="BL41" s="68"/>
      <c r="BM41" s="66"/>
      <c r="BN41" s="3933" t="s">
        <v>198</v>
      </c>
      <c r="BO41" s="3933"/>
      <c r="BP41" s="3933"/>
      <c r="BQ41" s="3801" t="str">
        <f>'CALCULS Eau'!J$271</f>
        <v/>
      </c>
      <c r="BR41" s="3802"/>
      <c r="BS41" s="2857"/>
      <c r="BT41" s="2857"/>
      <c r="BU41" s="2857"/>
      <c r="BV41" s="2879" t="str">
        <f>'CALCULS Eau'!K$271</f>
        <v/>
      </c>
      <c r="BW41" s="2857"/>
      <c r="BX41" s="2632"/>
      <c r="BY41" s="3929" t="str">
        <f>'CALCULS Eau'!L$271</f>
        <v/>
      </c>
      <c r="BZ41" s="3802"/>
      <c r="CA41" s="2857"/>
      <c r="CB41" s="2632"/>
      <c r="CC41" s="59"/>
      <c r="CD41" s="84"/>
      <c r="CE41" s="1485"/>
      <c r="CF41" s="71"/>
    </row>
    <row r="42" spans="2:84" s="72" customFormat="1" ht="6.75" customHeight="1">
      <c r="B42" s="1479"/>
      <c r="C42" s="64"/>
      <c r="D42" s="215"/>
      <c r="E42" s="215"/>
      <c r="F42" s="215"/>
      <c r="G42" s="215"/>
      <c r="H42" s="215"/>
      <c r="I42" s="215"/>
      <c r="J42" s="215"/>
      <c r="K42" s="215"/>
      <c r="L42" s="215"/>
      <c r="M42" s="215"/>
      <c r="N42" s="215"/>
      <c r="O42" s="215"/>
      <c r="P42" s="215"/>
      <c r="Q42" s="215"/>
      <c r="R42" s="1488"/>
      <c r="S42" s="1489"/>
      <c r="T42" s="1490"/>
      <c r="U42" s="1997"/>
      <c r="V42" s="73"/>
      <c r="W42" s="1491"/>
      <c r="X42" s="1492"/>
      <c r="AE42" s="76"/>
      <c r="AF42" s="76"/>
      <c r="AG42" s="76"/>
      <c r="AH42" s="76"/>
      <c r="AI42" s="76"/>
      <c r="AJ42" s="76"/>
      <c r="AK42" s="76"/>
      <c r="AL42" s="76"/>
      <c r="AM42" s="76"/>
      <c r="AN42" s="76"/>
      <c r="AO42" s="76"/>
      <c r="AP42" s="76"/>
      <c r="AQ42" s="66"/>
      <c r="AR42" s="76"/>
      <c r="AS42" s="1493"/>
      <c r="AT42" s="76"/>
      <c r="AU42" s="55"/>
      <c r="AV42" s="55"/>
      <c r="AW42" s="28"/>
      <c r="AX42" s="28"/>
      <c r="AY42" s="28"/>
      <c r="AZ42" s="28"/>
      <c r="BA42" s="28"/>
      <c r="BB42" s="28"/>
      <c r="BC42" s="28"/>
      <c r="BD42" s="28"/>
      <c r="BE42" s="1439"/>
      <c r="BF42" s="1439"/>
      <c r="BG42" s="1498"/>
      <c r="BH42" s="1439"/>
      <c r="BI42" s="1993"/>
      <c r="BJ42" s="1439"/>
      <c r="BK42" s="1554"/>
      <c r="BL42" s="68"/>
      <c r="BM42" s="66"/>
      <c r="BN42" s="2826"/>
      <c r="BO42" s="2826"/>
      <c r="BP42" s="66"/>
      <c r="BQ42" s="2827"/>
      <c r="BR42" s="2826"/>
      <c r="BS42" s="2635"/>
      <c r="BT42" s="2826"/>
      <c r="BU42" s="2826"/>
      <c r="BV42" s="1575"/>
      <c r="BW42" s="1572"/>
      <c r="BX42" s="1576"/>
      <c r="BY42" s="1577"/>
      <c r="BZ42" s="82"/>
      <c r="CA42" s="82"/>
      <c r="CB42" s="1574"/>
      <c r="CC42" s="59"/>
      <c r="CD42" s="84"/>
      <c r="CE42" s="1485"/>
      <c r="CF42" s="71"/>
    </row>
    <row r="43" spans="2:84" s="72" customFormat="1" ht="9" customHeight="1">
      <c r="B43" s="1479"/>
      <c r="C43" s="64"/>
      <c r="D43" s="215"/>
      <c r="E43" s="215"/>
      <c r="F43" s="215"/>
      <c r="G43" s="215"/>
      <c r="H43" s="215"/>
      <c r="I43" s="215"/>
      <c r="J43" s="215"/>
      <c r="K43" s="215"/>
      <c r="L43" s="215"/>
      <c r="M43" s="215"/>
      <c r="N43" s="215"/>
      <c r="O43" s="215"/>
      <c r="P43" s="215"/>
      <c r="Q43" s="215"/>
      <c r="R43" s="1488"/>
      <c r="S43" s="1489"/>
      <c r="T43" s="1490"/>
      <c r="U43" s="1997"/>
      <c r="V43" s="73"/>
      <c r="W43" s="1491"/>
      <c r="X43" s="1492"/>
      <c r="AE43" s="1439"/>
      <c r="AF43" s="1439"/>
      <c r="AG43" s="1439"/>
      <c r="AH43" s="1439"/>
      <c r="AI43" s="1439"/>
      <c r="AJ43" s="1439"/>
      <c r="AK43" s="1439"/>
      <c r="AL43" s="1439"/>
      <c r="AM43" s="1439"/>
      <c r="AN43" s="1439"/>
      <c r="AO43" s="1439"/>
      <c r="AP43" s="1439"/>
      <c r="AQ43" s="66"/>
      <c r="AR43" s="76"/>
      <c r="AS43" s="1493"/>
      <c r="AT43" s="76"/>
      <c r="AU43" s="2490"/>
      <c r="AV43" s="3792" t="s">
        <v>790</v>
      </c>
      <c r="AW43" s="3792"/>
      <c r="AX43" s="2854"/>
      <c r="AY43" s="3847">
        <f>'CALCULS Eau'!G235</f>
        <v>0</v>
      </c>
      <c r="AZ43" s="3849">
        <f>'CALCULS Eau'!M227</f>
        <v>0</v>
      </c>
      <c r="BA43" s="3849"/>
      <c r="BB43" s="3849"/>
      <c r="BC43" s="3784">
        <f>'CALCULS Eau'!N227</f>
        <v>0</v>
      </c>
      <c r="BD43" s="3784"/>
      <c r="BE43" s="3784"/>
      <c r="BF43" s="1439"/>
      <c r="BG43" s="1498"/>
      <c r="BH43" s="1439"/>
      <c r="BI43" s="1993"/>
      <c r="BJ43" s="1439"/>
      <c r="BK43" s="1554"/>
      <c r="BL43" s="68"/>
      <c r="BM43" s="66"/>
      <c r="BN43" s="2826"/>
      <c r="BO43" s="2826"/>
      <c r="BP43" s="66"/>
      <c r="BQ43" s="2828"/>
      <c r="BR43" s="2826"/>
      <c r="BS43" s="2826"/>
      <c r="BT43" s="2826"/>
      <c r="BU43" s="2826"/>
      <c r="BV43" s="1575"/>
      <c r="BW43" s="1572"/>
      <c r="BX43" s="1576"/>
      <c r="BY43" s="1577"/>
      <c r="BZ43" s="82"/>
      <c r="CA43" s="82"/>
      <c r="CB43" s="1574"/>
      <c r="CD43" s="84"/>
      <c r="CE43" s="1485"/>
      <c r="CF43" s="71"/>
    </row>
    <row r="44" spans="2:84" s="72" customFormat="1" ht="18.75" customHeight="1" thickBot="1">
      <c r="B44" s="1479"/>
      <c r="C44" s="64"/>
      <c r="D44" s="215"/>
      <c r="E44" s="215"/>
      <c r="F44" s="215"/>
      <c r="G44" s="215"/>
      <c r="H44" s="215"/>
      <c r="I44" s="215"/>
      <c r="J44" s="215"/>
      <c r="K44" s="215"/>
      <c r="L44" s="215"/>
      <c r="M44" s="215"/>
      <c r="N44" s="215"/>
      <c r="O44" s="215"/>
      <c r="P44" s="215"/>
      <c r="Q44" s="215"/>
      <c r="R44" s="1488"/>
      <c r="S44" s="1489"/>
      <c r="T44" s="1490"/>
      <c r="U44" s="1997"/>
      <c r="V44" s="73"/>
      <c r="W44" s="1491"/>
      <c r="X44" s="1492"/>
      <c r="AE44" s="1439"/>
      <c r="AF44" s="1439"/>
      <c r="AG44" s="1439"/>
      <c r="AH44" s="1439"/>
      <c r="AI44" s="1439"/>
      <c r="AJ44" s="1439"/>
      <c r="AK44" s="1439"/>
      <c r="AL44" s="1439"/>
      <c r="AM44" s="1439"/>
      <c r="AN44" s="1439"/>
      <c r="AO44" s="1439"/>
      <c r="AP44" s="1439"/>
      <c r="AQ44" s="66"/>
      <c r="AR44" s="76"/>
      <c r="AS44" s="1493"/>
      <c r="AT44" s="76"/>
      <c r="AU44" s="2491"/>
      <c r="AV44" s="3793"/>
      <c r="AW44" s="3793"/>
      <c r="AX44" s="2855"/>
      <c r="AY44" s="3855"/>
      <c r="AZ44" s="3854"/>
      <c r="BA44" s="3854"/>
      <c r="BB44" s="3854"/>
      <c r="BC44" s="3798"/>
      <c r="BD44" s="3798"/>
      <c r="BE44" s="3798"/>
      <c r="BF44" s="1439"/>
      <c r="BG44" s="1498"/>
      <c r="BH44" s="1439"/>
      <c r="BI44" s="1993"/>
      <c r="BJ44" s="1439"/>
      <c r="BK44" s="1554"/>
      <c r="BL44" s="68"/>
      <c r="BM44" s="66"/>
      <c r="BN44" s="3887" t="s">
        <v>95</v>
      </c>
      <c r="BO44" s="3887"/>
      <c r="BP44" s="66"/>
      <c r="BQ44" s="3807" t="e">
        <f>'CALCULS Eau'!G260</f>
        <v>#DIV/0!</v>
      </c>
      <c r="BR44" s="3808"/>
      <c r="BS44" s="3926" t="s">
        <v>977</v>
      </c>
      <c r="BT44" s="3926"/>
      <c r="BU44" s="3927"/>
      <c r="BV44" s="3796" t="e">
        <f>'CALCULS Eau'!G261</f>
        <v>#DIV/0!</v>
      </c>
      <c r="BW44" s="3925" t="s">
        <v>977</v>
      </c>
      <c r="BX44" s="3920"/>
      <c r="BY44" s="3794" t="e">
        <f>'CALCULS Eau'!G262</f>
        <v>#DIV/0!</v>
      </c>
      <c r="BZ44" s="3795"/>
      <c r="CA44" s="3924" t="s">
        <v>977</v>
      </c>
      <c r="CB44" s="3918"/>
      <c r="CD44" s="84"/>
      <c r="CE44" s="1485"/>
      <c r="CF44" s="71"/>
    </row>
    <row r="45" spans="2:84" s="72" customFormat="1" ht="6.75" customHeight="1">
      <c r="B45" s="1479"/>
      <c r="C45" s="64"/>
      <c r="D45" s="215"/>
      <c r="E45" s="215"/>
      <c r="F45" s="215"/>
      <c r="G45" s="215"/>
      <c r="H45" s="215"/>
      <c r="I45" s="215"/>
      <c r="J45" s="215"/>
      <c r="K45" s="215"/>
      <c r="L45" s="215"/>
      <c r="M45" s="215"/>
      <c r="N45" s="215"/>
      <c r="O45" s="215"/>
      <c r="P45" s="215"/>
      <c r="Q45" s="215"/>
      <c r="R45" s="1488"/>
      <c r="S45" s="1489"/>
      <c r="T45" s="1490"/>
      <c r="U45" s="1997"/>
      <c r="V45" s="73"/>
      <c r="W45" s="1491"/>
      <c r="X45" s="1492"/>
      <c r="AE45" s="1439"/>
      <c r="AF45" s="1439"/>
      <c r="AG45" s="1439"/>
      <c r="AH45" s="1439"/>
      <c r="AI45" s="1439"/>
      <c r="AJ45" s="1439"/>
      <c r="AK45" s="1439"/>
      <c r="AL45" s="1439"/>
      <c r="AM45" s="1439"/>
      <c r="AN45" s="1439"/>
      <c r="AO45" s="1439"/>
      <c r="AP45" s="1439"/>
      <c r="AQ45" s="66"/>
      <c r="AR45" s="76"/>
      <c r="AS45" s="1493"/>
      <c r="AT45" s="76"/>
      <c r="AU45" s="55"/>
      <c r="AV45" s="55"/>
      <c r="AW45" s="2466"/>
      <c r="AX45" s="2466"/>
      <c r="AY45" s="2466"/>
      <c r="AZ45" s="2466"/>
      <c r="BA45" s="2466"/>
      <c r="BB45" s="2466"/>
      <c r="BC45" s="2466"/>
      <c r="BD45" s="2466"/>
      <c r="BE45" s="1439"/>
      <c r="BF45" s="1439"/>
      <c r="BG45" s="1498"/>
      <c r="BH45" s="1439"/>
      <c r="BI45" s="1993"/>
      <c r="BJ45" s="1439"/>
      <c r="BK45" s="1554"/>
      <c r="BL45" s="68"/>
      <c r="BM45" s="66"/>
      <c r="BN45" s="2826"/>
      <c r="BO45" s="2826"/>
      <c r="BP45" s="66"/>
      <c r="BQ45" s="3807"/>
      <c r="BR45" s="3808"/>
      <c r="BS45" s="3928"/>
      <c r="BT45" s="3928"/>
      <c r="BU45" s="3922"/>
      <c r="BV45" s="3796"/>
      <c r="BW45" s="3925"/>
      <c r="BX45" s="3920"/>
      <c r="BY45" s="3794"/>
      <c r="BZ45" s="3795"/>
      <c r="CA45" s="3924"/>
      <c r="CB45" s="3918"/>
      <c r="CD45" s="84"/>
      <c r="CE45" s="1485"/>
      <c r="CF45" s="71"/>
    </row>
    <row r="46" spans="2:84" s="72" customFormat="1" ht="12" customHeight="1">
      <c r="B46" s="1479"/>
      <c r="C46" s="64"/>
      <c r="D46" s="215"/>
      <c r="E46" s="2877" t="s">
        <v>58</v>
      </c>
      <c r="F46" s="2607" t="s">
        <v>981</v>
      </c>
      <c r="G46" s="215"/>
      <c r="H46" s="3912" t="s">
        <v>58</v>
      </c>
      <c r="I46" s="3913"/>
      <c r="J46" s="2607" t="s">
        <v>981</v>
      </c>
      <c r="K46" s="2608"/>
      <c r="L46" s="2877" t="s">
        <v>58</v>
      </c>
      <c r="M46" s="2607" t="s">
        <v>981</v>
      </c>
      <c r="N46" s="215"/>
      <c r="O46" s="215"/>
      <c r="P46" s="215"/>
      <c r="Q46" s="215"/>
      <c r="R46" s="69"/>
      <c r="S46" s="1506"/>
      <c r="T46" s="1507"/>
      <c r="U46" s="1998"/>
      <c r="V46" s="75"/>
      <c r="W46" s="1479"/>
      <c r="X46" s="64"/>
      <c r="AE46" s="1439"/>
      <c r="AF46" s="1439"/>
      <c r="AG46" s="1439"/>
      <c r="AH46" s="1439"/>
      <c r="AI46" s="1439"/>
      <c r="AJ46" s="1439"/>
      <c r="AK46" s="1439"/>
      <c r="AL46" s="1439"/>
      <c r="AM46" s="1439"/>
      <c r="AN46" s="1439"/>
      <c r="AO46" s="1439"/>
      <c r="AP46" s="1439"/>
      <c r="AQ46" s="66"/>
      <c r="AR46" s="75"/>
      <c r="AS46" s="1508"/>
      <c r="AT46" s="75"/>
      <c r="AU46" s="2493"/>
      <c r="AV46" s="3792" t="s">
        <v>791</v>
      </c>
      <c r="AW46" s="3792"/>
      <c r="AX46" s="2854"/>
      <c r="AY46" s="3847">
        <f>'CALCULS Eau'!G236</f>
        <v>0</v>
      </c>
      <c r="AZ46" s="3849">
        <f>'CALCULS Eau'!M229</f>
        <v>0</v>
      </c>
      <c r="BA46" s="3849"/>
      <c r="BB46" s="3849"/>
      <c r="BC46" s="3784">
        <f>'CALCULS Eau'!N229</f>
        <v>0</v>
      </c>
      <c r="BD46" s="3784"/>
      <c r="BE46" s="3784"/>
      <c r="BF46" s="1439"/>
      <c r="BG46" s="1509"/>
      <c r="BH46" s="1439"/>
      <c r="BI46" s="1993"/>
      <c r="BJ46" s="1439"/>
      <c r="BK46" s="1554"/>
      <c r="BL46" s="68"/>
      <c r="BM46" s="66"/>
      <c r="BN46" s="75"/>
      <c r="BO46" s="75"/>
      <c r="BP46" s="66"/>
      <c r="CD46" s="69"/>
      <c r="CE46" s="1485"/>
      <c r="CF46" s="71"/>
    </row>
    <row r="47" spans="2:84" s="72" customFormat="1" ht="15" customHeight="1" thickBot="1">
      <c r="B47" s="1479"/>
      <c r="C47" s="64"/>
      <c r="D47" s="215"/>
      <c r="E47" s="3911" t="s">
        <v>96</v>
      </c>
      <c r="F47" s="3911"/>
      <c r="G47" s="2669"/>
      <c r="H47" s="3911" t="s">
        <v>97</v>
      </c>
      <c r="I47" s="3911"/>
      <c r="J47" s="3911"/>
      <c r="K47" s="2669"/>
      <c r="L47" s="3911" t="s">
        <v>98</v>
      </c>
      <c r="M47" s="3911"/>
      <c r="N47" s="215"/>
      <c r="O47" s="215"/>
      <c r="P47" s="215"/>
      <c r="Q47" s="215"/>
      <c r="R47" s="69"/>
      <c r="S47" s="1506"/>
      <c r="T47" s="1507"/>
      <c r="U47" s="1998"/>
      <c r="V47" s="75"/>
      <c r="W47" s="1479"/>
      <c r="X47" s="64"/>
      <c r="Y47" s="2912" t="s">
        <v>748</v>
      </c>
      <c r="Z47" s="2903" t="s">
        <v>864</v>
      </c>
      <c r="AA47" s="2903"/>
      <c r="AB47" s="2903"/>
      <c r="AC47" s="2913" t="s">
        <v>748</v>
      </c>
      <c r="AD47" s="2903" t="s">
        <v>865</v>
      </c>
      <c r="AJ47" s="2914" t="s">
        <v>748</v>
      </c>
      <c r="AK47" s="2903" t="s">
        <v>866</v>
      </c>
      <c r="AL47" s="2903"/>
      <c r="AM47" s="78"/>
      <c r="AN47" s="78"/>
      <c r="AO47" s="78"/>
      <c r="AP47" s="78"/>
      <c r="AQ47" s="76"/>
      <c r="AR47" s="75"/>
      <c r="AS47" s="1508"/>
      <c r="AT47" s="75"/>
      <c r="AU47" s="2493"/>
      <c r="AV47" s="3792"/>
      <c r="AW47" s="3792"/>
      <c r="AX47" s="2854"/>
      <c r="AY47" s="3848"/>
      <c r="AZ47" s="3850"/>
      <c r="BA47" s="3850"/>
      <c r="BB47" s="3850"/>
      <c r="BC47" s="3797"/>
      <c r="BD47" s="3797"/>
      <c r="BE47" s="3797"/>
      <c r="BF47" s="78"/>
      <c r="BG47" s="1509"/>
      <c r="BH47" s="78"/>
      <c r="BI47" s="1993"/>
      <c r="BJ47" s="78"/>
      <c r="BK47" s="1557"/>
      <c r="BL47" s="80"/>
      <c r="BM47" s="76"/>
      <c r="BN47" s="75"/>
      <c r="BO47" s="75"/>
      <c r="BP47" s="76"/>
      <c r="BQ47" s="76"/>
      <c r="BR47" s="75"/>
      <c r="BS47" s="75"/>
      <c r="BT47" s="75"/>
      <c r="BU47" s="75"/>
      <c r="BV47" s="1572"/>
      <c r="BW47" s="1572"/>
      <c r="BX47" s="1572"/>
      <c r="BY47" s="82"/>
      <c r="BZ47" s="82"/>
      <c r="CA47" s="82"/>
      <c r="CB47" s="1495"/>
      <c r="CD47" s="69"/>
      <c r="CE47" s="1485"/>
      <c r="CF47" s="71"/>
    </row>
    <row r="48" spans="2:84" ht="10.5" customHeight="1">
      <c r="B48" s="1479"/>
      <c r="C48" s="1496"/>
      <c r="D48" s="1497"/>
      <c r="E48" s="1497"/>
      <c r="F48" s="1497"/>
      <c r="G48" s="1497"/>
      <c r="H48" s="1497"/>
      <c r="I48" s="1497"/>
      <c r="J48" s="1497"/>
      <c r="K48" s="1497"/>
      <c r="L48" s="1497"/>
      <c r="M48" s="1497"/>
      <c r="N48" s="1497"/>
      <c r="O48" s="1497"/>
      <c r="P48" s="1497"/>
      <c r="Q48" s="1497"/>
      <c r="R48" s="1510"/>
      <c r="S48" s="1506"/>
      <c r="T48" s="1460"/>
      <c r="U48" s="1994"/>
      <c r="V48" s="59"/>
      <c r="W48" s="1463"/>
      <c r="X48" s="91"/>
      <c r="Y48" s="92"/>
      <c r="Z48" s="92"/>
      <c r="AA48" s="92"/>
      <c r="AB48" s="92"/>
      <c r="AC48" s="92"/>
      <c r="AD48" s="92"/>
      <c r="AE48" s="92"/>
      <c r="AF48" s="92"/>
      <c r="AG48" s="92"/>
      <c r="AH48" s="92"/>
      <c r="AI48" s="92"/>
      <c r="AJ48" s="92"/>
      <c r="AK48" s="92"/>
      <c r="AL48" s="92"/>
      <c r="AM48" s="92"/>
      <c r="AN48" s="92"/>
      <c r="AO48" s="92"/>
      <c r="AP48" s="92"/>
      <c r="AQ48" s="92"/>
      <c r="AR48" s="92"/>
      <c r="AS48" s="1467"/>
      <c r="AT48" s="91"/>
      <c r="AU48" s="2670"/>
      <c r="AV48" s="2670"/>
      <c r="AW48" s="2670"/>
      <c r="AX48" s="2670"/>
      <c r="AY48" s="2670"/>
      <c r="AZ48" s="2670"/>
      <c r="BA48" s="2670"/>
      <c r="BB48" s="2670"/>
      <c r="BC48" s="2670"/>
      <c r="BD48" s="2670"/>
      <c r="BE48" s="2670"/>
      <c r="BF48" s="2069"/>
      <c r="BG48" s="1463"/>
      <c r="BH48" s="175"/>
      <c r="BI48" s="1993"/>
      <c r="BJ48" s="59"/>
      <c r="BK48" s="1463"/>
      <c r="BL48" s="91"/>
      <c r="BM48" s="92"/>
      <c r="BN48" s="92"/>
      <c r="BO48" s="92"/>
      <c r="BP48" s="92"/>
      <c r="BQ48" s="92"/>
      <c r="BR48" s="1578"/>
      <c r="BS48" s="92"/>
      <c r="BT48" s="92"/>
      <c r="BU48" s="92"/>
      <c r="BV48" s="92"/>
      <c r="BW48" s="92"/>
      <c r="BX48" s="92"/>
      <c r="BY48" s="92"/>
      <c r="BZ48" s="92"/>
      <c r="CA48" s="92"/>
      <c r="CB48" s="92"/>
      <c r="CC48" s="92"/>
      <c r="CD48" s="93"/>
      <c r="CE48" s="1469"/>
      <c r="CF48" s="43"/>
    </row>
    <row r="49" spans="2:84" ht="9" customHeight="1">
      <c r="B49" s="1511"/>
      <c r="C49" s="1512"/>
      <c r="D49" s="1513"/>
      <c r="E49" s="1513"/>
      <c r="F49" s="1513"/>
      <c r="G49" s="1513"/>
      <c r="H49" s="1513"/>
      <c r="I49" s="1513"/>
      <c r="J49" s="1513"/>
      <c r="K49" s="1513"/>
      <c r="L49" s="1513"/>
      <c r="M49" s="1513"/>
      <c r="N49" s="1513"/>
      <c r="O49" s="1513"/>
      <c r="P49" s="1513"/>
      <c r="Q49" s="1513"/>
      <c r="R49" s="1512"/>
      <c r="S49" s="1514"/>
      <c r="T49" s="1460"/>
      <c r="U49" s="1994"/>
      <c r="V49" s="59"/>
      <c r="W49" s="1515"/>
      <c r="X49" s="1516"/>
      <c r="Y49" s="1516"/>
      <c r="Z49" s="1516"/>
      <c r="AA49" s="1516"/>
      <c r="AB49" s="1516"/>
      <c r="AC49" s="1516"/>
      <c r="AD49" s="1516"/>
      <c r="AE49" s="1516"/>
      <c r="AF49" s="1516"/>
      <c r="AG49" s="1516"/>
      <c r="AH49" s="1516"/>
      <c r="AI49" s="1516"/>
      <c r="AJ49" s="1516"/>
      <c r="AK49" s="1516"/>
      <c r="AL49" s="1516"/>
      <c r="AM49" s="1516"/>
      <c r="AN49" s="1516"/>
      <c r="AO49" s="1516"/>
      <c r="AP49" s="1516"/>
      <c r="AQ49" s="1516"/>
      <c r="AR49" s="1516"/>
      <c r="AS49" s="1516"/>
      <c r="AT49" s="1516"/>
      <c r="AU49" s="1516"/>
      <c r="AV49" s="1516"/>
      <c r="AW49" s="1516"/>
      <c r="AX49" s="1516"/>
      <c r="AY49" s="1516"/>
      <c r="AZ49" s="1516"/>
      <c r="BA49" s="1516"/>
      <c r="BB49" s="1516"/>
      <c r="BC49" s="1516"/>
      <c r="BD49" s="1516"/>
      <c r="BE49" s="1516"/>
      <c r="BF49" s="1516"/>
      <c r="BG49" s="1516"/>
      <c r="BH49" s="175"/>
      <c r="BI49" s="1993"/>
      <c r="BJ49" s="59"/>
      <c r="BK49" s="1515"/>
      <c r="BL49" s="1516"/>
      <c r="BM49" s="1516"/>
      <c r="BN49" s="1516"/>
      <c r="BO49" s="1516"/>
      <c r="BP49" s="1516"/>
      <c r="BQ49" s="1516"/>
      <c r="BR49" s="1516"/>
      <c r="BS49" s="1516"/>
      <c r="BT49" s="1516"/>
      <c r="BU49" s="1516"/>
      <c r="BV49" s="1516"/>
      <c r="BW49" s="1516"/>
      <c r="BX49" s="1516"/>
      <c r="BY49" s="1516"/>
      <c r="BZ49" s="1516"/>
      <c r="CA49" s="1516"/>
      <c r="CB49" s="1516"/>
      <c r="CC49" s="1516"/>
      <c r="CD49" s="1516"/>
      <c r="CE49" s="1517"/>
      <c r="CF49" s="43"/>
    </row>
    <row r="50" spans="2:84" ht="12.75" customHeight="1">
      <c r="B50" s="75"/>
      <c r="C50" s="75"/>
      <c r="D50" s="215"/>
      <c r="E50" s="215"/>
      <c r="F50" s="215"/>
      <c r="G50" s="215"/>
      <c r="H50" s="215"/>
      <c r="I50" s="215"/>
      <c r="J50" s="215"/>
      <c r="K50" s="215"/>
      <c r="L50" s="215"/>
      <c r="M50" s="215"/>
      <c r="N50" s="215"/>
      <c r="O50" s="215"/>
      <c r="P50" s="215"/>
      <c r="Q50" s="215"/>
      <c r="R50" s="75"/>
      <c r="S50" s="75"/>
      <c r="T50" s="59"/>
      <c r="U50" s="1994"/>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1993"/>
      <c r="BJ50" s="59"/>
      <c r="BK50" s="59"/>
      <c r="BL50" s="59"/>
      <c r="BM50" s="59"/>
      <c r="BN50" s="59"/>
      <c r="BO50" s="59"/>
      <c r="BP50" s="59"/>
      <c r="BQ50" s="59"/>
      <c r="BR50" s="59"/>
      <c r="BS50" s="59"/>
      <c r="BT50" s="59"/>
      <c r="BU50" s="59"/>
      <c r="BV50" s="59"/>
      <c r="BW50" s="59"/>
      <c r="BX50" s="59"/>
      <c r="BY50" s="59"/>
      <c r="BZ50" s="59"/>
      <c r="CA50" s="59"/>
      <c r="CB50" s="59"/>
      <c r="CC50" s="59"/>
      <c r="CD50" s="59"/>
      <c r="CE50" s="59"/>
      <c r="CF50" s="59"/>
    </row>
    <row r="51" spans="2:84" ht="5.25" customHeight="1">
      <c r="B51" s="1998"/>
      <c r="C51" s="1998"/>
      <c r="D51" s="1999"/>
      <c r="E51" s="1999"/>
      <c r="F51" s="1999"/>
      <c r="G51" s="1999"/>
      <c r="H51" s="1999"/>
      <c r="I51" s="1999"/>
      <c r="J51" s="1999"/>
      <c r="K51" s="1999"/>
      <c r="L51" s="1999"/>
      <c r="M51" s="1999"/>
      <c r="N51" s="1999"/>
      <c r="O51" s="1999"/>
      <c r="P51" s="1999"/>
      <c r="Q51" s="1999"/>
      <c r="R51" s="1998"/>
      <c r="S51" s="1998"/>
      <c r="T51" s="1994"/>
      <c r="U51" s="1994"/>
      <c r="V51" s="1994"/>
      <c r="W51" s="1994"/>
      <c r="X51" s="1994"/>
      <c r="Y51" s="1994"/>
      <c r="Z51" s="1994"/>
      <c r="AA51" s="1994"/>
      <c r="AB51" s="1994"/>
      <c r="AC51" s="1994"/>
      <c r="AD51" s="1994"/>
      <c r="AE51" s="1994"/>
      <c r="AF51" s="1994"/>
      <c r="AG51" s="1994"/>
      <c r="AH51" s="1994"/>
      <c r="AI51" s="1994"/>
      <c r="AJ51" s="1994"/>
      <c r="AK51" s="1994"/>
      <c r="AL51" s="1994"/>
      <c r="AM51" s="1994"/>
      <c r="AN51" s="1994"/>
      <c r="AO51" s="1994"/>
      <c r="AP51" s="1994"/>
      <c r="AQ51" s="1994"/>
      <c r="AR51" s="1994"/>
      <c r="AS51" s="1994"/>
      <c r="AT51" s="1994"/>
      <c r="AU51" s="1994"/>
      <c r="AV51" s="1994"/>
      <c r="AW51" s="1994"/>
      <c r="AX51" s="1994"/>
      <c r="AY51" s="1994"/>
      <c r="AZ51" s="1994"/>
      <c r="BA51" s="1994"/>
      <c r="BB51" s="1994"/>
      <c r="BC51" s="1994"/>
      <c r="BD51" s="1994"/>
      <c r="BE51" s="1994"/>
      <c r="BF51" s="1994"/>
      <c r="BG51" s="1994"/>
      <c r="BH51" s="1994"/>
      <c r="BI51" s="1994"/>
      <c r="BJ51" s="1994"/>
      <c r="BK51" s="1994"/>
      <c r="BL51" s="1994"/>
      <c r="BM51" s="1994"/>
      <c r="BN51" s="1994"/>
      <c r="BO51" s="1994"/>
      <c r="BP51" s="1994"/>
      <c r="BQ51" s="1994"/>
      <c r="BR51" s="1994"/>
      <c r="BS51" s="1994"/>
      <c r="BT51" s="1994"/>
      <c r="BU51" s="1994"/>
      <c r="BV51" s="1994"/>
      <c r="BW51" s="1994"/>
      <c r="BX51" s="1994"/>
      <c r="BY51" s="1994"/>
      <c r="BZ51" s="1994"/>
      <c r="CA51" s="1994"/>
      <c r="CB51" s="1994"/>
      <c r="CC51" s="1994"/>
      <c r="CD51" s="1994"/>
      <c r="CE51" s="1994"/>
      <c r="CF51" s="59"/>
    </row>
    <row r="52" spans="2:84" ht="10.5" customHeight="1">
      <c r="B52" s="75"/>
      <c r="C52" s="75"/>
      <c r="D52" s="215"/>
      <c r="E52" s="215"/>
      <c r="F52" s="215"/>
      <c r="G52" s="215"/>
      <c r="H52" s="215"/>
      <c r="I52" s="215"/>
      <c r="J52" s="215"/>
      <c r="K52" s="215"/>
      <c r="L52" s="215"/>
      <c r="M52" s="215"/>
      <c r="N52" s="215"/>
      <c r="O52" s="215"/>
      <c r="P52" s="215"/>
      <c r="Q52" s="215"/>
      <c r="R52" s="75"/>
      <c r="S52" s="75"/>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59"/>
      <c r="BG52" s="59"/>
      <c r="BH52" s="59"/>
      <c r="BI52" s="59"/>
      <c r="BJ52" s="59"/>
      <c r="BK52" s="59"/>
      <c r="BL52" s="59"/>
      <c r="BM52" s="59"/>
      <c r="BN52" s="59"/>
      <c r="BO52" s="59"/>
      <c r="BP52" s="59"/>
      <c r="BQ52" s="59"/>
      <c r="BR52" s="59"/>
      <c r="BS52" s="59"/>
      <c r="BT52" s="59"/>
      <c r="BU52" s="59"/>
      <c r="BV52" s="59"/>
      <c r="BW52" s="59"/>
      <c r="BX52" s="59"/>
      <c r="BY52" s="59"/>
      <c r="BZ52" s="59"/>
      <c r="CA52" s="59"/>
      <c r="CB52" s="59"/>
      <c r="CC52" s="59"/>
      <c r="CD52" s="59"/>
      <c r="CE52" s="59"/>
      <c r="CF52" s="59"/>
    </row>
    <row r="53" spans="2:84" ht="25.5" customHeight="1">
      <c r="B53" s="1978"/>
      <c r="C53" s="1977" t="s">
        <v>982</v>
      </c>
      <c r="D53" s="1978"/>
      <c r="E53" s="1978"/>
      <c r="F53" s="1978"/>
      <c r="G53" s="1978"/>
      <c r="H53" s="1978"/>
      <c r="I53" s="1978"/>
      <c r="J53" s="1978"/>
      <c r="K53" s="1978"/>
      <c r="L53" s="1978"/>
      <c r="M53" s="1978"/>
      <c r="N53" s="1978"/>
      <c r="O53" s="1978"/>
      <c r="P53" s="1978"/>
      <c r="Q53" s="1978"/>
      <c r="R53" s="1978"/>
      <c r="S53" s="1978"/>
      <c r="T53" s="1978"/>
      <c r="U53" s="1978"/>
      <c r="V53" s="1978"/>
      <c r="W53" s="1978"/>
      <c r="X53" s="1978"/>
      <c r="Y53" s="1978"/>
      <c r="Z53" s="1978"/>
      <c r="AA53" s="1978"/>
      <c r="AB53" s="1978"/>
      <c r="AC53" s="1978"/>
      <c r="AD53" s="1978"/>
      <c r="AE53" s="1978"/>
      <c r="AF53" s="1978"/>
      <c r="AG53" s="1978"/>
      <c r="AH53" s="1978"/>
      <c r="AI53" s="1978"/>
      <c r="AJ53" s="1978"/>
      <c r="AK53" s="1978"/>
      <c r="AL53" s="1978"/>
      <c r="AM53" s="1978"/>
      <c r="AN53" s="1978"/>
      <c r="AO53" s="1978"/>
      <c r="AP53" s="1978"/>
      <c r="AQ53" s="1978"/>
      <c r="AR53" s="1978"/>
      <c r="AS53" s="1978"/>
      <c r="AT53" s="1978"/>
      <c r="AU53" s="1978"/>
      <c r="AV53" s="1978"/>
      <c r="AW53" s="1978"/>
      <c r="AX53" s="1978"/>
      <c r="AY53" s="1978"/>
      <c r="AZ53" s="1978"/>
      <c r="BA53" s="1978"/>
      <c r="BB53" s="1978"/>
      <c r="BC53" s="1978"/>
      <c r="BD53" s="1978"/>
      <c r="BE53" s="1978"/>
      <c r="BF53" s="1978"/>
      <c r="BG53" s="1978"/>
      <c r="BH53" s="1978"/>
      <c r="BI53" s="1978"/>
      <c r="BJ53" s="1978"/>
      <c r="BK53" s="1978"/>
      <c r="BL53" s="1978"/>
      <c r="BM53" s="1978"/>
      <c r="BN53" s="1978"/>
      <c r="BO53" s="1978"/>
      <c r="BP53" s="1978"/>
      <c r="BQ53" s="1978"/>
      <c r="BR53" s="1978"/>
      <c r="BS53" s="1978"/>
      <c r="BT53" s="1978"/>
      <c r="BU53" s="1978"/>
      <c r="BV53" s="1979"/>
      <c r="BW53" s="1978"/>
      <c r="BX53" s="1978"/>
      <c r="BY53" s="1978"/>
      <c r="BZ53" s="1978"/>
      <c r="CA53" s="1978"/>
      <c r="CB53" s="1978"/>
      <c r="CC53" s="1978"/>
      <c r="CD53" s="1981"/>
      <c r="CE53" s="1978"/>
    </row>
    <row r="54" spans="2:84" ht="7.5" customHeight="1"/>
    <row r="55" spans="2:84" ht="10.5" customHeight="1">
      <c r="B55" s="1457"/>
      <c r="C55" s="1518"/>
      <c r="D55" s="1518"/>
      <c r="E55" s="1518"/>
      <c r="F55" s="1518"/>
      <c r="G55" s="1518"/>
      <c r="H55" s="1518"/>
      <c r="I55" s="1518"/>
      <c r="J55" s="1518"/>
      <c r="K55" s="1518"/>
      <c r="L55" s="1518"/>
      <c r="M55" s="1518"/>
      <c r="N55" s="1518"/>
      <c r="O55" s="1518"/>
      <c r="P55" s="1518"/>
      <c r="Q55" s="1518"/>
      <c r="R55" s="1518"/>
      <c r="S55" s="1458"/>
      <c r="T55" s="1458"/>
      <c r="U55" s="1458"/>
      <c r="V55" s="1458"/>
      <c r="W55" s="1458"/>
      <c r="X55" s="1458"/>
      <c r="Y55" s="1458"/>
      <c r="Z55" s="1458"/>
      <c r="AA55" s="1458"/>
      <c r="AB55" s="1458"/>
      <c r="AC55" s="1458"/>
      <c r="AD55" s="1458"/>
      <c r="AE55" s="1458"/>
      <c r="AF55" s="1458"/>
      <c r="AG55" s="1458"/>
      <c r="AH55" s="1458"/>
      <c r="AI55" s="1458"/>
      <c r="AJ55" s="1458"/>
      <c r="AK55" s="1458"/>
      <c r="AL55" s="1458"/>
      <c r="AM55" s="1458"/>
      <c r="AN55" s="1458"/>
      <c r="AO55" s="1458"/>
      <c r="AP55" s="1458"/>
      <c r="AQ55" s="1458"/>
      <c r="AR55" s="1458"/>
      <c r="AS55" s="1458"/>
      <c r="AT55" s="1458"/>
      <c r="AU55" s="1458"/>
      <c r="AV55" s="1458"/>
      <c r="AW55" s="1458"/>
      <c r="AX55" s="1458"/>
      <c r="AY55" s="1458"/>
      <c r="AZ55" s="1458"/>
      <c r="BA55" s="1458"/>
      <c r="BB55" s="1458"/>
      <c r="BC55" s="1458"/>
      <c r="BD55" s="1458"/>
      <c r="BE55" s="1458"/>
      <c r="BF55" s="1458"/>
      <c r="BG55" s="1458"/>
      <c r="BH55" s="1458"/>
      <c r="BI55" s="1458"/>
      <c r="BJ55" s="1458"/>
      <c r="BK55" s="1458"/>
      <c r="BL55" s="1458"/>
      <c r="BM55" s="1458"/>
      <c r="BN55" s="1458"/>
      <c r="BO55" s="1458"/>
      <c r="BP55" s="1458"/>
      <c r="BQ55" s="1458"/>
      <c r="BR55" s="1458"/>
      <c r="BS55" s="1458"/>
      <c r="BT55" s="1458"/>
      <c r="BU55" s="1458"/>
      <c r="BV55" s="1458"/>
      <c r="BW55" s="1458"/>
      <c r="BX55" s="1458"/>
      <c r="BY55" s="1458"/>
      <c r="BZ55" s="1458"/>
      <c r="CA55" s="1458"/>
      <c r="CB55" s="1458"/>
      <c r="CC55" s="1458"/>
      <c r="CD55" s="1458"/>
      <c r="CE55" s="1459"/>
      <c r="CF55" s="43"/>
    </row>
    <row r="56" spans="2:84" ht="9.75" customHeight="1">
      <c r="B56" s="1479"/>
      <c r="C56" s="64"/>
      <c r="D56" s="215"/>
      <c r="E56" s="215"/>
      <c r="F56" s="215"/>
      <c r="G56" s="215"/>
      <c r="H56" s="215"/>
      <c r="I56" s="215"/>
      <c r="J56" s="215"/>
      <c r="K56" s="215"/>
      <c r="L56" s="215"/>
      <c r="M56" s="215"/>
      <c r="N56" s="215"/>
      <c r="O56" s="215"/>
      <c r="P56" s="215"/>
      <c r="Q56" s="215"/>
      <c r="R56" s="75"/>
      <c r="S56" s="2067"/>
      <c r="T56" s="46"/>
      <c r="U56" s="46"/>
      <c r="V56" s="2068"/>
      <c r="W56" s="1532"/>
      <c r="X56" s="45"/>
      <c r="Y56" s="46"/>
      <c r="Z56" s="46"/>
      <c r="AA56" s="46"/>
      <c r="AB56" s="46"/>
      <c r="AC56" s="46"/>
      <c r="AD56" s="46"/>
      <c r="AE56" s="46"/>
      <c r="AF56" s="46"/>
      <c r="AG56" s="46"/>
      <c r="AH56" s="46"/>
      <c r="AI56" s="46"/>
      <c r="AJ56" s="46"/>
      <c r="AK56" s="46"/>
      <c r="AL56" s="46"/>
      <c r="AM56" s="46"/>
      <c r="AN56" s="46"/>
      <c r="AO56" s="1467"/>
      <c r="AP56" s="46"/>
      <c r="AQ56" s="46"/>
      <c r="AR56" s="46"/>
      <c r="AS56" s="46"/>
      <c r="AT56" s="46"/>
      <c r="AU56" s="46"/>
      <c r="AV56" s="46"/>
      <c r="AW56" s="46"/>
      <c r="AX56" s="46"/>
      <c r="AY56" s="46"/>
      <c r="AZ56" s="46"/>
      <c r="BA56" s="46"/>
      <c r="BB56" s="46"/>
      <c r="BC56" s="46"/>
      <c r="BD56" s="46"/>
      <c r="BE56" s="46"/>
      <c r="BF56" s="46"/>
      <c r="BG56" s="1468"/>
      <c r="BH56" s="46"/>
      <c r="BI56" s="46"/>
      <c r="BJ56" s="46"/>
      <c r="BK56" s="46"/>
      <c r="BL56" s="46"/>
      <c r="BM56" s="46"/>
      <c r="BN56" s="46"/>
      <c r="BO56" s="46"/>
      <c r="BP56" s="46"/>
      <c r="BQ56" s="46"/>
      <c r="BR56" s="46"/>
      <c r="BS56" s="46"/>
      <c r="BT56" s="46"/>
      <c r="BU56" s="46"/>
      <c r="BV56" s="46"/>
      <c r="BW56" s="46"/>
      <c r="BX56" s="46"/>
      <c r="BY56" s="46"/>
      <c r="BZ56" s="46"/>
      <c r="CA56" s="46"/>
      <c r="CB56" s="46"/>
      <c r="CC56" s="46"/>
      <c r="CD56" s="47"/>
      <c r="CE56" s="1464"/>
      <c r="CF56" s="43"/>
    </row>
    <row r="57" spans="2:84" ht="21" customHeight="1">
      <c r="B57" s="1479"/>
      <c r="C57" s="64"/>
      <c r="D57" s="1520" t="s">
        <v>983</v>
      </c>
      <c r="E57" s="1520"/>
      <c r="F57" s="1520"/>
      <c r="G57" s="1520"/>
      <c r="H57" s="1520"/>
      <c r="I57" s="1520"/>
      <c r="J57" s="1520"/>
      <c r="K57" s="1520"/>
      <c r="L57" s="215"/>
      <c r="M57" s="215"/>
      <c r="N57" s="215"/>
      <c r="O57" s="215"/>
      <c r="P57" s="215"/>
      <c r="Q57" s="215"/>
      <c r="R57" s="75"/>
      <c r="S57" s="3817">
        <f>'CALCULS Eau'!N361</f>
        <v>0</v>
      </c>
      <c r="T57" s="3818"/>
      <c r="U57" s="3818"/>
      <c r="V57" s="1519"/>
      <c r="W57" s="1532"/>
      <c r="X57" s="458"/>
      <c r="Y57" s="1523" t="s">
        <v>984</v>
      </c>
      <c r="Z57" s="1523"/>
      <c r="AA57" s="1523"/>
      <c r="AB57" s="1523"/>
      <c r="AC57" s="1523"/>
      <c r="AD57" s="1523"/>
      <c r="AM57" s="1559">
        <f>'CALCULS Eau'!N296</f>
        <v>0</v>
      </c>
      <c r="AO57" s="1469"/>
      <c r="AQ57" s="590" t="s">
        <v>985</v>
      </c>
      <c r="AR57" s="59"/>
      <c r="AS57" s="59"/>
      <c r="AT57" s="59"/>
      <c r="AY57" s="59"/>
      <c r="AZ57" s="59"/>
      <c r="BA57" s="59"/>
      <c r="BB57" s="59"/>
      <c r="BC57" s="59"/>
      <c r="BD57" s="59"/>
      <c r="BE57" s="1559">
        <f>'CALCULS Eau'!N318</f>
        <v>0</v>
      </c>
      <c r="BF57" s="1521"/>
      <c r="BG57" s="1522"/>
      <c r="BH57" s="1521"/>
      <c r="BI57" s="590" t="s">
        <v>986</v>
      </c>
      <c r="BL57" s="59"/>
      <c r="BM57" s="59"/>
      <c r="BN57" s="59"/>
      <c r="BO57" s="59"/>
      <c r="BP57" s="59"/>
      <c r="BQ57" s="59"/>
      <c r="BR57" s="59"/>
      <c r="BS57" s="59"/>
      <c r="BT57" s="59"/>
      <c r="BU57" s="59"/>
      <c r="BV57" s="2865"/>
      <c r="BW57" s="59"/>
      <c r="BX57" s="59"/>
      <c r="BY57" s="59"/>
      <c r="BZ57" s="59"/>
      <c r="CA57" s="59"/>
      <c r="CB57" s="3788">
        <f>'CALCULS Eau'!N339</f>
        <v>0</v>
      </c>
      <c r="CC57" s="3788"/>
      <c r="CD57" s="61"/>
      <c r="CE57" s="1464"/>
      <c r="CF57" s="43"/>
    </row>
    <row r="58" spans="2:84" ht="7.5" customHeight="1">
      <c r="B58" s="1479"/>
      <c r="C58" s="64"/>
      <c r="D58" s="215"/>
      <c r="E58" s="215"/>
      <c r="F58" s="215"/>
      <c r="G58" s="215"/>
      <c r="H58" s="215"/>
      <c r="I58" s="215"/>
      <c r="J58" s="215"/>
      <c r="K58" s="215"/>
      <c r="L58" s="215"/>
      <c r="M58" s="215"/>
      <c r="N58" s="215"/>
      <c r="O58" s="215"/>
      <c r="P58" s="215"/>
      <c r="Q58" s="215"/>
      <c r="R58" s="75"/>
      <c r="S58" s="75"/>
      <c r="T58" s="59"/>
      <c r="U58" s="59"/>
      <c r="V58" s="1519"/>
      <c r="W58" s="1532"/>
      <c r="X58" s="174"/>
      <c r="Y58" s="59"/>
      <c r="Z58" s="59"/>
      <c r="AA58" s="59"/>
      <c r="AB58" s="59"/>
      <c r="AC58" s="59"/>
      <c r="AD58" s="59"/>
      <c r="AO58" s="1469"/>
      <c r="AQ58" s="59"/>
      <c r="AR58" s="59"/>
      <c r="AS58" s="59"/>
      <c r="AT58" s="59"/>
      <c r="AU58" s="59"/>
      <c r="AV58" s="59"/>
      <c r="AW58" s="59"/>
      <c r="AX58" s="59"/>
      <c r="AY58" s="59"/>
      <c r="AZ58" s="59"/>
      <c r="BA58" s="59"/>
      <c r="BB58" s="59"/>
      <c r="BC58" s="59"/>
      <c r="BD58" s="59"/>
      <c r="BE58" s="59"/>
      <c r="BF58" s="59"/>
      <c r="BG58" s="1468"/>
      <c r="BH58" s="59"/>
      <c r="BI58" s="59"/>
      <c r="BJ58" s="59"/>
      <c r="BL58" s="59"/>
      <c r="BM58" s="59"/>
      <c r="BN58" s="59"/>
      <c r="BO58" s="59"/>
      <c r="BP58" s="59"/>
      <c r="BQ58" s="59"/>
      <c r="BR58" s="59"/>
      <c r="BS58" s="59"/>
      <c r="BT58" s="59"/>
      <c r="BU58" s="59"/>
      <c r="BV58" s="59"/>
      <c r="BW58" s="59"/>
      <c r="BX58" s="59"/>
      <c r="BY58" s="59"/>
      <c r="BZ58" s="59"/>
      <c r="CA58" s="59"/>
      <c r="CB58" s="59"/>
      <c r="CC58" s="59"/>
      <c r="CD58" s="61"/>
      <c r="CE58" s="1464"/>
      <c r="CF58" s="43"/>
    </row>
    <row r="59" spans="2:84" ht="16.5" customHeight="1" thickBot="1">
      <c r="B59" s="1479"/>
      <c r="C59" s="64"/>
      <c r="D59" s="3820">
        <f>'CALCULS Eau'!G349</f>
        <v>0</v>
      </c>
      <c r="E59" s="3820"/>
      <c r="F59" s="3820"/>
      <c r="G59" s="3820"/>
      <c r="H59" s="2581" t="s">
        <v>987</v>
      </c>
      <c r="I59" s="435"/>
      <c r="J59" s="435"/>
      <c r="L59" s="1524"/>
      <c r="M59" s="1524"/>
      <c r="N59" s="1524"/>
      <c r="O59" s="1524"/>
      <c r="P59" s="1524"/>
      <c r="Q59" s="1524"/>
      <c r="R59" s="1524"/>
      <c r="S59" s="75"/>
      <c r="T59" s="59"/>
      <c r="U59" s="59"/>
      <c r="V59" s="1519"/>
      <c r="W59" s="1532"/>
      <c r="X59" s="458"/>
      <c r="Y59" s="3791" t="s">
        <v>795</v>
      </c>
      <c r="Z59" s="3791"/>
      <c r="AA59" s="3791"/>
      <c r="AB59" s="3791"/>
      <c r="AC59" s="3791"/>
      <c r="AD59" s="3791"/>
      <c r="AE59" s="3791"/>
      <c r="AF59" s="3791"/>
      <c r="AG59" s="3791"/>
      <c r="AH59" s="3791"/>
      <c r="AI59" s="3791"/>
      <c r="AJ59" s="3791"/>
      <c r="AK59" s="3791"/>
      <c r="AL59" s="3791"/>
      <c r="AM59" s="3791"/>
      <c r="AN59" s="437"/>
      <c r="AO59" s="2064"/>
      <c r="AP59" s="437"/>
      <c r="AQ59" s="3791" t="s">
        <v>795</v>
      </c>
      <c r="AR59" s="3791"/>
      <c r="AS59" s="3791"/>
      <c r="AT59" s="3791"/>
      <c r="AU59" s="3791"/>
      <c r="AV59" s="3791"/>
      <c r="AW59" s="3791"/>
      <c r="AX59" s="3791"/>
      <c r="AY59" s="3791"/>
      <c r="AZ59" s="3791"/>
      <c r="BA59" s="3791"/>
      <c r="BB59" s="3791"/>
      <c r="BC59" s="3791"/>
      <c r="BD59" s="3791"/>
      <c r="BE59" s="3791"/>
      <c r="BF59" s="59"/>
      <c r="BG59" s="1468"/>
      <c r="BH59" s="59"/>
      <c r="BI59" s="3791" t="s">
        <v>795</v>
      </c>
      <c r="BJ59" s="3791"/>
      <c r="BK59" s="3791"/>
      <c r="BL59" s="3791"/>
      <c r="BM59" s="3791"/>
      <c r="BN59" s="3791"/>
      <c r="BO59" s="3791"/>
      <c r="BP59" s="3791"/>
      <c r="BQ59" s="3791"/>
      <c r="BR59" s="3791"/>
      <c r="BS59" s="3791"/>
      <c r="BT59" s="3791"/>
      <c r="BU59" s="3791"/>
      <c r="BV59" s="3791"/>
      <c r="BW59" s="3791"/>
      <c r="BX59" s="3791"/>
      <c r="BY59" s="3791"/>
      <c r="BZ59" s="3791"/>
      <c r="CA59" s="3791"/>
      <c r="CB59" s="3791"/>
      <c r="CC59" s="3791"/>
      <c r="CD59" s="61"/>
      <c r="CE59" s="1464"/>
      <c r="CF59" s="43"/>
    </row>
    <row r="60" spans="2:84" ht="12.75" customHeight="1">
      <c r="B60" s="1479"/>
      <c r="C60" s="64"/>
      <c r="D60" s="3820"/>
      <c r="E60" s="3820"/>
      <c r="F60" s="3820"/>
      <c r="G60" s="3820"/>
      <c r="H60" s="2582" t="s">
        <v>988</v>
      </c>
      <c r="I60" s="2542"/>
      <c r="J60" s="2542"/>
      <c r="L60" s="1524"/>
      <c r="M60" s="1524"/>
      <c r="N60" s="1524"/>
      <c r="O60" s="1524"/>
      <c r="P60" s="1524"/>
      <c r="Q60" s="1524"/>
      <c r="R60" s="1524"/>
      <c r="S60" s="75"/>
      <c r="T60" s="59"/>
      <c r="U60" s="59"/>
      <c r="V60" s="1519"/>
      <c r="W60" s="1532"/>
      <c r="X60" s="458"/>
      <c r="Y60" s="1526"/>
      <c r="Z60" s="1526"/>
      <c r="AA60" s="1526"/>
      <c r="AB60" s="1526"/>
      <c r="AC60" s="1526"/>
      <c r="AD60" s="1526"/>
      <c r="AE60" s="437"/>
      <c r="AF60" s="437"/>
      <c r="AG60" s="437"/>
      <c r="AH60" s="437"/>
      <c r="AI60" s="437"/>
      <c r="AJ60" s="437"/>
      <c r="AK60" s="437"/>
      <c r="AL60" s="437"/>
      <c r="AM60" s="437"/>
      <c r="AN60" s="437"/>
      <c r="AO60" s="2064"/>
      <c r="AP60" s="437"/>
      <c r="AQ60" s="59"/>
      <c r="AR60" s="59"/>
      <c r="AS60" s="59"/>
      <c r="AT60" s="59"/>
      <c r="AU60" s="1526"/>
      <c r="AV60" s="1526"/>
      <c r="AW60" s="1526"/>
      <c r="AX60" s="1526"/>
      <c r="AY60" s="437"/>
      <c r="AZ60" s="437"/>
      <c r="BA60" s="437"/>
      <c r="BB60" s="437"/>
      <c r="BC60" s="437"/>
      <c r="BD60" s="437"/>
      <c r="BE60" s="1525"/>
      <c r="BF60" s="59"/>
      <c r="BG60" s="1468"/>
      <c r="BH60" s="59"/>
      <c r="BI60" s="1525"/>
      <c r="BJ60" s="1525"/>
      <c r="BK60" s="1526"/>
      <c r="BL60" s="1526"/>
      <c r="BM60" s="1526"/>
      <c r="BN60" s="1526"/>
      <c r="BO60" s="1526"/>
      <c r="BP60" s="437"/>
      <c r="BQ60" s="437"/>
      <c r="BR60" s="1525"/>
      <c r="BS60" s="1525"/>
      <c r="BT60" s="1525"/>
      <c r="BU60" s="1525"/>
      <c r="BV60" s="59"/>
      <c r="BW60" s="59"/>
      <c r="BX60" s="59"/>
      <c r="BY60" s="59"/>
      <c r="BZ60" s="59"/>
      <c r="CA60" s="59"/>
      <c r="CB60" s="59"/>
      <c r="CC60" s="59"/>
      <c r="CD60" s="61"/>
      <c r="CE60" s="1464"/>
      <c r="CF60" s="43"/>
    </row>
    <row r="61" spans="2:84" ht="15" customHeight="1">
      <c r="B61" s="1479"/>
      <c r="C61" s="64"/>
      <c r="D61" s="1527"/>
      <c r="E61" s="1527"/>
      <c r="F61" s="1527"/>
      <c r="G61" s="1527"/>
      <c r="H61" s="1527"/>
      <c r="I61" s="1527"/>
      <c r="J61" s="1527"/>
      <c r="L61" s="1524"/>
      <c r="M61" s="1524"/>
      <c r="N61" s="1524"/>
      <c r="O61" s="1524"/>
      <c r="P61" s="1524"/>
      <c r="Q61" s="1524"/>
      <c r="R61" s="1524"/>
      <c r="S61" s="75"/>
      <c r="T61" s="59"/>
      <c r="U61" s="59"/>
      <c r="V61" s="1519"/>
      <c r="W61" s="1532"/>
      <c r="X61" s="458"/>
      <c r="AE61" s="2562" t="s">
        <v>989</v>
      </c>
      <c r="AF61" s="2562"/>
      <c r="AG61" s="2562"/>
      <c r="AH61" s="2562"/>
      <c r="AI61" s="2562"/>
      <c r="AJ61" s="1579"/>
      <c r="AK61" s="1579"/>
      <c r="AL61" s="1579"/>
      <c r="AM61" s="1579"/>
      <c r="AN61" s="1579"/>
      <c r="AO61" s="2065"/>
      <c r="AP61" s="1579"/>
      <c r="AQ61" s="59"/>
      <c r="AR61" s="59"/>
      <c r="AS61" s="59"/>
      <c r="AT61" s="59"/>
      <c r="AU61" s="1579"/>
      <c r="AV61" s="1579"/>
      <c r="AW61" s="1579"/>
      <c r="AX61" s="1579"/>
      <c r="AY61" s="2683" t="s">
        <v>989</v>
      </c>
      <c r="AZ61" s="59"/>
      <c r="BA61" s="59"/>
      <c r="BB61" s="59"/>
      <c r="BC61" s="59"/>
      <c r="BD61" s="59"/>
      <c r="BE61" s="59"/>
      <c r="BF61" s="59"/>
      <c r="BG61" s="1468"/>
      <c r="BH61" s="59"/>
      <c r="BI61" s="59"/>
      <c r="BJ61" s="1579"/>
      <c r="BL61" s="59"/>
      <c r="BM61" s="59"/>
      <c r="BN61" s="59"/>
      <c r="BO61" s="59"/>
      <c r="BP61" s="59"/>
      <c r="BQ61" s="59"/>
      <c r="BR61" s="59"/>
      <c r="BS61" s="59"/>
      <c r="BT61" s="2562" t="s">
        <v>989</v>
      </c>
      <c r="BU61" s="2562"/>
      <c r="BV61" s="2562"/>
      <c r="BW61" s="59"/>
      <c r="BX61" s="59"/>
      <c r="BY61" s="59"/>
      <c r="BZ61" s="59"/>
      <c r="CA61" s="59"/>
      <c r="CB61" s="59"/>
      <c r="CC61" s="59"/>
      <c r="CD61" s="61"/>
      <c r="CE61" s="1464"/>
      <c r="CF61" s="43"/>
    </row>
    <row r="62" spans="2:84" ht="11.25" customHeight="1">
      <c r="B62" s="1479"/>
      <c r="C62" s="64"/>
      <c r="D62" s="1527"/>
      <c r="E62" s="1527"/>
      <c r="F62" s="1527"/>
      <c r="G62" s="1527"/>
      <c r="H62" s="2915" t="s">
        <v>748</v>
      </c>
      <c r="I62" s="2916" t="s">
        <v>935</v>
      </c>
      <c r="J62" s="2575"/>
      <c r="L62" s="1524"/>
      <c r="M62" s="1524"/>
      <c r="N62" s="1524"/>
      <c r="O62" s="1524"/>
      <c r="P62" s="1524"/>
      <c r="Q62" s="1524"/>
      <c r="R62" s="1524"/>
      <c r="S62" s="75"/>
      <c r="T62" s="59"/>
      <c r="U62" s="59"/>
      <c r="V62" s="1519"/>
      <c r="W62" s="1532"/>
      <c r="X62" s="458"/>
      <c r="Y62" s="1528"/>
      <c r="Z62" s="1528"/>
      <c r="AA62" s="1528"/>
      <c r="AB62" s="1528"/>
      <c r="AC62" s="1528"/>
      <c r="AD62" s="1528"/>
      <c r="AO62" s="1469"/>
      <c r="AQ62" s="59"/>
      <c r="AR62" s="59"/>
      <c r="AS62" s="59"/>
      <c r="AT62" s="59"/>
      <c r="AU62" s="1528"/>
      <c r="AV62" s="1528"/>
      <c r="AW62" s="1528"/>
      <c r="AX62" s="1528"/>
      <c r="AY62" s="59"/>
      <c r="AZ62" s="59"/>
      <c r="BA62" s="59"/>
      <c r="BB62" s="59"/>
      <c r="BC62" s="59"/>
      <c r="BD62" s="59"/>
      <c r="BE62" s="59"/>
      <c r="BF62" s="59"/>
      <c r="BG62" s="1468"/>
      <c r="BH62" s="59"/>
      <c r="BI62" s="59"/>
      <c r="BJ62" s="59"/>
      <c r="BK62" s="1528"/>
      <c r="BL62" s="59"/>
      <c r="BM62" s="59"/>
      <c r="BN62" s="59"/>
      <c r="BO62" s="59"/>
      <c r="BP62" s="59"/>
      <c r="BQ62" s="59"/>
      <c r="BR62" s="59"/>
      <c r="BS62" s="59"/>
      <c r="BW62" s="59"/>
      <c r="BX62" s="59"/>
      <c r="BY62" s="59"/>
      <c r="BZ62" s="59"/>
      <c r="CA62" s="59"/>
      <c r="CB62" s="59"/>
      <c r="CC62" s="59"/>
      <c r="CD62" s="61"/>
      <c r="CE62" s="1464"/>
      <c r="CF62" s="43"/>
    </row>
    <row r="63" spans="2:84" ht="11.25" customHeight="1">
      <c r="B63" s="1479"/>
      <c r="C63" s="64"/>
      <c r="D63" s="1527"/>
      <c r="E63" s="1527"/>
      <c r="F63" s="1527"/>
      <c r="G63" s="1527"/>
      <c r="H63" s="1527"/>
      <c r="I63" s="3819">
        <f>'CALCULS Eau'!G353</f>
        <v>0</v>
      </c>
      <c r="J63" s="3819"/>
      <c r="L63" s="1524"/>
      <c r="M63" s="1524"/>
      <c r="N63" s="1524"/>
      <c r="O63" s="1524"/>
      <c r="P63" s="1524"/>
      <c r="Q63" s="1524"/>
      <c r="R63" s="1524"/>
      <c r="S63" s="75"/>
      <c r="T63" s="59"/>
      <c r="U63" s="59"/>
      <c r="V63" s="1519"/>
      <c r="W63" s="1532"/>
      <c r="X63" s="458"/>
      <c r="Y63" s="1528"/>
      <c r="Z63" s="1528"/>
      <c r="AA63" s="1528"/>
      <c r="AB63" s="1528"/>
      <c r="AC63" s="1528"/>
      <c r="AD63" s="1528"/>
      <c r="AI63" s="1579" t="s">
        <v>990</v>
      </c>
      <c r="AO63" s="1469"/>
      <c r="AQ63" s="59"/>
      <c r="AR63" s="59"/>
      <c r="AS63" s="59"/>
      <c r="AT63" s="59"/>
      <c r="AU63" s="1528"/>
      <c r="AV63" s="1528"/>
      <c r="AW63" s="1528"/>
      <c r="AX63" s="1528"/>
      <c r="AY63" s="59"/>
      <c r="AZ63" s="59"/>
      <c r="BA63" s="59"/>
      <c r="BB63" s="59"/>
      <c r="BC63" s="1579" t="s">
        <v>479</v>
      </c>
      <c r="BD63" s="59"/>
      <c r="BE63" s="59"/>
      <c r="BF63" s="59"/>
      <c r="BG63" s="1468"/>
      <c r="BH63" s="59"/>
      <c r="BI63" s="59"/>
      <c r="BJ63" s="59"/>
      <c r="BK63" s="1528"/>
      <c r="BL63" s="59"/>
      <c r="BM63" s="59"/>
      <c r="BN63" s="59"/>
      <c r="BO63" s="59"/>
      <c r="BP63" s="59"/>
      <c r="BQ63" s="59"/>
      <c r="BR63" s="59"/>
      <c r="BS63" s="59"/>
      <c r="BW63" s="59"/>
      <c r="BX63" s="1579" t="s">
        <v>990</v>
      </c>
      <c r="CA63" s="59"/>
      <c r="CB63" s="59"/>
      <c r="CC63" s="59"/>
      <c r="CD63" s="61"/>
      <c r="CE63" s="1464"/>
      <c r="CF63" s="43"/>
    </row>
    <row r="64" spans="2:84" ht="11.25" customHeight="1">
      <c r="B64" s="1479"/>
      <c r="C64" s="64"/>
      <c r="D64" s="1527"/>
      <c r="E64" s="1527"/>
      <c r="F64" s="1527"/>
      <c r="G64" s="1527"/>
      <c r="H64" s="1527"/>
      <c r="I64" s="2576"/>
      <c r="J64" s="2575"/>
      <c r="L64" s="1524"/>
      <c r="M64" s="1524"/>
      <c r="N64" s="1524"/>
      <c r="O64" s="1524"/>
      <c r="P64" s="1524"/>
      <c r="Q64" s="1524"/>
      <c r="R64" s="1524"/>
      <c r="S64" s="75"/>
      <c r="T64" s="59"/>
      <c r="U64" s="59"/>
      <c r="V64" s="1519"/>
      <c r="W64" s="1532"/>
      <c r="X64" s="458"/>
      <c r="Y64" s="1528"/>
      <c r="Z64" s="1528"/>
      <c r="AA64" s="1528"/>
      <c r="AB64" s="1528"/>
      <c r="AC64" s="1528"/>
      <c r="AD64" s="1528"/>
      <c r="AJ64" s="2917" t="s">
        <v>748</v>
      </c>
      <c r="AK64" s="2561" t="s">
        <v>96</v>
      </c>
      <c r="AO64" s="1469"/>
      <c r="AQ64" s="59"/>
      <c r="AR64" s="59"/>
      <c r="AS64" s="59"/>
      <c r="AT64" s="59"/>
      <c r="AU64" s="1528"/>
      <c r="AV64" s="1528"/>
      <c r="AW64" s="1528"/>
      <c r="AX64" s="1528"/>
      <c r="AY64" s="59"/>
      <c r="AZ64" s="59"/>
      <c r="BA64" s="59"/>
      <c r="BB64" s="59"/>
      <c r="BC64" s="2918" t="s">
        <v>748</v>
      </c>
      <c r="BD64" s="2561" t="s">
        <v>96</v>
      </c>
      <c r="BE64" s="59"/>
      <c r="BF64" s="59"/>
      <c r="BG64" s="1468"/>
      <c r="BH64" s="59"/>
      <c r="BI64" s="59"/>
      <c r="BJ64" s="59"/>
      <c r="BK64" s="1528"/>
      <c r="BL64" s="59"/>
      <c r="BM64" s="59"/>
      <c r="BN64" s="59"/>
      <c r="BO64" s="59"/>
      <c r="BP64" s="59"/>
      <c r="BQ64" s="59"/>
      <c r="BR64" s="59"/>
      <c r="BS64" s="59"/>
      <c r="BW64" s="59"/>
      <c r="BY64" s="2917" t="s">
        <v>748</v>
      </c>
      <c r="BZ64" s="2561" t="s">
        <v>96</v>
      </c>
      <c r="CA64" s="59"/>
      <c r="CB64" s="59"/>
      <c r="CC64" s="59"/>
      <c r="CD64" s="61"/>
      <c r="CE64" s="1464"/>
      <c r="CF64" s="43"/>
    </row>
    <row r="65" spans="2:84" ht="11.25" customHeight="1">
      <c r="B65" s="1479"/>
      <c r="C65" s="64"/>
      <c r="D65" s="1527"/>
      <c r="E65" s="1527"/>
      <c r="F65" s="1527"/>
      <c r="G65" s="1527"/>
      <c r="H65" s="2919" t="s">
        <v>748</v>
      </c>
      <c r="I65" s="2916" t="s">
        <v>991</v>
      </c>
      <c r="J65" s="2575"/>
      <c r="L65" s="1524"/>
      <c r="M65" s="1524"/>
      <c r="N65" s="1524"/>
      <c r="O65" s="1524"/>
      <c r="P65" s="1524"/>
      <c r="Q65" s="1524"/>
      <c r="R65" s="1524"/>
      <c r="S65" s="75"/>
      <c r="T65" s="59"/>
      <c r="U65" s="59"/>
      <c r="V65" s="1519"/>
      <c r="W65" s="1532"/>
      <c r="X65" s="458"/>
      <c r="Y65" s="1528"/>
      <c r="Z65" s="1528"/>
      <c r="AA65" s="1528"/>
      <c r="AB65" s="1528"/>
      <c r="AC65" s="1528"/>
      <c r="AD65" s="1528"/>
      <c r="AJ65" s="2920" t="s">
        <v>748</v>
      </c>
      <c r="AK65" s="2561" t="s">
        <v>97</v>
      </c>
      <c r="AO65" s="1469"/>
      <c r="AQ65" s="59"/>
      <c r="AR65" s="59"/>
      <c r="AS65" s="59"/>
      <c r="AT65" s="59"/>
      <c r="AU65" s="1528"/>
      <c r="AV65" s="1528"/>
      <c r="AW65" s="1528"/>
      <c r="AX65" s="1528"/>
      <c r="AY65" s="59"/>
      <c r="AZ65" s="59"/>
      <c r="BA65" s="59"/>
      <c r="BB65" s="59"/>
      <c r="BC65" s="2921" t="s">
        <v>748</v>
      </c>
      <c r="BD65" s="2561" t="s">
        <v>97</v>
      </c>
      <c r="BE65" s="59"/>
      <c r="BF65" s="59"/>
      <c r="BG65" s="1468"/>
      <c r="BH65" s="59"/>
      <c r="BI65" s="59"/>
      <c r="BJ65" s="59"/>
      <c r="BK65" s="1528"/>
      <c r="BL65" s="59"/>
      <c r="BM65" s="59"/>
      <c r="BN65" s="59"/>
      <c r="BO65" s="59"/>
      <c r="BP65" s="59"/>
      <c r="BQ65" s="59"/>
      <c r="BR65" s="59"/>
      <c r="BS65" s="59"/>
      <c r="BW65" s="59"/>
      <c r="BY65" s="2920" t="s">
        <v>748</v>
      </c>
      <c r="BZ65" s="2561" t="s">
        <v>97</v>
      </c>
      <c r="CA65" s="59"/>
      <c r="CB65" s="59"/>
      <c r="CC65" s="59"/>
      <c r="CD65" s="61"/>
      <c r="CE65" s="1464"/>
      <c r="CF65" s="43"/>
    </row>
    <row r="66" spans="2:84" ht="11.25" customHeight="1">
      <c r="B66" s="1479"/>
      <c r="C66" s="64"/>
      <c r="D66" s="1527"/>
      <c r="E66" s="1527"/>
      <c r="F66" s="1527"/>
      <c r="G66" s="1527"/>
      <c r="H66" s="1527"/>
      <c r="I66" s="3819">
        <f>'CALCULS Eau'!G352</f>
        <v>0</v>
      </c>
      <c r="J66" s="3819"/>
      <c r="L66" s="1524"/>
      <c r="M66" s="1524"/>
      <c r="N66" s="1524"/>
      <c r="O66" s="1524"/>
      <c r="P66" s="1524"/>
      <c r="Q66" s="1524"/>
      <c r="R66" s="1524"/>
      <c r="S66" s="75"/>
      <c r="T66" s="59"/>
      <c r="U66" s="59"/>
      <c r="V66" s="1519"/>
      <c r="W66" s="1532"/>
      <c r="X66" s="458"/>
      <c r="Y66" s="1528"/>
      <c r="Z66" s="1528"/>
      <c r="AA66" s="1528"/>
      <c r="AB66" s="1528"/>
      <c r="AC66" s="1528"/>
      <c r="AD66" s="1528"/>
      <c r="AJ66" s="2922" t="s">
        <v>748</v>
      </c>
      <c r="AK66" s="2561" t="s">
        <v>98</v>
      </c>
      <c r="AO66" s="1469"/>
      <c r="AQ66" s="59"/>
      <c r="AR66" s="59"/>
      <c r="AS66" s="59"/>
      <c r="AT66" s="59"/>
      <c r="AU66" s="1528"/>
      <c r="AV66" s="1528"/>
      <c r="AW66" s="1528"/>
      <c r="AX66" s="1528"/>
      <c r="AY66" s="59"/>
      <c r="AZ66" s="59"/>
      <c r="BA66" s="59"/>
      <c r="BB66" s="59"/>
      <c r="BC66" s="2923" t="s">
        <v>748</v>
      </c>
      <c r="BD66" s="2561" t="s">
        <v>98</v>
      </c>
      <c r="BE66" s="59"/>
      <c r="BF66" s="59"/>
      <c r="BG66" s="1468"/>
      <c r="BH66" s="59"/>
      <c r="BI66" s="59"/>
      <c r="BJ66" s="59"/>
      <c r="BK66" s="1528"/>
      <c r="BL66" s="59"/>
      <c r="BM66" s="59"/>
      <c r="BN66" s="59"/>
      <c r="BO66" s="59"/>
      <c r="BP66" s="59"/>
      <c r="BQ66" s="59"/>
      <c r="BR66" s="59"/>
      <c r="BS66" s="59"/>
      <c r="BW66" s="59"/>
      <c r="BY66" s="2922" t="s">
        <v>748</v>
      </c>
      <c r="BZ66" s="2561" t="s">
        <v>98</v>
      </c>
      <c r="CA66" s="59"/>
      <c r="CB66" s="59"/>
      <c r="CC66" s="59"/>
      <c r="CD66" s="61"/>
      <c r="CE66" s="1464"/>
      <c r="CF66" s="43"/>
    </row>
    <row r="67" spans="2:84" ht="11.25" customHeight="1">
      <c r="B67" s="1479"/>
      <c r="C67" s="64"/>
      <c r="D67" s="1527"/>
      <c r="E67" s="1527"/>
      <c r="F67" s="1527"/>
      <c r="G67" s="1527"/>
      <c r="H67" s="1527"/>
      <c r="I67" s="2576"/>
      <c r="J67" s="2575"/>
      <c r="L67" s="1524"/>
      <c r="M67" s="1524"/>
      <c r="N67" s="1524"/>
      <c r="O67" s="1524"/>
      <c r="P67" s="1524"/>
      <c r="Q67" s="1524"/>
      <c r="R67" s="1524"/>
      <c r="S67" s="75"/>
      <c r="T67" s="59"/>
      <c r="U67" s="59"/>
      <c r="V67" s="1519"/>
      <c r="W67" s="1532"/>
      <c r="X67" s="458"/>
      <c r="Y67" s="1528"/>
      <c r="Z67" s="1528"/>
      <c r="AA67" s="1528"/>
      <c r="AB67" s="1528"/>
      <c r="AC67" s="1528"/>
      <c r="AD67" s="1528"/>
      <c r="AH67" s="2561"/>
      <c r="AI67" s="2561"/>
      <c r="AO67" s="1469"/>
      <c r="AQ67" s="59"/>
      <c r="AR67" s="59"/>
      <c r="AS67" s="59"/>
      <c r="AT67" s="59"/>
      <c r="AU67" s="1528"/>
      <c r="AV67" s="1528"/>
      <c r="AW67" s="1528"/>
      <c r="AX67" s="1528"/>
      <c r="AY67" s="59"/>
      <c r="AZ67" s="59"/>
      <c r="BA67" s="59"/>
      <c r="BB67" s="59"/>
      <c r="BC67" s="59"/>
      <c r="BD67" s="59"/>
      <c r="BE67" s="59"/>
      <c r="BF67" s="59"/>
      <c r="BG67" s="1468"/>
      <c r="BH67" s="59"/>
      <c r="BI67" s="59"/>
      <c r="BJ67" s="59"/>
      <c r="BK67" s="1528"/>
      <c r="BL67" s="59"/>
      <c r="BM67" s="59"/>
      <c r="BN67" s="59"/>
      <c r="BO67" s="59"/>
      <c r="BP67" s="59"/>
      <c r="BQ67" s="59"/>
      <c r="BR67" s="59"/>
      <c r="BS67" s="59"/>
      <c r="BW67" s="59"/>
      <c r="BX67" s="59"/>
      <c r="BY67" s="59"/>
      <c r="BZ67" s="59"/>
      <c r="CA67" s="59"/>
      <c r="CB67" s="59"/>
      <c r="CC67" s="59"/>
      <c r="CD67" s="61"/>
      <c r="CE67" s="1464"/>
      <c r="CF67" s="43"/>
    </row>
    <row r="68" spans="2:84" ht="11.25" customHeight="1">
      <c r="B68" s="1479"/>
      <c r="C68" s="64"/>
      <c r="H68" s="2924" t="s">
        <v>748</v>
      </c>
      <c r="I68" s="2916" t="s">
        <v>992</v>
      </c>
      <c r="J68" s="1342"/>
      <c r="K68" s="435"/>
      <c r="L68" s="215"/>
      <c r="M68" s="215"/>
      <c r="N68" s="215"/>
      <c r="O68" s="215"/>
      <c r="P68" s="215"/>
      <c r="Q68" s="215"/>
      <c r="R68" s="75"/>
      <c r="S68" s="75"/>
      <c r="T68" s="59"/>
      <c r="U68" s="59"/>
      <c r="V68" s="1519"/>
      <c r="W68" s="1532"/>
      <c r="X68" s="458"/>
      <c r="Y68" s="1528"/>
      <c r="Z68" s="1528"/>
      <c r="AA68" s="1528"/>
      <c r="AB68" s="1528"/>
      <c r="AC68" s="1528"/>
      <c r="AD68" s="1528"/>
      <c r="AE68" s="1579" t="s">
        <v>83</v>
      </c>
      <c r="AF68" s="2561"/>
      <c r="AG68" s="2561"/>
      <c r="AO68" s="1469"/>
      <c r="AQ68" s="59"/>
      <c r="AR68" s="59"/>
      <c r="AS68" s="59"/>
      <c r="AT68" s="59"/>
      <c r="AU68" s="1528"/>
      <c r="AV68" s="1528"/>
      <c r="AW68" s="1528"/>
      <c r="AX68" s="1528"/>
      <c r="AY68" s="2684" t="s">
        <v>83</v>
      </c>
      <c r="AZ68" s="59"/>
      <c r="BA68" s="59"/>
      <c r="BB68" s="59"/>
      <c r="BC68" s="59"/>
      <c r="BD68" s="59"/>
      <c r="BE68" s="59"/>
      <c r="BF68" s="59"/>
      <c r="BG68" s="1468"/>
      <c r="BH68" s="59"/>
      <c r="BI68" s="59"/>
      <c r="BJ68" s="59"/>
      <c r="BK68" s="1528"/>
      <c r="BL68" s="59"/>
      <c r="BM68" s="59"/>
      <c r="BN68" s="59"/>
      <c r="BO68" s="59"/>
      <c r="BP68" s="59"/>
      <c r="BQ68" s="59"/>
      <c r="BR68" s="59"/>
      <c r="BS68" s="59"/>
      <c r="BT68" s="1579" t="s">
        <v>83</v>
      </c>
      <c r="BU68" s="2561"/>
      <c r="BV68" s="2561"/>
      <c r="BW68" s="59"/>
      <c r="BX68" s="59"/>
      <c r="BY68" s="59"/>
      <c r="BZ68" s="59"/>
      <c r="CA68" s="59"/>
      <c r="CB68" s="59"/>
      <c r="CC68" s="59"/>
      <c r="CD68" s="61"/>
      <c r="CE68" s="1464"/>
      <c r="CF68" s="43"/>
    </row>
    <row r="69" spans="2:84" ht="11.25" customHeight="1">
      <c r="B69" s="1479"/>
      <c r="C69" s="64"/>
      <c r="D69" s="1529"/>
      <c r="E69" s="1529"/>
      <c r="F69" s="1529"/>
      <c r="G69" s="1529"/>
      <c r="H69" s="1529"/>
      <c r="I69" s="3819">
        <f>'CALCULS Eau'!G350</f>
        <v>0</v>
      </c>
      <c r="J69" s="3819"/>
      <c r="K69" s="435"/>
      <c r="L69" s="215"/>
      <c r="M69" s="215"/>
      <c r="N69" s="215"/>
      <c r="O69" s="215"/>
      <c r="P69" s="215"/>
      <c r="Q69" s="215"/>
      <c r="R69" s="75"/>
      <c r="S69" s="75"/>
      <c r="T69" s="59"/>
      <c r="U69" s="59"/>
      <c r="V69" s="1519"/>
      <c r="W69" s="1532"/>
      <c r="X69" s="458"/>
      <c r="Y69" s="1528"/>
      <c r="Z69" s="1528"/>
      <c r="AA69" s="1528"/>
      <c r="AB69" s="1528"/>
      <c r="AC69" s="1528"/>
      <c r="AD69" s="1528"/>
      <c r="AF69" s="2925" t="s">
        <v>748</v>
      </c>
      <c r="AG69" s="2561" t="s">
        <v>96</v>
      </c>
      <c r="AO69" s="1469"/>
      <c r="AQ69" s="92"/>
      <c r="AR69" s="92"/>
      <c r="AS69" s="92"/>
      <c r="AT69" s="92"/>
      <c r="AU69" s="2825"/>
      <c r="AV69" s="2825"/>
      <c r="AW69" s="2825"/>
      <c r="AX69" s="1528"/>
      <c r="AZ69" s="2926" t="s">
        <v>748</v>
      </c>
      <c r="BA69" s="2561" t="s">
        <v>96</v>
      </c>
      <c r="BB69" s="59"/>
      <c r="BC69" s="59"/>
      <c r="BD69" s="59"/>
      <c r="BE69" s="59"/>
      <c r="BF69" s="59"/>
      <c r="BG69" s="1468"/>
      <c r="BH69" s="59"/>
      <c r="BI69" s="59"/>
      <c r="BJ69" s="59"/>
      <c r="BK69" s="1528"/>
      <c r="BL69" s="59"/>
      <c r="BM69" s="59"/>
      <c r="BN69" s="59"/>
      <c r="BO69" s="59"/>
      <c r="BP69" s="59"/>
      <c r="BQ69" s="92"/>
      <c r="BR69" s="59"/>
      <c r="BS69" s="59"/>
      <c r="BU69" s="2925" t="s">
        <v>748</v>
      </c>
      <c r="BV69" s="2561" t="s">
        <v>96</v>
      </c>
      <c r="BW69" s="59"/>
      <c r="BX69" s="59"/>
      <c r="BY69" s="59"/>
      <c r="BZ69" s="59"/>
      <c r="CA69" s="59"/>
      <c r="CB69" s="59"/>
      <c r="CC69" s="59"/>
      <c r="CD69" s="61"/>
      <c r="CE69" s="1464"/>
      <c r="CF69" s="43"/>
    </row>
    <row r="70" spans="2:84" ht="11.25" customHeight="1">
      <c r="B70" s="1479"/>
      <c r="C70" s="64"/>
      <c r="D70" s="1530"/>
      <c r="E70" s="1530"/>
      <c r="F70" s="1530"/>
      <c r="G70" s="1530"/>
      <c r="H70" s="1530"/>
      <c r="I70" s="1530"/>
      <c r="J70" s="1530"/>
      <c r="K70" s="1342"/>
      <c r="L70" s="215"/>
      <c r="M70" s="215"/>
      <c r="N70" s="215"/>
      <c r="O70" s="215"/>
      <c r="P70" s="215"/>
      <c r="Q70" s="215"/>
      <c r="R70" s="75"/>
      <c r="S70" s="75"/>
      <c r="T70" s="59"/>
      <c r="U70" s="59"/>
      <c r="V70" s="1519"/>
      <c r="W70" s="1532"/>
      <c r="X70" s="458"/>
      <c r="Y70" s="2824"/>
      <c r="Z70" s="2824"/>
      <c r="AA70" s="2824"/>
      <c r="AB70" s="2824"/>
      <c r="AC70" s="1528"/>
      <c r="AD70" s="1528"/>
      <c r="AF70" s="2927" t="s">
        <v>748</v>
      </c>
      <c r="AG70" s="2561" t="s">
        <v>97</v>
      </c>
      <c r="AO70" s="1469"/>
      <c r="AQ70" s="59"/>
      <c r="AR70" s="59"/>
      <c r="AS70" s="59"/>
      <c r="AT70" s="59"/>
      <c r="AU70" s="1528"/>
      <c r="AV70" s="1528"/>
      <c r="AW70" s="1528"/>
      <c r="AX70" s="1528"/>
      <c r="AZ70" s="2928" t="s">
        <v>748</v>
      </c>
      <c r="BA70" s="2561" t="s">
        <v>97</v>
      </c>
      <c r="BB70" s="59"/>
      <c r="BC70" s="59"/>
      <c r="BD70" s="59"/>
      <c r="BE70" s="59"/>
      <c r="BF70" s="59"/>
      <c r="BG70" s="1468"/>
      <c r="BH70" s="59"/>
      <c r="BI70" s="59"/>
      <c r="BJ70" s="46"/>
      <c r="BK70" s="2824"/>
      <c r="BL70" s="46"/>
      <c r="BM70" s="46"/>
      <c r="BN70" s="46"/>
      <c r="BO70" s="46"/>
      <c r="BP70" s="46"/>
      <c r="BQ70" s="59"/>
      <c r="BR70" s="59"/>
      <c r="BS70" s="59"/>
      <c r="BU70" s="2927" t="s">
        <v>748</v>
      </c>
      <c r="BV70" s="2561" t="s">
        <v>97</v>
      </c>
      <c r="BW70" s="59"/>
      <c r="BX70" s="59"/>
      <c r="BY70" s="59"/>
      <c r="BZ70" s="59"/>
      <c r="CA70" s="59"/>
      <c r="CB70" s="59"/>
      <c r="CC70" s="59"/>
      <c r="CD70" s="61"/>
      <c r="CE70" s="1464"/>
      <c r="CF70" s="43"/>
    </row>
    <row r="71" spans="2:84" ht="11.25" customHeight="1">
      <c r="B71" s="1479"/>
      <c r="C71" s="64"/>
      <c r="D71" s="437"/>
      <c r="E71" s="437"/>
      <c r="F71" s="437"/>
      <c r="G71" s="437"/>
      <c r="H71" s="437"/>
      <c r="I71" s="437"/>
      <c r="J71" s="437"/>
      <c r="K71" s="435"/>
      <c r="L71" s="215"/>
      <c r="M71" s="215"/>
      <c r="N71" s="215"/>
      <c r="O71" s="215"/>
      <c r="P71" s="215"/>
      <c r="Q71" s="215"/>
      <c r="R71" s="75"/>
      <c r="S71" s="75"/>
      <c r="T71" s="59"/>
      <c r="U71" s="59"/>
      <c r="V71" s="1519"/>
      <c r="W71" s="1532"/>
      <c r="X71" s="458"/>
      <c r="Y71" s="1528"/>
      <c r="Z71" s="1528"/>
      <c r="AA71" s="1528"/>
      <c r="AB71" s="1528"/>
      <c r="AC71" s="1528"/>
      <c r="AD71" s="1528"/>
      <c r="AF71" s="2929" t="s">
        <v>748</v>
      </c>
      <c r="AG71" s="2561" t="s">
        <v>98</v>
      </c>
      <c r="AO71" s="1469"/>
      <c r="AQ71" s="59"/>
      <c r="AR71" s="59"/>
      <c r="AS71" s="59"/>
      <c r="AT71" s="59"/>
      <c r="AU71" s="1528"/>
      <c r="AV71" s="1528"/>
      <c r="AW71" s="1528"/>
      <c r="AX71" s="1528"/>
      <c r="AZ71" s="2930" t="s">
        <v>748</v>
      </c>
      <c r="BA71" s="2561" t="s">
        <v>98</v>
      </c>
      <c r="BB71" s="59"/>
      <c r="BC71" s="59"/>
      <c r="BD71" s="59"/>
      <c r="BE71" s="59"/>
      <c r="BF71" s="59"/>
      <c r="BG71" s="1468"/>
      <c r="BH71" s="59"/>
      <c r="BI71" s="59"/>
      <c r="BJ71" s="59"/>
      <c r="BK71" s="1528"/>
      <c r="BL71" s="59"/>
      <c r="BM71" s="59"/>
      <c r="BN71" s="59"/>
      <c r="BO71" s="59"/>
      <c r="BP71" s="59"/>
      <c r="BQ71" s="59"/>
      <c r="BR71" s="59"/>
      <c r="BS71" s="59"/>
      <c r="BU71" s="2929" t="s">
        <v>748</v>
      </c>
      <c r="BV71" s="2561" t="s">
        <v>98</v>
      </c>
      <c r="BW71" s="59"/>
      <c r="BX71" s="59"/>
      <c r="BY71" s="59"/>
      <c r="BZ71" s="59"/>
      <c r="CA71" s="59"/>
      <c r="CB71" s="59"/>
      <c r="CC71" s="59"/>
      <c r="CD71" s="61"/>
      <c r="CE71" s="1464"/>
      <c r="CF71" s="43"/>
    </row>
    <row r="72" spans="2:84" ht="15" customHeight="1">
      <c r="B72" s="1479"/>
      <c r="C72" s="64"/>
      <c r="D72" s="437"/>
      <c r="E72" s="2580"/>
      <c r="F72" s="2580"/>
      <c r="G72" s="2580"/>
      <c r="H72" s="2580"/>
      <c r="I72" s="437"/>
      <c r="J72" s="437"/>
      <c r="K72" s="435"/>
      <c r="L72" s="3821" t="s">
        <v>993</v>
      </c>
      <c r="M72" s="3834" t="s">
        <v>938</v>
      </c>
      <c r="N72" s="3823" t="s">
        <v>994</v>
      </c>
      <c r="O72" s="3824"/>
      <c r="P72" s="3824"/>
      <c r="Q72" s="3836" t="s">
        <v>934</v>
      </c>
      <c r="R72" s="3837"/>
      <c r="S72" s="2565"/>
      <c r="T72" s="2586"/>
      <c r="U72" s="59"/>
      <c r="V72" s="1519"/>
      <c r="W72" s="1532"/>
      <c r="X72" s="458"/>
      <c r="Y72" s="1528"/>
      <c r="Z72" s="1528"/>
      <c r="AA72" s="1528"/>
      <c r="AB72" s="1528"/>
      <c r="AC72" s="1528"/>
      <c r="AD72" s="1528"/>
      <c r="AO72" s="1469"/>
      <c r="AQ72" s="59"/>
      <c r="AR72" s="59"/>
      <c r="AS72" s="59"/>
      <c r="AT72" s="59"/>
      <c r="AU72" s="1528"/>
      <c r="AV72" s="1528"/>
      <c r="AW72" s="1528"/>
      <c r="AX72" s="1528"/>
      <c r="AY72" s="59"/>
      <c r="AZ72" s="59"/>
      <c r="BA72" s="59"/>
      <c r="BB72" s="59"/>
      <c r="BC72" s="59"/>
      <c r="BD72" s="59"/>
      <c r="BE72" s="59"/>
      <c r="BF72" s="59"/>
      <c r="BG72" s="1468"/>
      <c r="BH72" s="59"/>
      <c r="BI72" s="59"/>
      <c r="BJ72" s="59"/>
      <c r="BK72" s="1528"/>
      <c r="BL72" s="59"/>
      <c r="BM72" s="59"/>
      <c r="BN72" s="59"/>
      <c r="BO72" s="59"/>
      <c r="BP72" s="59"/>
      <c r="BQ72" s="59"/>
      <c r="BR72" s="59"/>
      <c r="BS72" s="59"/>
      <c r="BT72" s="59"/>
      <c r="BU72" s="59"/>
      <c r="BV72" s="59"/>
      <c r="BW72" s="59"/>
      <c r="BX72" s="59"/>
      <c r="BY72" s="59"/>
      <c r="BZ72" s="59"/>
      <c r="CA72" s="59"/>
      <c r="CB72" s="59"/>
      <c r="CC72" s="59"/>
      <c r="CD72" s="61"/>
      <c r="CE72" s="1464"/>
      <c r="CF72" s="43"/>
    </row>
    <row r="73" spans="2:84" ht="17.25" customHeight="1">
      <c r="B73" s="1479"/>
      <c r="C73" s="64"/>
      <c r="D73" s="437"/>
      <c r="E73" s="437"/>
      <c r="F73" s="437"/>
      <c r="G73" s="437"/>
      <c r="H73" s="437"/>
      <c r="I73" s="437"/>
      <c r="J73" s="437"/>
      <c r="K73" s="435"/>
      <c r="L73" s="3822"/>
      <c r="M73" s="3835"/>
      <c r="N73" s="3825"/>
      <c r="O73" s="3825"/>
      <c r="P73" s="3825"/>
      <c r="Q73" s="3838"/>
      <c r="R73" s="3839"/>
      <c r="S73" s="75"/>
      <c r="T73" s="1519"/>
      <c r="U73" s="59"/>
      <c r="V73" s="1519"/>
      <c r="W73" s="1532"/>
      <c r="X73" s="458"/>
      <c r="Y73" s="3799" t="s">
        <v>995</v>
      </c>
      <c r="Z73" s="3799"/>
      <c r="AA73" s="3799"/>
      <c r="AB73" s="3799"/>
      <c r="AC73" s="3799"/>
      <c r="AD73" s="3799"/>
      <c r="AE73" s="3799"/>
      <c r="AF73" s="3799"/>
      <c r="AG73" s="3799"/>
      <c r="AH73" s="3799"/>
      <c r="AI73" s="3799"/>
      <c r="AJ73" s="3799"/>
      <c r="AK73" s="3799"/>
      <c r="AL73" s="3799"/>
      <c r="AM73" s="3799"/>
      <c r="AO73" s="1469"/>
      <c r="AQ73" s="3799" t="s">
        <v>996</v>
      </c>
      <c r="AR73" s="3799"/>
      <c r="AS73" s="3799"/>
      <c r="AT73" s="3799"/>
      <c r="AU73" s="3799"/>
      <c r="AV73" s="3799"/>
      <c r="AW73" s="3799"/>
      <c r="AX73" s="3799"/>
      <c r="AY73" s="3799"/>
      <c r="AZ73" s="3799"/>
      <c r="BA73" s="3799"/>
      <c r="BB73" s="3799"/>
      <c r="BC73" s="3799"/>
      <c r="BD73" s="3799"/>
      <c r="BE73" s="3799"/>
      <c r="BF73" s="2678"/>
      <c r="BG73" s="1468"/>
      <c r="BH73" s="59"/>
      <c r="BI73" s="3799" t="s">
        <v>997</v>
      </c>
      <c r="BJ73" s="3799"/>
      <c r="BK73" s="3799"/>
      <c r="BL73" s="3799"/>
      <c r="BM73" s="3799"/>
      <c r="BN73" s="3799"/>
      <c r="BO73" s="3799"/>
      <c r="BP73" s="3799"/>
      <c r="BQ73" s="3799"/>
      <c r="BR73" s="3799"/>
      <c r="BS73" s="3799"/>
      <c r="BT73" s="3799"/>
      <c r="BU73" s="3799"/>
      <c r="BV73" s="3799"/>
      <c r="BW73" s="3799"/>
      <c r="BX73" s="3799"/>
      <c r="BY73" s="3799"/>
      <c r="BZ73" s="3799"/>
      <c r="CA73" s="3799"/>
      <c r="CB73" s="3799"/>
      <c r="CC73" s="3799"/>
      <c r="CD73" s="61"/>
      <c r="CE73" s="1464"/>
      <c r="CF73" s="43"/>
    </row>
    <row r="74" spans="2:84" ht="3.75" customHeight="1">
      <c r="B74" s="1479"/>
      <c r="C74" s="64"/>
      <c r="D74" s="437"/>
      <c r="E74" s="437"/>
      <c r="F74" s="437"/>
      <c r="G74" s="2583"/>
      <c r="H74" s="2563"/>
      <c r="I74" s="2563"/>
      <c r="J74" s="2563"/>
      <c r="K74" s="2564"/>
      <c r="L74" s="2573"/>
      <c r="M74" s="2571"/>
      <c r="N74" s="2572"/>
      <c r="O74" s="2572"/>
      <c r="P74" s="2572"/>
      <c r="Q74" s="2574"/>
      <c r="R74" s="2565"/>
      <c r="S74" s="2565"/>
      <c r="T74" s="2586"/>
      <c r="U74" s="59"/>
      <c r="V74" s="1519"/>
      <c r="W74" s="1532"/>
      <c r="X74" s="458"/>
      <c r="Y74" s="2636"/>
      <c r="Z74" s="2637"/>
      <c r="AA74" s="2637"/>
      <c r="AB74" s="2637"/>
      <c r="AC74" s="2637"/>
      <c r="AD74" s="2637"/>
      <c r="AE74" s="2638"/>
      <c r="AF74" s="2638"/>
      <c r="AG74" s="2638"/>
      <c r="AH74" s="2638"/>
      <c r="AI74" s="2638"/>
      <c r="AJ74" s="2638"/>
      <c r="AK74" s="2638"/>
      <c r="AL74" s="2638"/>
      <c r="AM74" s="2639"/>
      <c r="AO74" s="1469"/>
      <c r="AQ74" s="2636"/>
      <c r="AR74" s="2637"/>
      <c r="AS74" s="2637"/>
      <c r="AT74" s="2637"/>
      <c r="AU74" s="2637"/>
      <c r="AV74" s="2637"/>
      <c r="AW74" s="2638"/>
      <c r="AX74" s="2638"/>
      <c r="AY74" s="2638"/>
      <c r="AZ74" s="2638"/>
      <c r="BA74" s="2638"/>
      <c r="BB74" s="2638"/>
      <c r="BC74" s="2638"/>
      <c r="BD74" s="2638"/>
      <c r="BE74" s="2638"/>
      <c r="BF74" s="2679"/>
      <c r="BG74" s="1468"/>
      <c r="BH74" s="59"/>
      <c r="BI74" s="2636"/>
      <c r="BJ74" s="2637"/>
      <c r="BK74" s="2637"/>
      <c r="BL74" s="2637"/>
      <c r="BM74" s="2637"/>
      <c r="BN74" s="2637"/>
      <c r="BO74" s="2638"/>
      <c r="BP74" s="2638"/>
      <c r="BQ74" s="2638"/>
      <c r="BR74" s="2638"/>
      <c r="BS74" s="2638"/>
      <c r="BT74" s="2638"/>
      <c r="BU74" s="2638"/>
      <c r="BV74" s="2638"/>
      <c r="BW74" s="2638"/>
      <c r="BX74" s="2638"/>
      <c r="BY74" s="2638"/>
      <c r="BZ74" s="2638"/>
      <c r="CA74" s="2638"/>
      <c r="CB74" s="2638"/>
      <c r="CC74" s="2639"/>
      <c r="CD74" s="61"/>
      <c r="CE74" s="1464"/>
      <c r="CF74" s="43"/>
    </row>
    <row r="75" spans="2:84" ht="14.25" customHeight="1">
      <c r="B75" s="1479"/>
      <c r="C75" s="64"/>
      <c r="D75" s="437"/>
      <c r="E75" s="437"/>
      <c r="F75" s="437"/>
      <c r="G75" s="2584"/>
      <c r="H75" s="437"/>
      <c r="I75" s="437"/>
      <c r="J75" s="2931" t="s">
        <v>941</v>
      </c>
      <c r="K75" s="435"/>
      <c r="L75" s="2577" t="str">
        <f>'CALCULS Eau'!J361</f>
        <v/>
      </c>
      <c r="M75" s="2578" t="str">
        <f>'CALCULS Eau'!K361</f>
        <v/>
      </c>
      <c r="N75" s="3828" t="str">
        <f>'CALCULS Eau'!L361</f>
        <v/>
      </c>
      <c r="O75" s="3829"/>
      <c r="P75" s="3829"/>
      <c r="Q75" s="3842" t="str">
        <f>'CALCULS Eau'!M361</f>
        <v/>
      </c>
      <c r="R75" s="3843"/>
      <c r="S75" s="3832">
        <f>'CALCULS Eau'!N361</f>
        <v>0</v>
      </c>
      <c r="T75" s="3833"/>
      <c r="U75" s="59"/>
      <c r="V75" s="1519"/>
      <c r="W75" s="1532"/>
      <c r="X75" s="458"/>
      <c r="Y75" s="2640"/>
      <c r="Z75" s="1528"/>
      <c r="AA75" s="1528"/>
      <c r="AB75" s="1528"/>
      <c r="AC75" s="1528"/>
      <c r="AD75" s="1528"/>
      <c r="AJ75" s="2641" t="str">
        <f>'CALCULS Eau'!E294</f>
        <v>Ratio de financement du fonctionnement</v>
      </c>
      <c r="AK75" s="2642" t="str">
        <f>'CALCULS Eau'!G294</f>
        <v/>
      </c>
      <c r="AL75" s="3786">
        <f>'CALCULS Eau'!N296</f>
        <v>0</v>
      </c>
      <c r="AM75" s="3787"/>
      <c r="AO75" s="1469"/>
      <c r="AQ75" s="2640"/>
      <c r="AR75" s="1528"/>
      <c r="AS75" s="1528"/>
      <c r="AT75" s="1528"/>
      <c r="AU75" s="1528"/>
      <c r="AV75" s="1528"/>
      <c r="BC75" s="2682" t="str">
        <f>'CALCULS Eau'!E316</f>
        <v>Ratio de financement du renouvellement</v>
      </c>
      <c r="BD75" s="2642" t="str">
        <f>'CALCULS Eau'!G316</f>
        <v/>
      </c>
      <c r="BE75" s="2853">
        <f>'CALCULS Eau'!N318</f>
        <v>0</v>
      </c>
      <c r="BF75" s="2680"/>
      <c r="BG75" s="1468"/>
      <c r="BH75" s="59"/>
      <c r="BI75" s="2640"/>
      <c r="BJ75" s="1528"/>
      <c r="BK75" s="1528"/>
      <c r="BL75" s="1528"/>
      <c r="BM75" s="1528"/>
      <c r="BN75" s="1528"/>
      <c r="BX75" s="2650"/>
      <c r="BY75" s="2662" t="str">
        <f>'CALCULS Eau'!E337</f>
        <v>Ratio de financement des acquisitions/dispositions</v>
      </c>
      <c r="BZ75" s="3800" t="str">
        <f>'CALCULS Eau'!G337</f>
        <v/>
      </c>
      <c r="CA75" s="3800"/>
      <c r="CB75" s="3786">
        <f>'CALCULS Eau'!N339</f>
        <v>0</v>
      </c>
      <c r="CC75" s="3787"/>
      <c r="CD75" s="61"/>
      <c r="CE75" s="1464"/>
      <c r="CF75" s="43"/>
    </row>
    <row r="76" spans="2:84" ht="14.25" customHeight="1">
      <c r="B76" s="1479"/>
      <c r="C76" s="64"/>
      <c r="D76" s="1531"/>
      <c r="E76" s="1531"/>
      <c r="F76" s="1531"/>
      <c r="G76" s="2651"/>
      <c r="H76" s="1531"/>
      <c r="I76" s="1531"/>
      <c r="J76" s="2932" t="s">
        <v>942</v>
      </c>
      <c r="K76" s="2542"/>
      <c r="L76" s="2652" t="str">
        <f>'CALCULS Eau'!J362</f>
        <v/>
      </c>
      <c r="M76" s="2653" t="str">
        <f>'CALCULS Eau'!K362</f>
        <v/>
      </c>
      <c r="N76" s="3826" t="str">
        <f>'CALCULS Eau'!L362</f>
        <v/>
      </c>
      <c r="O76" s="3827"/>
      <c r="P76" s="3827"/>
      <c r="Q76" s="3840" t="str">
        <f>'CALCULS Eau'!M362</f>
        <v/>
      </c>
      <c r="R76" s="3841"/>
      <c r="S76" s="3830">
        <f>'CALCULS Eau'!N362</f>
        <v>0</v>
      </c>
      <c r="T76" s="3831"/>
      <c r="U76" s="59"/>
      <c r="V76" s="1519"/>
      <c r="W76" s="1532"/>
      <c r="X76" s="458"/>
      <c r="Y76" s="2640"/>
      <c r="Z76" s="1528"/>
      <c r="AA76" s="1528"/>
      <c r="AB76" s="1528"/>
      <c r="AC76" s="1528"/>
      <c r="AD76" s="1528"/>
      <c r="AJ76" s="2650" t="str">
        <f>'CALCULS Eau'!E295</f>
        <v>Ratio d'autofinancement du fonctionnement</v>
      </c>
      <c r="AK76" s="2856" t="str">
        <f>'CALCULS Eau'!G295</f>
        <v/>
      </c>
      <c r="AL76" s="3786">
        <f>'CALCULS Eau'!N295</f>
        <v>0</v>
      </c>
      <c r="AM76" s="3787"/>
      <c r="AO76" s="1469"/>
      <c r="AQ76" s="2640"/>
      <c r="AR76" s="1528"/>
      <c r="AS76" s="1528"/>
      <c r="AT76" s="1528"/>
      <c r="AU76" s="1528"/>
      <c r="AV76" s="1528"/>
      <c r="BC76" s="2662" t="str">
        <f>'CALCULS Eau'!E317</f>
        <v>Ratio d'autofinancement du renouvellement</v>
      </c>
      <c r="BD76" s="2856" t="str">
        <f>'CALCULS Eau'!G317</f>
        <v/>
      </c>
      <c r="BE76" s="2853">
        <f>'CALCULS Eau'!N317</f>
        <v>0</v>
      </c>
      <c r="BF76" s="2680"/>
      <c r="BG76" s="1468"/>
      <c r="BH76" s="59"/>
      <c r="BI76" s="2640"/>
      <c r="BJ76" s="1528"/>
      <c r="BK76" s="1528"/>
      <c r="BL76" s="1528"/>
      <c r="BM76" s="1528"/>
      <c r="BN76" s="1528"/>
      <c r="BX76" s="2650"/>
      <c r="BY76" s="2662" t="str">
        <f>'CALCULS Eau'!E338</f>
        <v>Ratio d'autofinancement des acquisitions/dispositions</v>
      </c>
      <c r="BZ76" s="3800" t="str">
        <f>'CALCULS Eau'!G338</f>
        <v/>
      </c>
      <c r="CA76" s="3800"/>
      <c r="CB76" s="3786">
        <f>'CALCULS Eau'!N338</f>
        <v>0</v>
      </c>
      <c r="CC76" s="3787"/>
      <c r="CD76" s="61"/>
      <c r="CE76" s="1464"/>
      <c r="CF76" s="43"/>
    </row>
    <row r="77" spans="2:84" ht="3.75" customHeight="1">
      <c r="B77" s="1479"/>
      <c r="C77" s="64"/>
      <c r="D77" s="1531"/>
      <c r="E77" s="1531"/>
      <c r="F77" s="1531"/>
      <c r="G77" s="2585"/>
      <c r="H77" s="2566"/>
      <c r="I77" s="2566"/>
      <c r="J77" s="2933"/>
      <c r="K77" s="2570"/>
      <c r="L77" s="2659"/>
      <c r="M77" s="2579"/>
      <c r="N77" s="2660"/>
      <c r="O77" s="2654"/>
      <c r="P77" s="2661"/>
      <c r="Q77" s="2655"/>
      <c r="R77" s="2656"/>
      <c r="S77" s="2657"/>
      <c r="T77" s="2658"/>
      <c r="U77" s="59"/>
      <c r="V77" s="1519"/>
      <c r="W77" s="1532"/>
      <c r="X77" s="458"/>
      <c r="Y77" s="2643"/>
      <c r="Z77" s="2644"/>
      <c r="AA77" s="2644"/>
      <c r="AB77" s="2644"/>
      <c r="AC77" s="2644"/>
      <c r="AD77" s="2644"/>
      <c r="AE77" s="2645"/>
      <c r="AF77" s="2645"/>
      <c r="AG77" s="2645"/>
      <c r="AH77" s="2645"/>
      <c r="AI77" s="2645"/>
      <c r="AJ77" s="2646"/>
      <c r="AK77" s="2647"/>
      <c r="AL77" s="2648"/>
      <c r="AM77" s="2649"/>
      <c r="AO77" s="1469"/>
      <c r="AQ77" s="2643"/>
      <c r="AR77" s="2644"/>
      <c r="AS77" s="2644"/>
      <c r="AT77" s="2644"/>
      <c r="AU77" s="2644"/>
      <c r="AV77" s="2644"/>
      <c r="AW77" s="2645"/>
      <c r="AX77" s="2645"/>
      <c r="AY77" s="2645"/>
      <c r="AZ77" s="2645"/>
      <c r="BA77" s="2645"/>
      <c r="BB77" s="2646"/>
      <c r="BC77" s="2646"/>
      <c r="BD77" s="2647"/>
      <c r="BE77" s="2648"/>
      <c r="BF77" s="2681"/>
      <c r="BG77" s="1468"/>
      <c r="BH77" s="59"/>
      <c r="BI77" s="2643"/>
      <c r="BJ77" s="2644"/>
      <c r="BK77" s="2644"/>
      <c r="BL77" s="2644"/>
      <c r="BM77" s="2644"/>
      <c r="BN77" s="2644"/>
      <c r="BO77" s="2645"/>
      <c r="BP77" s="2645"/>
      <c r="BQ77" s="2645"/>
      <c r="BR77" s="2645"/>
      <c r="BS77" s="2645"/>
      <c r="BT77" s="2645"/>
      <c r="BU77" s="2645"/>
      <c r="BV77" s="2645"/>
      <c r="BW77" s="2646"/>
      <c r="BX77" s="2646"/>
      <c r="BY77" s="2647"/>
      <c r="BZ77" s="2647"/>
      <c r="CA77" s="2647"/>
      <c r="CB77" s="2648"/>
      <c r="CC77" s="2649"/>
      <c r="CD77" s="61"/>
      <c r="CE77" s="1464"/>
      <c r="CF77" s="43"/>
    </row>
    <row r="78" spans="2:84" ht="12.75" customHeight="1">
      <c r="B78" s="1479"/>
      <c r="C78" s="1496"/>
      <c r="D78" s="2934"/>
      <c r="E78" s="2934"/>
      <c r="F78" s="2934"/>
      <c r="G78" s="2934"/>
      <c r="H78" s="2934"/>
      <c r="I78" s="2934"/>
      <c r="J78" s="2934"/>
      <c r="K78" s="2935"/>
      <c r="L78" s="2935"/>
      <c r="M78" s="2935"/>
      <c r="N78" s="2935"/>
      <c r="O78" s="2935"/>
      <c r="P78" s="2935"/>
      <c r="Q78" s="1497"/>
      <c r="R78" s="2066"/>
      <c r="S78" s="2066"/>
      <c r="T78" s="92"/>
      <c r="U78" s="92"/>
      <c r="V78" s="2069"/>
      <c r="W78" s="1532"/>
      <c r="X78" s="91"/>
      <c r="Y78" s="92"/>
      <c r="Z78" s="92"/>
      <c r="AA78" s="92"/>
      <c r="AB78" s="92"/>
      <c r="AC78" s="92"/>
      <c r="AD78" s="92"/>
      <c r="AE78" s="92"/>
      <c r="AF78" s="92"/>
      <c r="AG78" s="92"/>
      <c r="AH78" s="92"/>
      <c r="AI78" s="92"/>
      <c r="AJ78" s="92"/>
      <c r="AK78" s="92"/>
      <c r="AL78" s="92"/>
      <c r="AM78" s="92"/>
      <c r="AN78" s="92"/>
      <c r="AO78" s="1467"/>
      <c r="AP78" s="92"/>
      <c r="AQ78" s="92"/>
      <c r="AR78" s="92"/>
      <c r="AS78" s="92"/>
      <c r="AT78" s="92"/>
      <c r="AU78" s="92"/>
      <c r="AV78" s="92"/>
      <c r="AW78" s="92"/>
      <c r="AX78" s="92"/>
      <c r="AY78" s="92"/>
      <c r="AZ78" s="92"/>
      <c r="BA78" s="92"/>
      <c r="BB78" s="92"/>
      <c r="BC78" s="92"/>
      <c r="BD78" s="92"/>
      <c r="BE78" s="92"/>
      <c r="BF78" s="93"/>
      <c r="BG78" s="1468"/>
      <c r="BH78" s="2538"/>
      <c r="BI78" s="92"/>
      <c r="BJ78" s="92"/>
      <c r="BK78" s="92"/>
      <c r="BL78" s="92"/>
      <c r="BM78" s="92"/>
      <c r="BN78" s="92"/>
      <c r="BO78" s="92"/>
      <c r="BP78" s="92"/>
      <c r="BQ78" s="92"/>
      <c r="BR78" s="92"/>
      <c r="BS78" s="92"/>
      <c r="BT78" s="92"/>
      <c r="BU78" s="92"/>
      <c r="BV78" s="92"/>
      <c r="BW78" s="92"/>
      <c r="BX78" s="92"/>
      <c r="BY78" s="92"/>
      <c r="BZ78" s="92"/>
      <c r="CA78" s="92"/>
      <c r="CB78" s="92"/>
      <c r="CC78" s="92"/>
      <c r="CD78" s="93"/>
      <c r="CE78" s="1464"/>
      <c r="CF78" s="43"/>
    </row>
    <row r="79" spans="2:84" ht="8.25" customHeight="1">
      <c r="B79" s="1511"/>
      <c r="C79" s="1512"/>
      <c r="D79" s="2936"/>
      <c r="E79" s="2936"/>
      <c r="F79" s="2936"/>
      <c r="G79" s="2936"/>
      <c r="H79" s="2936"/>
      <c r="I79" s="2936"/>
      <c r="J79" s="2936"/>
      <c r="K79" s="2937"/>
      <c r="L79" s="2937"/>
      <c r="M79" s="2937"/>
      <c r="N79" s="2937"/>
      <c r="O79" s="2937"/>
      <c r="P79" s="2937"/>
      <c r="Q79" s="1513"/>
      <c r="R79" s="1512"/>
      <c r="S79" s="1512"/>
      <c r="T79" s="1516"/>
      <c r="U79" s="1516"/>
      <c r="V79" s="1516"/>
      <c r="W79" s="1533"/>
      <c r="X79" s="1533"/>
      <c r="Y79" s="1533"/>
      <c r="Z79" s="1533"/>
      <c r="AA79" s="1533"/>
      <c r="AB79" s="1533"/>
      <c r="AC79" s="1533"/>
      <c r="AD79" s="1533"/>
      <c r="AE79" s="1533"/>
      <c r="AF79" s="1533"/>
      <c r="AG79" s="1533"/>
      <c r="AH79" s="1533"/>
      <c r="AI79" s="1533"/>
      <c r="AJ79" s="1533"/>
      <c r="AK79" s="1533"/>
      <c r="AL79" s="1533"/>
      <c r="AM79" s="1533"/>
      <c r="AN79" s="1533"/>
      <c r="AO79" s="1533"/>
      <c r="AP79" s="1533"/>
      <c r="AQ79" s="1533"/>
      <c r="AR79" s="1533"/>
      <c r="AS79" s="1533"/>
      <c r="AT79" s="1533"/>
      <c r="AU79" s="1533"/>
      <c r="AV79" s="1533"/>
      <c r="AW79" s="1533"/>
      <c r="AX79" s="1533"/>
      <c r="AY79" s="1533"/>
      <c r="AZ79" s="1533"/>
      <c r="BA79" s="1533"/>
      <c r="BB79" s="1533"/>
      <c r="BC79" s="1533"/>
      <c r="BD79" s="1533"/>
      <c r="BE79" s="1533"/>
      <c r="BF79" s="1533"/>
      <c r="BG79" s="1533"/>
      <c r="BH79" s="1533"/>
      <c r="BI79" s="1533"/>
      <c r="BJ79" s="1533"/>
      <c r="BK79" s="1533"/>
      <c r="BL79" s="1533"/>
      <c r="BM79" s="1533"/>
      <c r="BN79" s="1533"/>
      <c r="BO79" s="1533"/>
      <c r="BP79" s="1533"/>
      <c r="BQ79" s="1533"/>
      <c r="BR79" s="1533"/>
      <c r="BS79" s="1533"/>
      <c r="BT79" s="1533"/>
      <c r="BU79" s="1533"/>
      <c r="BV79" s="1533"/>
      <c r="BW79" s="1533"/>
      <c r="BX79" s="1533"/>
      <c r="BY79" s="1533"/>
      <c r="BZ79" s="1533"/>
      <c r="CA79" s="1533"/>
      <c r="CB79" s="1533"/>
      <c r="CC79" s="1533"/>
      <c r="CD79" s="1533"/>
      <c r="CE79" s="1534"/>
      <c r="CF79" s="43"/>
    </row>
    <row r="80" spans="2:84" ht="12.75" customHeight="1">
      <c r="B80" s="75"/>
      <c r="C80" s="75"/>
      <c r="D80" s="432"/>
      <c r="E80" s="432"/>
      <c r="F80" s="432"/>
      <c r="G80" s="432"/>
      <c r="H80" s="432"/>
      <c r="I80" s="432"/>
      <c r="J80" s="432"/>
      <c r="K80" s="2938"/>
      <c r="L80" s="2938"/>
      <c r="M80" s="2938"/>
      <c r="N80" s="2938"/>
      <c r="O80" s="2938"/>
      <c r="P80" s="2938"/>
      <c r="Q80" s="215"/>
      <c r="R80" s="75"/>
      <c r="S80" s="75"/>
      <c r="T80" s="59"/>
      <c r="U80" s="59"/>
      <c r="V80" s="59"/>
      <c r="W80" s="59"/>
      <c r="X80" s="59"/>
      <c r="Y80" s="59"/>
      <c r="Z80" s="59"/>
      <c r="AA80" s="59"/>
      <c r="AB80" s="59"/>
      <c r="AC80" s="59"/>
      <c r="AD80" s="59"/>
      <c r="AE80" s="59"/>
      <c r="AF80" s="59"/>
      <c r="AG80" s="59"/>
      <c r="AH80" s="59"/>
      <c r="AI80" s="59"/>
      <c r="AJ80" s="59"/>
      <c r="AK80" s="59"/>
      <c r="AL80" s="59"/>
      <c r="AM80" s="59"/>
      <c r="AN80" s="59"/>
      <c r="AO80" s="59"/>
      <c r="AP80" s="59"/>
      <c r="AQ80" s="59"/>
      <c r="AR80" s="59"/>
      <c r="AS80" s="59"/>
      <c r="AT80" s="59"/>
      <c r="AU80" s="59"/>
      <c r="AV80" s="59"/>
      <c r="AW80" s="59"/>
      <c r="AX80" s="59"/>
      <c r="AY80" s="59"/>
      <c r="AZ80" s="59"/>
      <c r="BA80" s="59"/>
      <c r="BB80" s="59"/>
      <c r="BC80" s="59"/>
      <c r="BD80" s="59"/>
      <c r="BE80" s="59"/>
      <c r="BF80" s="59"/>
      <c r="BG80" s="59"/>
      <c r="BH80" s="59"/>
      <c r="BI80" s="59"/>
      <c r="BJ80" s="59"/>
      <c r="BK80" s="59"/>
      <c r="BL80" s="59"/>
      <c r="BM80" s="59"/>
      <c r="BN80" s="59"/>
      <c r="BO80" s="59"/>
      <c r="BP80" s="59"/>
      <c r="BQ80" s="59"/>
      <c r="BR80" s="59"/>
      <c r="BS80" s="59"/>
      <c r="BT80" s="59"/>
      <c r="BU80" s="59"/>
      <c r="BV80" s="59"/>
      <c r="BW80" s="59"/>
      <c r="BX80" s="59"/>
      <c r="BY80" s="59"/>
      <c r="BZ80" s="59"/>
      <c r="CA80" s="59"/>
      <c r="CB80" s="59"/>
      <c r="CC80" s="59"/>
      <c r="CD80" s="59"/>
      <c r="CE80" s="59"/>
      <c r="CF80" s="43"/>
    </row>
    <row r="81" spans="2:84" ht="5.25" customHeight="1">
      <c r="B81" s="1998"/>
      <c r="C81" s="1998"/>
      <c r="D81" s="1999"/>
      <c r="E81" s="1999"/>
      <c r="F81" s="1999"/>
      <c r="G81" s="1999"/>
      <c r="H81" s="1999"/>
      <c r="I81" s="1999"/>
      <c r="J81" s="1999"/>
      <c r="K81" s="1999"/>
      <c r="L81" s="1999"/>
      <c r="M81" s="1999"/>
      <c r="N81" s="1999"/>
      <c r="O81" s="1999"/>
      <c r="P81" s="1999"/>
      <c r="Q81" s="1999"/>
      <c r="R81" s="1998"/>
      <c r="S81" s="1998"/>
      <c r="T81" s="1994"/>
      <c r="U81" s="1994"/>
      <c r="V81" s="1994"/>
      <c r="W81" s="1994"/>
      <c r="X81" s="1994"/>
      <c r="Y81" s="1994"/>
      <c r="Z81" s="1994"/>
      <c r="AA81" s="1994"/>
      <c r="AB81" s="1994"/>
      <c r="AC81" s="1994"/>
      <c r="AD81" s="1994"/>
      <c r="AE81" s="1994"/>
      <c r="AF81" s="1994"/>
      <c r="AG81" s="1994"/>
      <c r="AH81" s="1994"/>
      <c r="AI81" s="1994"/>
      <c r="AJ81" s="1994"/>
      <c r="AK81" s="1994"/>
      <c r="AL81" s="1994"/>
      <c r="AM81" s="1994"/>
      <c r="AN81" s="1994"/>
      <c r="AO81" s="1994"/>
      <c r="AP81" s="1994"/>
      <c r="AQ81" s="1994"/>
      <c r="AR81" s="1994"/>
      <c r="AS81" s="1994"/>
      <c r="AT81" s="1994"/>
      <c r="AU81" s="1994"/>
      <c r="AV81" s="1994"/>
      <c r="AW81" s="1994"/>
      <c r="AX81" s="1994"/>
      <c r="AY81" s="1994"/>
      <c r="AZ81" s="1994"/>
      <c r="BA81" s="1994"/>
      <c r="BB81" s="1994"/>
      <c r="BC81" s="1994"/>
      <c r="BD81" s="1994"/>
      <c r="BE81" s="1994"/>
      <c r="BF81" s="1994"/>
      <c r="BG81" s="1994"/>
      <c r="BH81" s="1994"/>
      <c r="BI81" s="1994"/>
      <c r="BJ81" s="1994"/>
      <c r="BK81" s="1994"/>
      <c r="BL81" s="1994"/>
      <c r="BM81" s="1994"/>
      <c r="BN81" s="1994"/>
      <c r="BO81" s="1994"/>
      <c r="BP81" s="1994"/>
      <c r="BQ81" s="1994"/>
      <c r="BR81" s="1994"/>
      <c r="BS81" s="1994"/>
      <c r="BT81" s="1994"/>
      <c r="BU81" s="1994"/>
      <c r="BV81" s="1994"/>
      <c r="BW81" s="1994"/>
      <c r="BX81" s="1994"/>
      <c r="BY81" s="1994"/>
      <c r="BZ81" s="1994"/>
      <c r="CA81" s="1994"/>
      <c r="CB81" s="1994"/>
      <c r="CC81" s="1994"/>
      <c r="CD81" s="1994"/>
      <c r="CE81" s="1994"/>
      <c r="CF81" s="59"/>
    </row>
    <row r="82" spans="2:84" ht="9" customHeight="1">
      <c r="B82" s="75"/>
      <c r="C82" s="75"/>
      <c r="D82" s="432"/>
      <c r="E82" s="432"/>
      <c r="F82" s="432"/>
      <c r="G82" s="432"/>
      <c r="H82" s="432"/>
      <c r="I82" s="432"/>
      <c r="J82" s="432"/>
      <c r="K82" s="2938"/>
      <c r="L82" s="2938"/>
      <c r="M82" s="2938"/>
      <c r="N82" s="2938"/>
      <c r="O82" s="2938"/>
      <c r="P82" s="2938"/>
      <c r="Q82" s="215"/>
      <c r="R82" s="75"/>
      <c r="S82" s="75"/>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c r="AS82" s="59"/>
      <c r="AT82" s="59"/>
      <c r="AU82" s="59"/>
      <c r="AV82" s="59"/>
      <c r="AW82" s="59"/>
      <c r="AX82" s="59"/>
      <c r="AY82" s="59"/>
      <c r="AZ82" s="59"/>
      <c r="BA82" s="59"/>
      <c r="BB82" s="59"/>
      <c r="BC82" s="59"/>
      <c r="BD82" s="59"/>
      <c r="BE82" s="59"/>
      <c r="BF82" s="59"/>
      <c r="BG82" s="59"/>
      <c r="BH82" s="59"/>
      <c r="BI82" s="59"/>
      <c r="BJ82" s="59"/>
      <c r="BK82" s="59"/>
      <c r="BL82" s="59"/>
      <c r="BM82" s="59"/>
      <c r="BN82" s="59"/>
      <c r="BO82" s="59"/>
      <c r="BP82" s="59"/>
      <c r="BQ82" s="59"/>
      <c r="BR82" s="59"/>
      <c r="BS82" s="59"/>
      <c r="BT82" s="59"/>
      <c r="BU82" s="59"/>
      <c r="BV82" s="59"/>
      <c r="BW82" s="59"/>
      <c r="BX82" s="59"/>
      <c r="BY82" s="59"/>
      <c r="BZ82" s="59"/>
      <c r="CA82" s="59"/>
      <c r="CB82" s="59"/>
      <c r="CC82" s="59"/>
      <c r="CD82" s="59"/>
      <c r="CE82" s="59"/>
      <c r="CF82" s="43"/>
    </row>
    <row r="83" spans="2:84" ht="25.5" customHeight="1">
      <c r="B83" s="1978"/>
      <c r="C83" s="1977" t="s">
        <v>998</v>
      </c>
      <c r="D83" s="1978"/>
      <c r="E83" s="1978"/>
      <c r="F83" s="1978"/>
      <c r="G83" s="1978"/>
      <c r="H83" s="1978"/>
      <c r="I83" s="1978"/>
      <c r="J83" s="1978"/>
      <c r="K83" s="1978"/>
      <c r="L83" s="1978"/>
      <c r="M83" s="1978"/>
      <c r="N83" s="1978"/>
      <c r="O83" s="1978"/>
      <c r="P83" s="1978"/>
      <c r="Q83" s="1978"/>
      <c r="R83" s="1978"/>
      <c r="S83" s="1978"/>
      <c r="T83" s="1978"/>
      <c r="U83" s="1978"/>
      <c r="V83" s="1978"/>
      <c r="W83" s="1978"/>
      <c r="X83" s="1977"/>
      <c r="Y83" s="1977"/>
      <c r="Z83" s="1977"/>
      <c r="AA83" s="1977"/>
      <c r="AB83" s="1977"/>
      <c r="AC83" s="1977"/>
      <c r="AD83" s="1977"/>
      <c r="AE83" s="1977"/>
      <c r="AF83" s="1977"/>
      <c r="AG83" s="1977"/>
      <c r="AH83" s="1977"/>
      <c r="AI83" s="1977"/>
      <c r="AJ83" s="1977"/>
      <c r="AK83" s="1977"/>
      <c r="AL83" s="1977"/>
      <c r="AM83" s="1977"/>
      <c r="AN83" s="1977"/>
      <c r="AO83" s="1977"/>
      <c r="AP83" s="1977"/>
      <c r="AQ83" s="1977"/>
      <c r="AR83" s="1977"/>
      <c r="AS83" s="1982"/>
      <c r="AT83" s="1982"/>
      <c r="AU83" s="1983"/>
      <c r="AV83" s="1983"/>
      <c r="AW83" s="1983"/>
      <c r="AX83" s="1983"/>
      <c r="AY83" s="1982"/>
      <c r="AZ83" s="1982"/>
      <c r="BA83" s="1982"/>
      <c r="BB83" s="1982"/>
      <c r="BC83" s="1982"/>
      <c r="BD83" s="1982"/>
      <c r="BE83" s="1982"/>
      <c r="BF83" s="1982"/>
      <c r="BG83" s="1982"/>
      <c r="BH83" s="1982"/>
      <c r="BI83" s="1982"/>
      <c r="BJ83" s="1982"/>
      <c r="BK83" s="1983"/>
      <c r="BL83" s="1982"/>
      <c r="BM83" s="1982"/>
      <c r="BN83" s="1982"/>
      <c r="BO83" s="1982"/>
      <c r="BP83" s="1982"/>
      <c r="BQ83" s="1982"/>
      <c r="BR83" s="1982"/>
      <c r="BS83" s="1982"/>
      <c r="BT83" s="1982"/>
      <c r="BU83" s="1982"/>
      <c r="BV83" s="1982"/>
      <c r="BW83" s="1982"/>
      <c r="BX83" s="1982"/>
      <c r="BY83" s="1982"/>
      <c r="BZ83" s="1982"/>
      <c r="CA83" s="1982"/>
      <c r="CB83" s="1982"/>
      <c r="CC83" s="1982"/>
      <c r="CD83" s="1982"/>
      <c r="CE83" s="1982"/>
      <c r="CF83" s="43"/>
    </row>
    <row r="84" spans="2:84" ht="7.5" customHeight="1">
      <c r="CF84" s="43"/>
    </row>
    <row r="85" spans="2:84" ht="9.75" customHeight="1">
      <c r="B85" s="1535"/>
      <c r="C85" s="1536"/>
      <c r="D85" s="2939"/>
      <c r="E85" s="2939"/>
      <c r="F85" s="2939"/>
      <c r="G85" s="2939"/>
      <c r="H85" s="2939"/>
      <c r="I85" s="2939"/>
      <c r="J85" s="2939"/>
      <c r="K85" s="1537"/>
      <c r="L85" s="1537"/>
      <c r="M85" s="1537"/>
      <c r="N85" s="1537"/>
      <c r="O85" s="1537"/>
      <c r="P85" s="1537"/>
      <c r="Q85" s="1538"/>
      <c r="R85" s="1538"/>
      <c r="S85" s="1538"/>
      <c r="T85" s="1538"/>
      <c r="U85" s="1538"/>
      <c r="V85" s="1538"/>
      <c r="W85" s="1538"/>
      <c r="X85" s="1538"/>
      <c r="Y85" s="1538"/>
      <c r="Z85" s="1538"/>
      <c r="AA85" s="1538"/>
      <c r="AB85" s="1538"/>
      <c r="AC85" s="1538"/>
      <c r="AD85" s="1538"/>
      <c r="AE85" s="1538"/>
      <c r="AF85" s="1538"/>
      <c r="AG85" s="1538"/>
      <c r="AH85" s="1538"/>
      <c r="AI85" s="1539"/>
      <c r="AJ85" s="1539"/>
      <c r="AK85" s="1539"/>
      <c r="AL85" s="1539"/>
      <c r="AM85" s="1539"/>
      <c r="AN85" s="1539"/>
      <c r="AO85" s="1539"/>
      <c r="AP85" s="1539"/>
      <c r="AQ85" s="1462"/>
      <c r="AR85" s="1462"/>
      <c r="AS85" s="1462"/>
      <c r="AT85" s="1462"/>
      <c r="AU85" s="1540"/>
      <c r="AV85" s="1540"/>
      <c r="AW85" s="1540"/>
      <c r="AX85" s="1540"/>
      <c r="AY85" s="1462"/>
      <c r="AZ85" s="1462"/>
      <c r="BA85" s="1462"/>
      <c r="BB85" s="1462"/>
      <c r="BC85" s="1462"/>
      <c r="BD85" s="1462"/>
      <c r="BE85" s="1462"/>
      <c r="BF85" s="1462"/>
      <c r="BG85" s="1462"/>
      <c r="BH85" s="1462"/>
      <c r="BI85" s="1462"/>
      <c r="BJ85" s="1462"/>
      <c r="BK85" s="1540"/>
      <c r="BL85" s="1462"/>
      <c r="BM85" s="1462"/>
      <c r="BN85" s="1462"/>
      <c r="BO85" s="1462"/>
      <c r="BP85" s="1462"/>
      <c r="BQ85" s="1462"/>
      <c r="BR85" s="1462"/>
      <c r="BS85" s="1462"/>
      <c r="BT85" s="1462"/>
      <c r="BU85" s="1462"/>
      <c r="BV85" s="1462"/>
      <c r="BW85" s="1462"/>
      <c r="BX85" s="1462"/>
      <c r="BY85" s="1462"/>
      <c r="BZ85" s="1462"/>
      <c r="CA85" s="1462"/>
      <c r="CB85" s="1462"/>
      <c r="CC85" s="1462"/>
      <c r="CD85" s="1462"/>
      <c r="CE85" s="1541"/>
      <c r="CF85" s="43"/>
    </row>
    <row r="86" spans="2:84" ht="9" customHeight="1">
      <c r="B86" s="1479"/>
      <c r="C86" s="1542"/>
      <c r="D86" s="403"/>
      <c r="E86" s="403"/>
      <c r="F86" s="403"/>
      <c r="G86" s="403"/>
      <c r="H86" s="403"/>
      <c r="I86" s="403"/>
      <c r="J86" s="403"/>
      <c r="K86" s="2940"/>
      <c r="L86" s="403"/>
      <c r="M86" s="403"/>
      <c r="N86" s="403"/>
      <c r="O86" s="403"/>
      <c r="P86" s="403"/>
      <c r="Q86" s="1543"/>
      <c r="R86" s="1543"/>
      <c r="S86" s="1543"/>
      <c r="T86" s="1543"/>
      <c r="U86" s="1543"/>
      <c r="V86" s="1543"/>
      <c r="W86" s="1543"/>
      <c r="X86" s="1543"/>
      <c r="Y86" s="1543"/>
      <c r="Z86" s="1543"/>
      <c r="AA86" s="1543"/>
      <c r="AB86" s="1543"/>
      <c r="AC86" s="1543"/>
      <c r="AD86" s="1543"/>
      <c r="AE86" s="460"/>
      <c r="AF86" s="460"/>
      <c r="AG86" s="460"/>
      <c r="AH86" s="460"/>
      <c r="AI86" s="460"/>
      <c r="AJ86" s="460"/>
      <c r="AK86" s="460"/>
      <c r="AL86" s="460"/>
      <c r="AM86" s="460"/>
      <c r="AN86" s="460"/>
      <c r="AO86" s="460"/>
      <c r="AP86" s="460"/>
      <c r="AQ86" s="46"/>
      <c r="AR86" s="46"/>
      <c r="AS86" s="46"/>
      <c r="AT86" s="46"/>
      <c r="AU86" s="1544"/>
      <c r="AV86" s="1544"/>
      <c r="AW86" s="1544"/>
      <c r="AX86" s="1544"/>
      <c r="AY86" s="46"/>
      <c r="AZ86" s="46"/>
      <c r="BA86" s="46"/>
      <c r="BB86" s="46"/>
      <c r="BC86" s="46"/>
      <c r="BD86" s="46"/>
      <c r="BE86" s="46"/>
      <c r="BF86" s="46"/>
      <c r="BG86" s="46"/>
      <c r="BH86" s="46"/>
      <c r="BI86" s="46"/>
      <c r="BJ86" s="46"/>
      <c r="BK86" s="1544"/>
      <c r="BL86" s="46"/>
      <c r="BM86" s="46"/>
      <c r="BN86" s="46"/>
      <c r="BO86" s="46"/>
      <c r="BP86" s="46"/>
      <c r="BQ86" s="46"/>
      <c r="BR86" s="46"/>
      <c r="BS86" s="46"/>
      <c r="BT86" s="46"/>
      <c r="BU86" s="46"/>
      <c r="BV86" s="46"/>
      <c r="BW86" s="46"/>
      <c r="BX86" s="46"/>
      <c r="BY86" s="46"/>
      <c r="BZ86" s="46"/>
      <c r="CA86" s="46"/>
      <c r="CB86" s="46"/>
      <c r="CC86" s="46"/>
      <c r="CD86" s="47"/>
      <c r="CE86" s="1545"/>
      <c r="CF86" s="43"/>
    </row>
    <row r="87" spans="2:84" ht="6" customHeight="1">
      <c r="B87" s="1479"/>
      <c r="C87" s="64"/>
      <c r="E87" s="2610"/>
      <c r="K87" s="2938"/>
      <c r="Q87" s="215"/>
      <c r="R87" s="215"/>
      <c r="S87" s="215"/>
      <c r="T87" s="215"/>
      <c r="U87" s="215"/>
      <c r="V87" s="215"/>
      <c r="W87" s="215"/>
      <c r="X87" s="215"/>
      <c r="Y87" s="215"/>
      <c r="Z87" s="215"/>
      <c r="AA87" s="215"/>
      <c r="AB87" s="2611"/>
      <c r="AC87" s="215"/>
      <c r="AD87" s="215"/>
      <c r="AE87" s="55"/>
      <c r="AF87" s="55"/>
      <c r="AG87" s="55"/>
      <c r="AH87" s="55"/>
      <c r="AI87" s="55"/>
      <c r="AJ87" s="55"/>
      <c r="AK87" s="55"/>
      <c r="AL87" s="55"/>
      <c r="AM87" s="55"/>
      <c r="AN87" s="55"/>
      <c r="AO87" s="55"/>
      <c r="AP87" s="55"/>
      <c r="AQ87" s="59"/>
      <c r="AR87" s="59"/>
      <c r="AS87" s="59"/>
      <c r="AT87" s="59"/>
      <c r="AU87" s="2609"/>
      <c r="AV87" s="2609"/>
      <c r="AW87" s="2609"/>
      <c r="AX87" s="2609"/>
      <c r="AY87" s="59"/>
      <c r="AZ87" s="59"/>
      <c r="BA87" s="59"/>
      <c r="BB87" s="2611"/>
      <c r="BC87" s="215"/>
      <c r="BD87" s="215"/>
      <c r="BE87" s="215"/>
      <c r="BF87" s="215"/>
      <c r="BG87" s="55"/>
      <c r="BH87" s="55"/>
      <c r="BI87" s="55"/>
      <c r="BJ87" s="55"/>
      <c r="BK87" s="55"/>
      <c r="BL87" s="55"/>
      <c r="BM87" s="55"/>
      <c r="BN87" s="55"/>
      <c r="BO87" s="55"/>
      <c r="BP87" s="55"/>
      <c r="BQ87" s="55"/>
      <c r="BR87" s="55"/>
      <c r="BS87" s="55"/>
      <c r="BT87" s="55"/>
      <c r="BU87" s="55"/>
      <c r="BV87" s="59"/>
      <c r="BW87" s="59"/>
      <c r="BX87" s="59"/>
      <c r="BY87" s="59"/>
      <c r="BZ87" s="59"/>
      <c r="CA87" s="59"/>
      <c r="CB87" s="59"/>
      <c r="CC87" s="2609"/>
      <c r="CD87" s="61"/>
      <c r="CE87" s="1545"/>
      <c r="CF87" s="43"/>
    </row>
    <row r="88" spans="2:84" ht="47.25" customHeight="1">
      <c r="B88" s="1479"/>
      <c r="C88" s="64"/>
      <c r="E88" s="3789" t="str">
        <f>'CALCULS Eau'!O369</f>
        <v/>
      </c>
      <c r="F88" s="3790"/>
      <c r="G88" s="3790"/>
      <c r="H88" s="3790"/>
      <c r="I88" s="3790"/>
      <c r="J88" s="3790"/>
      <c r="K88" s="3790"/>
      <c r="L88" s="3790"/>
      <c r="M88" s="3790"/>
      <c r="N88" s="3790"/>
      <c r="O88" s="3790"/>
      <c r="P88" s="3790"/>
      <c r="Q88" s="3790"/>
      <c r="R88" s="3790"/>
      <c r="S88" s="3790"/>
      <c r="T88" s="3790"/>
      <c r="U88" s="3790"/>
      <c r="V88" s="3790"/>
      <c r="W88" s="3790"/>
      <c r="X88" s="3790"/>
      <c r="Y88" s="3790"/>
      <c r="Z88" s="3790"/>
      <c r="AA88" s="2941"/>
      <c r="AB88" s="3789" t="str">
        <f>'CALCULS Eau'!O370</f>
        <v/>
      </c>
      <c r="AC88" s="3790"/>
      <c r="AD88" s="3790"/>
      <c r="AE88" s="3790"/>
      <c r="AF88" s="3790"/>
      <c r="AG88" s="3790"/>
      <c r="AH88" s="3790"/>
      <c r="AI88" s="3790"/>
      <c r="AJ88" s="3790"/>
      <c r="AK88" s="3790"/>
      <c r="AL88" s="3790"/>
      <c r="AM88" s="3790"/>
      <c r="AN88" s="3790"/>
      <c r="AO88" s="3790"/>
      <c r="AP88" s="3790"/>
      <c r="AQ88" s="3790"/>
      <c r="AR88" s="3790"/>
      <c r="AS88" s="3790"/>
      <c r="AT88" s="3790"/>
      <c r="AU88" s="3790"/>
      <c r="AV88" s="3790"/>
      <c r="AW88" s="3790"/>
      <c r="AX88" s="3790"/>
      <c r="AY88" s="3790"/>
      <c r="AZ88" s="3790"/>
      <c r="BA88" s="2942"/>
      <c r="BB88" s="3789" t="str">
        <f>'CALCULS Eau'!O371</f>
        <v/>
      </c>
      <c r="BC88" s="3790"/>
      <c r="BD88" s="3790"/>
      <c r="BE88" s="3790"/>
      <c r="BF88" s="3790"/>
      <c r="BG88" s="3790"/>
      <c r="BH88" s="3790"/>
      <c r="BI88" s="3790"/>
      <c r="BJ88" s="3790"/>
      <c r="BK88" s="3790"/>
      <c r="BL88" s="3790"/>
      <c r="BM88" s="3790"/>
      <c r="BN88" s="3790"/>
      <c r="BO88" s="3790"/>
      <c r="BP88" s="3790"/>
      <c r="BQ88" s="3790"/>
      <c r="BR88" s="3790"/>
      <c r="BS88" s="3790"/>
      <c r="BT88" s="3790"/>
      <c r="BU88" s="3790"/>
      <c r="BV88" s="3790"/>
      <c r="BW88" s="3790"/>
      <c r="BX88" s="3790"/>
      <c r="BY88" s="3790"/>
      <c r="BZ88" s="3790"/>
      <c r="CA88" s="3790"/>
      <c r="CB88" s="3790"/>
      <c r="CC88" s="2943"/>
      <c r="CD88" s="61"/>
      <c r="CE88" s="1545"/>
      <c r="CF88" s="43"/>
    </row>
    <row r="89" spans="2:84" ht="7.5" customHeight="1">
      <c r="B89" s="1479"/>
      <c r="C89" s="64"/>
      <c r="E89" s="2944"/>
      <c r="F89" s="2945"/>
      <c r="G89" s="2945"/>
      <c r="H89" s="2945"/>
      <c r="I89" s="2945"/>
      <c r="J89" s="2945"/>
      <c r="K89" s="2945"/>
      <c r="L89" s="2945"/>
      <c r="M89" s="2945"/>
      <c r="N89" s="2945"/>
      <c r="O89" s="2945"/>
      <c r="P89" s="2945"/>
      <c r="Q89" s="2945"/>
      <c r="R89" s="2945"/>
      <c r="S89" s="2945"/>
      <c r="T89" s="2945"/>
      <c r="U89" s="2945"/>
      <c r="V89" s="2945"/>
      <c r="W89" s="2945"/>
      <c r="X89" s="2945"/>
      <c r="Y89" s="2945"/>
      <c r="Z89" s="2945"/>
      <c r="AA89" s="2945"/>
      <c r="AB89" s="2946"/>
      <c r="AC89" s="215"/>
      <c r="AD89" s="215"/>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2946"/>
      <c r="BC89" s="432"/>
      <c r="BD89" s="432"/>
      <c r="BE89" s="215"/>
      <c r="BF89" s="215"/>
      <c r="BG89" s="59"/>
      <c r="BH89" s="59"/>
      <c r="BI89" s="59"/>
      <c r="BJ89" s="59"/>
      <c r="BK89" s="59"/>
      <c r="BL89" s="59"/>
      <c r="BM89" s="59"/>
      <c r="BN89" s="59"/>
      <c r="BO89" s="59"/>
      <c r="BP89" s="59"/>
      <c r="BQ89" s="59"/>
      <c r="BR89" s="59"/>
      <c r="BS89" s="59"/>
      <c r="BT89" s="59"/>
      <c r="BU89" s="59"/>
      <c r="BV89" s="59"/>
      <c r="BW89" s="59"/>
      <c r="BX89" s="59"/>
      <c r="BY89" s="59"/>
      <c r="BZ89" s="59"/>
      <c r="CA89" s="59"/>
      <c r="CB89" s="59"/>
      <c r="CC89" s="59"/>
      <c r="CD89" s="61"/>
      <c r="CE89" s="1545"/>
      <c r="CF89" s="43"/>
    </row>
    <row r="90" spans="2:84" ht="9" customHeight="1">
      <c r="B90" s="1479"/>
      <c r="C90" s="1496"/>
      <c r="D90" s="1497"/>
      <c r="E90" s="1497"/>
      <c r="F90" s="1497"/>
      <c r="G90" s="1497"/>
      <c r="H90" s="1497"/>
      <c r="I90" s="1497"/>
      <c r="J90" s="1497"/>
      <c r="K90" s="1497"/>
      <c r="L90" s="1497"/>
      <c r="M90" s="1497"/>
      <c r="N90" s="1497"/>
      <c r="O90" s="1497"/>
      <c r="P90" s="1497"/>
      <c r="Q90" s="1497"/>
      <c r="R90" s="1497"/>
      <c r="S90" s="1497"/>
      <c r="T90" s="1497"/>
      <c r="U90" s="1497"/>
      <c r="V90" s="1497"/>
      <c r="W90" s="1497"/>
      <c r="X90" s="1497"/>
      <c r="Y90" s="1497"/>
      <c r="Z90" s="1497"/>
      <c r="AA90" s="1497"/>
      <c r="AB90" s="1497"/>
      <c r="AC90" s="1497"/>
      <c r="AD90" s="1497"/>
      <c r="AE90" s="92"/>
      <c r="AF90" s="92"/>
      <c r="AG90" s="92"/>
      <c r="AH90" s="92"/>
      <c r="AI90" s="92"/>
      <c r="AJ90" s="92"/>
      <c r="AK90" s="92"/>
      <c r="AL90" s="92"/>
      <c r="AM90" s="92"/>
      <c r="AN90" s="92"/>
      <c r="AO90" s="92"/>
      <c r="AP90" s="92"/>
      <c r="AQ90" s="92"/>
      <c r="AR90" s="92"/>
      <c r="AS90" s="92"/>
      <c r="AT90" s="92"/>
      <c r="AU90" s="92"/>
      <c r="AV90" s="92"/>
      <c r="AW90" s="92"/>
      <c r="AX90" s="92"/>
      <c r="AY90" s="92"/>
      <c r="AZ90" s="92"/>
      <c r="BA90" s="92"/>
      <c r="BB90" s="92"/>
      <c r="BC90" s="92"/>
      <c r="BD90" s="92"/>
      <c r="BE90" s="92"/>
      <c r="BF90" s="92"/>
      <c r="BG90" s="92"/>
      <c r="BH90" s="92"/>
      <c r="BI90" s="92"/>
      <c r="BJ90" s="92"/>
      <c r="BK90" s="92"/>
      <c r="BL90" s="92"/>
      <c r="BM90" s="92"/>
      <c r="BN90" s="92"/>
      <c r="BO90" s="92"/>
      <c r="BP90" s="92"/>
      <c r="BQ90" s="92"/>
      <c r="BR90" s="92"/>
      <c r="BS90" s="92"/>
      <c r="BT90" s="92"/>
      <c r="BU90" s="92"/>
      <c r="BV90" s="92"/>
      <c r="BW90" s="92"/>
      <c r="BX90" s="92"/>
      <c r="BY90" s="92"/>
      <c r="BZ90" s="92"/>
      <c r="CA90" s="92"/>
      <c r="CB90" s="92"/>
      <c r="CC90" s="92"/>
      <c r="CD90" s="93"/>
      <c r="CE90" s="1545"/>
      <c r="CF90" s="43"/>
    </row>
    <row r="91" spans="2:84" ht="8.25" customHeight="1">
      <c r="B91" s="1515"/>
      <c r="C91" s="1516"/>
      <c r="D91" s="1516"/>
      <c r="E91" s="1516"/>
      <c r="F91" s="1516"/>
      <c r="G91" s="1516"/>
      <c r="H91" s="1516"/>
      <c r="I91" s="1516"/>
      <c r="J91" s="1516"/>
      <c r="K91" s="1516"/>
      <c r="L91" s="1516"/>
      <c r="M91" s="1516"/>
      <c r="N91" s="1516"/>
      <c r="O91" s="1516"/>
      <c r="P91" s="1516"/>
      <c r="Q91" s="1516"/>
      <c r="R91" s="1516"/>
      <c r="S91" s="1516"/>
      <c r="T91" s="1516"/>
      <c r="U91" s="1516"/>
      <c r="V91" s="1516"/>
      <c r="W91" s="1516"/>
      <c r="X91" s="1516"/>
      <c r="Y91" s="1516"/>
      <c r="Z91" s="1516"/>
      <c r="AA91" s="1516"/>
      <c r="AB91" s="1516"/>
      <c r="AC91" s="1516"/>
      <c r="AD91" s="1516"/>
      <c r="AE91" s="1516"/>
      <c r="AF91" s="1516"/>
      <c r="AG91" s="1533"/>
      <c r="AH91" s="1533"/>
      <c r="AI91" s="1533"/>
      <c r="AJ91" s="1533"/>
      <c r="AK91" s="1533"/>
      <c r="AL91" s="1533"/>
      <c r="AM91" s="1533"/>
      <c r="AN91" s="1533"/>
      <c r="AO91" s="1533"/>
      <c r="AP91" s="1533"/>
      <c r="AQ91" s="1533"/>
      <c r="AR91" s="1533"/>
      <c r="AS91" s="1533"/>
      <c r="AT91" s="1533"/>
      <c r="AU91" s="1533"/>
      <c r="AV91" s="1533"/>
      <c r="AW91" s="1533"/>
      <c r="AX91" s="1533"/>
      <c r="AY91" s="1533"/>
      <c r="AZ91" s="1533"/>
      <c r="BA91" s="1533"/>
      <c r="BB91" s="1533"/>
      <c r="BC91" s="1533"/>
      <c r="BD91" s="1533"/>
      <c r="BE91" s="1533"/>
      <c r="BF91" s="1533"/>
      <c r="BG91" s="1533"/>
      <c r="BH91" s="1533"/>
      <c r="BI91" s="1533"/>
      <c r="BJ91" s="1533"/>
      <c r="BK91" s="1533"/>
      <c r="BL91" s="1533"/>
      <c r="BM91" s="1533"/>
      <c r="BN91" s="1533"/>
      <c r="BO91" s="1533"/>
      <c r="BP91" s="1533"/>
      <c r="BQ91" s="1533"/>
      <c r="BR91" s="1533"/>
      <c r="BS91" s="1533"/>
      <c r="BT91" s="1533"/>
      <c r="BU91" s="1533"/>
      <c r="BV91" s="1533"/>
      <c r="BW91" s="1533"/>
      <c r="BX91" s="1533"/>
      <c r="BY91" s="1533"/>
      <c r="BZ91" s="1533"/>
      <c r="CA91" s="1533"/>
      <c r="CB91" s="1533"/>
      <c r="CC91" s="1533"/>
      <c r="CD91" s="1533"/>
      <c r="CE91" s="1534"/>
      <c r="CF91" s="43"/>
    </row>
    <row r="92" spans="2:84" ht="5.25" customHeight="1">
      <c r="B92" s="59"/>
      <c r="C92" s="59"/>
      <c r="D92" s="59"/>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c r="AV92" s="59"/>
      <c r="AW92" s="59"/>
      <c r="AX92" s="59"/>
      <c r="AY92" s="59"/>
      <c r="AZ92" s="59"/>
      <c r="BA92" s="59"/>
      <c r="BB92" s="59"/>
      <c r="BC92" s="59"/>
      <c r="BD92" s="59"/>
      <c r="BE92" s="59"/>
      <c r="BF92" s="59"/>
      <c r="BG92" s="59"/>
      <c r="BH92" s="59"/>
      <c r="BI92" s="59"/>
      <c r="BJ92" s="59"/>
      <c r="BK92" s="59"/>
      <c r="BL92" s="59"/>
      <c r="BM92" s="59"/>
      <c r="BN92" s="59"/>
      <c r="BO92" s="59"/>
      <c r="BP92" s="59"/>
      <c r="BQ92" s="59"/>
      <c r="BR92" s="59"/>
      <c r="BS92" s="59"/>
      <c r="BT92" s="59"/>
      <c r="BU92" s="59"/>
      <c r="BV92" s="59"/>
      <c r="BW92" s="59"/>
      <c r="BX92" s="59"/>
      <c r="BY92" s="59"/>
      <c r="BZ92" s="59"/>
      <c r="CA92" s="59"/>
      <c r="CB92" s="59"/>
      <c r="CC92" s="59"/>
      <c r="CD92" s="59"/>
      <c r="CE92" s="59"/>
      <c r="CF92" s="59"/>
    </row>
    <row r="93" spans="2:84" ht="9.75" customHeight="1">
      <c r="B93" s="59"/>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c r="AV93" s="59"/>
      <c r="AW93" s="59"/>
      <c r="AX93" s="59"/>
      <c r="AY93" s="59"/>
      <c r="AZ93" s="59"/>
      <c r="BA93" s="59"/>
      <c r="BB93" s="59"/>
      <c r="BC93" s="59"/>
      <c r="BD93" s="59"/>
      <c r="BE93" s="59"/>
      <c r="BF93" s="59"/>
      <c r="BG93" s="59"/>
      <c r="BH93" s="59"/>
      <c r="BI93" s="59"/>
      <c r="BJ93" s="59"/>
      <c r="BK93" s="59"/>
      <c r="BL93" s="59"/>
      <c r="BM93" s="59"/>
      <c r="BN93" s="59"/>
      <c r="BO93" s="59"/>
      <c r="BP93" s="59"/>
      <c r="BQ93" s="59"/>
      <c r="BR93" s="59"/>
      <c r="BS93" s="59"/>
      <c r="BT93" s="59"/>
      <c r="BU93" s="59"/>
      <c r="BV93" s="59"/>
      <c r="BW93" s="59"/>
      <c r="BX93" s="59"/>
      <c r="BY93" s="59"/>
      <c r="BZ93" s="59"/>
      <c r="CA93" s="59"/>
      <c r="CB93" s="59"/>
      <c r="CC93" s="59"/>
      <c r="CD93" s="59"/>
      <c r="CE93" s="59"/>
      <c r="CF93" s="59"/>
    </row>
    <row r="97" ht="15.75" customHeight="1"/>
  </sheetData>
  <sheetProtection algorithmName="SHA-512" hashValue="7PuFmN9fwlCSgWjDYbeq3njo7k2Cwi+clYi809QBJR0aJk7acNKfJmZ3q43tXvcEfCEfrP+yYB7XAH+5eD+Ybg==" saltValue="XdI0MY7pwdUA07KbdSK8Gg==" spinCount="100000" sheet="1" objects="1" scenarios="1"/>
  <mergeCells count="135">
    <mergeCell ref="BZ4:CD4"/>
    <mergeCell ref="Y3:BA4"/>
    <mergeCell ref="Y2:BA2"/>
    <mergeCell ref="CA23:CB24"/>
    <mergeCell ref="BW23:BX24"/>
    <mergeCell ref="BS23:BU24"/>
    <mergeCell ref="CA44:CB45"/>
    <mergeCell ref="BW44:BX45"/>
    <mergeCell ref="BS44:BU45"/>
    <mergeCell ref="BY41:BZ41"/>
    <mergeCell ref="BY14:CB15"/>
    <mergeCell ref="BN41:BP41"/>
    <mergeCell ref="BN44:BO44"/>
    <mergeCell ref="AN37:AQ37"/>
    <mergeCell ref="BY38:BZ38"/>
    <mergeCell ref="BY37:BZ37"/>
    <mergeCell ref="BY36:BZ36"/>
    <mergeCell ref="BY21:BZ21"/>
    <mergeCell ref="BY20:BZ20"/>
    <mergeCell ref="BY19:BZ19"/>
    <mergeCell ref="BY18:BZ18"/>
    <mergeCell ref="BY17:BZ17"/>
    <mergeCell ref="BN36:BP36"/>
    <mergeCell ref="BN37:BP37"/>
    <mergeCell ref="E47:F47"/>
    <mergeCell ref="H46:I46"/>
    <mergeCell ref="H47:J47"/>
    <mergeCell ref="H17:J17"/>
    <mergeCell ref="H16:J16"/>
    <mergeCell ref="H15:J15"/>
    <mergeCell ref="H23:J23"/>
    <mergeCell ref="H22:J22"/>
    <mergeCell ref="H21:J21"/>
    <mergeCell ref="H20:J20"/>
    <mergeCell ref="D27:L27"/>
    <mergeCell ref="D24:K26"/>
    <mergeCell ref="H19:J19"/>
    <mergeCell ref="H18:J18"/>
    <mergeCell ref="D30:J31"/>
    <mergeCell ref="L47:M47"/>
    <mergeCell ref="BS6:CE6"/>
    <mergeCell ref="BM30:CA31"/>
    <mergeCell ref="BY33:CB34"/>
    <mergeCell ref="BV33:BX34"/>
    <mergeCell ref="BY23:BZ24"/>
    <mergeCell ref="BV23:BV24"/>
    <mergeCell ref="CA39:CB40"/>
    <mergeCell ref="BW39:BX40"/>
    <mergeCell ref="BS39:BU40"/>
    <mergeCell ref="BN39:BP40"/>
    <mergeCell ref="BQ36:BR36"/>
    <mergeCell ref="BQ37:BR37"/>
    <mergeCell ref="BQ38:BR38"/>
    <mergeCell ref="BQ33:BU34"/>
    <mergeCell ref="Q11:Q12"/>
    <mergeCell ref="BL16:BL17"/>
    <mergeCell ref="BN17:BO17"/>
    <mergeCell ref="BN20:BO20"/>
    <mergeCell ref="AN18:AQ18"/>
    <mergeCell ref="BV14:BX15"/>
    <mergeCell ref="AQ30:AQ31"/>
    <mergeCell ref="Y30:AG31"/>
    <mergeCell ref="Q30:Q31"/>
    <mergeCell ref="AU31:BB32"/>
    <mergeCell ref="AV29:AV30"/>
    <mergeCell ref="AW29:AY30"/>
    <mergeCell ref="BN18:BO18"/>
    <mergeCell ref="BN19:BO19"/>
    <mergeCell ref="AU25:BA27"/>
    <mergeCell ref="BQ17:BR17"/>
    <mergeCell ref="BQ18:BR18"/>
    <mergeCell ref="BQ19:BR19"/>
    <mergeCell ref="BQ20:BR20"/>
    <mergeCell ref="BQ21:BR21"/>
    <mergeCell ref="BQ23:BR24"/>
    <mergeCell ref="BQ14:BU15"/>
    <mergeCell ref="BN21:BO21"/>
    <mergeCell ref="BN23:BO23"/>
    <mergeCell ref="AV33:AV34"/>
    <mergeCell ref="AU13:AY15"/>
    <mergeCell ref="AY46:AY47"/>
    <mergeCell ref="AZ46:BB47"/>
    <mergeCell ref="AZ40:BB41"/>
    <mergeCell ref="AY40:AY41"/>
    <mergeCell ref="AV40:AW41"/>
    <mergeCell ref="AZ43:BB44"/>
    <mergeCell ref="AY43:AY44"/>
    <mergeCell ref="O39:O40"/>
    <mergeCell ref="P39:R40"/>
    <mergeCell ref="AW33:BA34"/>
    <mergeCell ref="S57:U57"/>
    <mergeCell ref="E88:Z88"/>
    <mergeCell ref="I63:J63"/>
    <mergeCell ref="I66:J66"/>
    <mergeCell ref="I69:J69"/>
    <mergeCell ref="D59:G60"/>
    <mergeCell ref="L72:L73"/>
    <mergeCell ref="N72:P73"/>
    <mergeCell ref="N76:P76"/>
    <mergeCell ref="N75:P75"/>
    <mergeCell ref="S76:T76"/>
    <mergeCell ref="S75:T75"/>
    <mergeCell ref="M72:M73"/>
    <mergeCell ref="Q72:R73"/>
    <mergeCell ref="Y73:AM73"/>
    <mergeCell ref="AL76:AM76"/>
    <mergeCell ref="AL75:AM75"/>
    <mergeCell ref="Q76:R76"/>
    <mergeCell ref="Q75:R75"/>
    <mergeCell ref="AB88:AZ88"/>
    <mergeCell ref="Y59:AM59"/>
    <mergeCell ref="BC40:BE41"/>
    <mergeCell ref="CB75:CC75"/>
    <mergeCell ref="CB76:CC76"/>
    <mergeCell ref="CB57:CC57"/>
    <mergeCell ref="BB88:CB88"/>
    <mergeCell ref="BI59:CC59"/>
    <mergeCell ref="AV43:AW44"/>
    <mergeCell ref="BY44:BZ45"/>
    <mergeCell ref="BV44:BV45"/>
    <mergeCell ref="BC46:BE47"/>
    <mergeCell ref="BC43:BE44"/>
    <mergeCell ref="AQ73:BE73"/>
    <mergeCell ref="AQ59:BE59"/>
    <mergeCell ref="BZ76:CA76"/>
    <mergeCell ref="BZ75:CA75"/>
    <mergeCell ref="BI73:CC73"/>
    <mergeCell ref="AV46:AW47"/>
    <mergeCell ref="BQ41:BR41"/>
    <mergeCell ref="BQ39:BR40"/>
    <mergeCell ref="BQ44:BR45"/>
    <mergeCell ref="BL38:BL39"/>
    <mergeCell ref="BN38:BP38"/>
    <mergeCell ref="BY39:BZ40"/>
    <mergeCell ref="BV39:BV40"/>
  </mergeCells>
  <conditionalFormatting sqref="Q11 AQ12 BE12 Q30 AQ30 AY40 AY43 AY46 S57 AM57 BE57 CB57 S75:S76 AL75:AL76 BE75:BE76 CB75:CB76">
    <cfRule type="iconSet" priority="1">
      <iconSet iconSet="5Rating" showValue="0">
        <cfvo type="percent" val="0"/>
        <cfvo type="num" val="1" gte="0"/>
        <cfvo type="num" val="2" gte="0"/>
        <cfvo type="num" val="3" gte="0"/>
        <cfvo type="num" val="4" gte="0"/>
      </iconSet>
    </cfRule>
  </conditionalFormatting>
  <pageMargins left="0.98" right="0.88" top="0.56999999999999995" bottom="0.35433070866141736" header="0.31496062992125984" footer="0.27559055118110237"/>
  <pageSetup paperSize="3" scale="63" fitToHeight="0" orientation="landscape" r:id="rId1"/>
  <headerFooter>
    <oddFooter>&amp;L&amp;10Version 1.0    © CERIU, 2023&amp;R&amp;10Onglet SOMMAIRE PGA EAU
Page &amp;P de &amp;N</oddFooter>
  </headerFooter>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F8B47"/>
    <pageSetUpPr fitToPage="1"/>
  </sheetPr>
  <dimension ref="A1:AZ1820"/>
  <sheetViews>
    <sheetView zoomScaleNormal="100" workbookViewId="0">
      <selection activeCell="F24" sqref="F24"/>
    </sheetView>
  </sheetViews>
  <sheetFormatPr baseColWidth="10" defaultColWidth="11.44140625" defaultRowHeight="14.4"/>
  <cols>
    <col min="1" max="1" width="4" style="1" customWidth="1"/>
    <col min="2" max="2" width="39.6640625" customWidth="1"/>
    <col min="3" max="3" width="50.88671875" customWidth="1"/>
    <col min="4" max="4" width="38.109375" customWidth="1"/>
    <col min="5" max="52" width="11.44140625" style="1"/>
  </cols>
  <sheetData>
    <row r="1" spans="1:52" s="1" customFormat="1" ht="15.75" customHeight="1"/>
    <row r="2" spans="1:52" ht="33.75" customHeight="1">
      <c r="B2" s="2191" t="s">
        <v>160</v>
      </c>
      <c r="C2" s="2192"/>
      <c r="D2" s="2192"/>
    </row>
    <row r="3" spans="1:52" s="1" customFormat="1" ht="27" customHeight="1">
      <c r="B3" s="2397" t="s">
        <v>4034</v>
      </c>
      <c r="C3" s="2251"/>
      <c r="D3" s="2957" t="s">
        <v>4042</v>
      </c>
      <c r="K3" s="2250"/>
      <c r="L3" s="2250"/>
      <c r="M3" s="2250"/>
      <c r="N3" s="2250"/>
      <c r="O3" s="2250"/>
      <c r="P3" s="2250"/>
      <c r="Q3" s="2250"/>
      <c r="R3" s="2249"/>
    </row>
    <row r="4" spans="1:52" s="216" customFormat="1" ht="32.25" customHeight="1">
      <c r="A4" s="2190"/>
      <c r="B4" s="2195" t="s">
        <v>999</v>
      </c>
      <c r="C4" s="2195" t="s">
        <v>1000</v>
      </c>
      <c r="D4" s="2195" t="s">
        <v>1001</v>
      </c>
      <c r="E4" s="2190"/>
      <c r="F4" s="2190"/>
      <c r="G4" s="2190"/>
      <c r="H4" s="2190"/>
      <c r="I4" s="2190"/>
      <c r="J4" s="2190"/>
      <c r="K4" s="2190"/>
      <c r="L4" s="2190"/>
      <c r="M4" s="2190"/>
      <c r="N4" s="2190"/>
      <c r="O4" s="2190"/>
      <c r="P4" s="2190"/>
      <c r="Q4" s="2190"/>
      <c r="R4" s="2190"/>
      <c r="S4" s="2190"/>
      <c r="T4" s="2190"/>
      <c r="U4" s="2190"/>
      <c r="V4" s="2190"/>
      <c r="W4" s="2190"/>
      <c r="X4" s="2190"/>
      <c r="Y4" s="2190"/>
      <c r="Z4" s="2190"/>
      <c r="AA4" s="2190"/>
      <c r="AB4" s="2190"/>
      <c r="AC4" s="2190"/>
      <c r="AD4" s="2190"/>
      <c r="AE4" s="2190"/>
      <c r="AF4" s="2190"/>
      <c r="AG4" s="2190"/>
      <c r="AH4" s="2190"/>
      <c r="AI4" s="2190"/>
      <c r="AJ4" s="2190"/>
      <c r="AK4" s="2190"/>
      <c r="AL4" s="2190"/>
      <c r="AM4" s="2190"/>
      <c r="AN4" s="2190"/>
      <c r="AO4" s="2190"/>
      <c r="AP4" s="2190"/>
      <c r="AQ4" s="2190"/>
      <c r="AR4" s="2190"/>
      <c r="AS4" s="2190"/>
      <c r="AT4" s="2190"/>
      <c r="AU4" s="2190"/>
      <c r="AV4" s="2190"/>
      <c r="AW4" s="2190"/>
      <c r="AX4" s="2190"/>
      <c r="AY4" s="2190"/>
      <c r="AZ4" s="2190"/>
    </row>
    <row r="5" spans="1:52">
      <c r="B5" s="2948" t="s">
        <v>2419</v>
      </c>
      <c r="C5" s="2194" t="s">
        <v>1002</v>
      </c>
      <c r="D5" s="2193" t="s">
        <v>1003</v>
      </c>
    </row>
    <row r="6" spans="1:52">
      <c r="B6" s="2948" t="s">
        <v>2420</v>
      </c>
      <c r="C6" s="2194" t="s">
        <v>1004</v>
      </c>
      <c r="D6" s="2193" t="s">
        <v>1005</v>
      </c>
    </row>
    <row r="7" spans="1:52">
      <c r="B7" s="2948" t="s">
        <v>2421</v>
      </c>
      <c r="C7" s="2194" t="s">
        <v>1006</v>
      </c>
      <c r="D7" s="2193" t="s">
        <v>1007</v>
      </c>
    </row>
    <row r="8" spans="1:52">
      <c r="B8" s="2948" t="s">
        <v>2422</v>
      </c>
      <c r="C8" s="2194" t="s">
        <v>1008</v>
      </c>
      <c r="D8" s="2193" t="s">
        <v>1009</v>
      </c>
    </row>
    <row r="9" spans="1:52">
      <c r="B9" s="2948" t="s">
        <v>2423</v>
      </c>
      <c r="C9" s="2194" t="s">
        <v>1010</v>
      </c>
      <c r="D9" s="2193" t="s">
        <v>1011</v>
      </c>
    </row>
    <row r="10" spans="1:52">
      <c r="B10" s="2948" t="s">
        <v>2429</v>
      </c>
      <c r="C10" s="2194" t="s">
        <v>1012</v>
      </c>
      <c r="D10" s="2193" t="s">
        <v>4036</v>
      </c>
    </row>
    <row r="11" spans="1:52">
      <c r="B11" s="2948" t="s">
        <v>2291</v>
      </c>
      <c r="C11" s="2194" t="s">
        <v>1013</v>
      </c>
      <c r="D11" s="2193" t="s">
        <v>1014</v>
      </c>
    </row>
    <row r="12" spans="1:52">
      <c r="B12" s="2948" t="s">
        <v>2439</v>
      </c>
      <c r="C12" s="2194" t="s">
        <v>1015</v>
      </c>
      <c r="D12" s="2193" t="s">
        <v>1016</v>
      </c>
    </row>
    <row r="13" spans="1:52">
      <c r="B13" s="2948" t="s">
        <v>2430</v>
      </c>
      <c r="C13" s="2194" t="s">
        <v>1017</v>
      </c>
      <c r="D13" s="2193" t="s">
        <v>4036</v>
      </c>
    </row>
    <row r="14" spans="1:52">
      <c r="B14" s="2948" t="s">
        <v>2440</v>
      </c>
      <c r="C14" s="2194" t="s">
        <v>1018</v>
      </c>
      <c r="D14" s="2193" t="s">
        <v>1019</v>
      </c>
    </row>
    <row r="15" spans="1:52">
      <c r="B15" s="2948" t="s">
        <v>4052</v>
      </c>
      <c r="C15" s="2194" t="s">
        <v>1020</v>
      </c>
      <c r="D15" s="2193" t="s">
        <v>1021</v>
      </c>
    </row>
    <row r="16" spans="1:52">
      <c r="B16" s="2948" t="s">
        <v>2292</v>
      </c>
      <c r="C16" s="2194" t="s">
        <v>1022</v>
      </c>
      <c r="D16" s="2193" t="s">
        <v>1014</v>
      </c>
    </row>
    <row r="17" spans="2:4">
      <c r="B17" s="2948" t="s">
        <v>2441</v>
      </c>
      <c r="C17" s="2194" t="s">
        <v>1023</v>
      </c>
      <c r="D17" s="2193" t="s">
        <v>1005</v>
      </c>
    </row>
    <row r="18" spans="2:4">
      <c r="B18" s="2948" t="s">
        <v>2454</v>
      </c>
      <c r="C18" s="2194" t="s">
        <v>1024</v>
      </c>
      <c r="D18" s="2193" t="s">
        <v>1007</v>
      </c>
    </row>
    <row r="19" spans="2:4">
      <c r="B19" s="2948" t="s">
        <v>2455</v>
      </c>
      <c r="C19" s="2194" t="s">
        <v>1025</v>
      </c>
      <c r="D19" s="2193" t="s">
        <v>1019</v>
      </c>
    </row>
    <row r="20" spans="2:4">
      <c r="B20" s="2948" t="s">
        <v>2456</v>
      </c>
      <c r="C20" s="2194" t="s">
        <v>1026</v>
      </c>
      <c r="D20" s="2193" t="s">
        <v>1003</v>
      </c>
    </row>
    <row r="21" spans="2:4">
      <c r="B21" s="2948" t="s">
        <v>2457</v>
      </c>
      <c r="C21" s="2194" t="s">
        <v>1027</v>
      </c>
      <c r="D21" s="2193" t="s">
        <v>1028</v>
      </c>
    </row>
    <row r="22" spans="2:4">
      <c r="B22" s="2948" t="s">
        <v>2458</v>
      </c>
      <c r="C22" s="2194" t="s">
        <v>1029</v>
      </c>
      <c r="D22" s="2193" t="s">
        <v>1014</v>
      </c>
    </row>
    <row r="23" spans="2:4">
      <c r="B23" s="2948" t="s">
        <v>2459</v>
      </c>
      <c r="C23" s="2194" t="s">
        <v>1030</v>
      </c>
      <c r="D23" s="2193" t="s">
        <v>1003</v>
      </c>
    </row>
    <row r="24" spans="2:4">
      <c r="B24" s="2948" t="s">
        <v>2460</v>
      </c>
      <c r="C24" s="2194" t="s">
        <v>1031</v>
      </c>
      <c r="D24" s="2193" t="s">
        <v>1016</v>
      </c>
    </row>
    <row r="25" spans="2:4">
      <c r="B25" s="2948" t="s">
        <v>2461</v>
      </c>
      <c r="C25" s="2194" t="s">
        <v>1032</v>
      </c>
      <c r="D25" s="2193" t="s">
        <v>1011</v>
      </c>
    </row>
    <row r="26" spans="2:4">
      <c r="B26" s="2948" t="s">
        <v>2463</v>
      </c>
      <c r="C26" s="2194" t="s">
        <v>1033</v>
      </c>
      <c r="D26" s="2193" t="s">
        <v>1003</v>
      </c>
    </row>
    <row r="27" spans="2:4">
      <c r="B27" s="2948" t="s">
        <v>2462</v>
      </c>
      <c r="C27" s="2194" t="s">
        <v>1034</v>
      </c>
      <c r="D27" s="2193" t="s">
        <v>1021</v>
      </c>
    </row>
    <row r="28" spans="2:4">
      <c r="B28" s="2948" t="s">
        <v>2464</v>
      </c>
      <c r="C28" s="2194" t="s">
        <v>1035</v>
      </c>
      <c r="D28" s="2193" t="s">
        <v>1021</v>
      </c>
    </row>
    <row r="29" spans="2:4">
      <c r="B29" s="2948" t="s">
        <v>2465</v>
      </c>
      <c r="C29" s="2194" t="s">
        <v>1036</v>
      </c>
      <c r="D29" s="2193" t="s">
        <v>1003</v>
      </c>
    </row>
    <row r="30" spans="2:4">
      <c r="B30" s="2948" t="s">
        <v>2466</v>
      </c>
      <c r="C30" s="2194" t="s">
        <v>1037</v>
      </c>
      <c r="D30" s="2193" t="s">
        <v>1009</v>
      </c>
    </row>
    <row r="31" spans="2:4">
      <c r="B31" s="2948" t="s">
        <v>2293</v>
      </c>
      <c r="C31" s="2194" t="s">
        <v>1038</v>
      </c>
      <c r="D31" s="2193" t="s">
        <v>1014</v>
      </c>
    </row>
    <row r="32" spans="2:4">
      <c r="B32" s="2948" t="s">
        <v>2467</v>
      </c>
      <c r="C32" s="2194" t="s">
        <v>1039</v>
      </c>
      <c r="D32" s="2193" t="s">
        <v>1028</v>
      </c>
    </row>
    <row r="33" spans="2:4">
      <c r="B33" s="2948" t="s">
        <v>2468</v>
      </c>
      <c r="C33" s="2194" t="s">
        <v>1040</v>
      </c>
      <c r="D33" s="2193" t="s">
        <v>1041</v>
      </c>
    </row>
    <row r="34" spans="2:4">
      <c r="B34" s="2948" t="s">
        <v>2469</v>
      </c>
      <c r="C34" s="2194" t="s">
        <v>1042</v>
      </c>
      <c r="D34" s="2193" t="s">
        <v>1009</v>
      </c>
    </row>
    <row r="35" spans="2:4">
      <c r="B35" s="2948" t="s">
        <v>2470</v>
      </c>
      <c r="C35" s="2194" t="s">
        <v>1043</v>
      </c>
      <c r="D35" s="2193" t="s">
        <v>1044</v>
      </c>
    </row>
    <row r="36" spans="2:4">
      <c r="B36" s="2948" t="s">
        <v>2471</v>
      </c>
      <c r="C36" s="2194" t="s">
        <v>1045</v>
      </c>
      <c r="D36" s="2193" t="s">
        <v>1044</v>
      </c>
    </row>
    <row r="37" spans="2:4">
      <c r="B37" s="2948" t="s">
        <v>2472</v>
      </c>
      <c r="C37" s="2194" t="s">
        <v>1046</v>
      </c>
      <c r="D37" s="2193" t="s">
        <v>1009</v>
      </c>
    </row>
    <row r="38" spans="2:4">
      <c r="B38" s="2948" t="s">
        <v>2473</v>
      </c>
      <c r="C38" s="2194" t="s">
        <v>1047</v>
      </c>
      <c r="D38" s="2193" t="s">
        <v>1019</v>
      </c>
    </row>
    <row r="39" spans="2:4">
      <c r="B39" s="2948" t="s">
        <v>2474</v>
      </c>
      <c r="C39" s="2194" t="s">
        <v>1048</v>
      </c>
      <c r="D39" s="2193" t="s">
        <v>1003</v>
      </c>
    </row>
    <row r="40" spans="2:4">
      <c r="B40" s="2948" t="s">
        <v>2475</v>
      </c>
      <c r="C40" s="2194" t="s">
        <v>1049</v>
      </c>
      <c r="D40" s="2193" t="s">
        <v>1021</v>
      </c>
    </row>
    <row r="41" spans="2:4">
      <c r="B41" s="2948" t="s">
        <v>2476</v>
      </c>
      <c r="C41" s="2194" t="s">
        <v>1050</v>
      </c>
      <c r="D41" s="2193" t="s">
        <v>1051</v>
      </c>
    </row>
    <row r="42" spans="2:4">
      <c r="B42" s="2948" t="s">
        <v>2477</v>
      </c>
      <c r="C42" s="2194" t="s">
        <v>1052</v>
      </c>
      <c r="D42" s="2193" t="s">
        <v>1041</v>
      </c>
    </row>
    <row r="43" spans="2:4">
      <c r="B43" s="2948" t="s">
        <v>2478</v>
      </c>
      <c r="C43" s="2194" t="s">
        <v>1053</v>
      </c>
      <c r="D43" s="2193" t="s">
        <v>1021</v>
      </c>
    </row>
    <row r="44" spans="2:4">
      <c r="B44" s="2948" t="s">
        <v>2480</v>
      </c>
      <c r="C44" s="2194" t="s">
        <v>1054</v>
      </c>
      <c r="D44" s="2193" t="s">
        <v>1007</v>
      </c>
    </row>
    <row r="45" spans="2:4">
      <c r="B45" s="2948" t="s">
        <v>2479</v>
      </c>
      <c r="C45" s="2194" t="s">
        <v>1055</v>
      </c>
      <c r="D45" s="2193" t="s">
        <v>1005</v>
      </c>
    </row>
    <row r="46" spans="2:4">
      <c r="B46" s="2948" t="s">
        <v>2481</v>
      </c>
      <c r="C46" s="2194" t="s">
        <v>1056</v>
      </c>
      <c r="D46" s="2193" t="s">
        <v>1007</v>
      </c>
    </row>
    <row r="47" spans="2:4">
      <c r="B47" s="2948" t="s">
        <v>2482</v>
      </c>
      <c r="C47" s="2194" t="s">
        <v>1057</v>
      </c>
      <c r="D47" s="2193" t="s">
        <v>1007</v>
      </c>
    </row>
    <row r="48" spans="2:4">
      <c r="B48" s="2948" t="s">
        <v>2483</v>
      </c>
      <c r="C48" s="2194" t="s">
        <v>1058</v>
      </c>
      <c r="D48" s="2193" t="s">
        <v>1044</v>
      </c>
    </row>
    <row r="49" spans="2:4">
      <c r="B49" s="2948" t="s">
        <v>2484</v>
      </c>
      <c r="C49" s="2194" t="s">
        <v>1059</v>
      </c>
      <c r="D49" s="2193" t="s">
        <v>1028</v>
      </c>
    </row>
    <row r="50" spans="2:4">
      <c r="B50" s="2948" t="s">
        <v>2485</v>
      </c>
      <c r="C50" s="2194" t="s">
        <v>1060</v>
      </c>
      <c r="D50" s="2193" t="s">
        <v>1003</v>
      </c>
    </row>
    <row r="51" spans="2:4">
      <c r="B51" s="2948" t="s">
        <v>2486</v>
      </c>
      <c r="C51" s="2194" t="s">
        <v>1060</v>
      </c>
      <c r="D51" s="2193" t="s">
        <v>1003</v>
      </c>
    </row>
    <row r="52" spans="2:4">
      <c r="B52" s="2948" t="s">
        <v>2487</v>
      </c>
      <c r="C52" s="2194" t="s">
        <v>1061</v>
      </c>
      <c r="D52" s="2193" t="s">
        <v>4036</v>
      </c>
    </row>
    <row r="53" spans="2:4">
      <c r="B53" s="2948" t="s">
        <v>2488</v>
      </c>
      <c r="C53" s="2194" t="s">
        <v>1062</v>
      </c>
      <c r="D53" s="2193" t="s">
        <v>1021</v>
      </c>
    </row>
    <row r="54" spans="2:4">
      <c r="B54" s="2948" t="s">
        <v>2489</v>
      </c>
      <c r="C54" s="2194" t="s">
        <v>1063</v>
      </c>
      <c r="D54" s="2193" t="s">
        <v>1021</v>
      </c>
    </row>
    <row r="55" spans="2:4">
      <c r="B55" s="2948" t="s">
        <v>2490</v>
      </c>
      <c r="C55" s="2194" t="s">
        <v>1064</v>
      </c>
      <c r="D55" s="2193" t="s">
        <v>1005</v>
      </c>
    </row>
    <row r="56" spans="2:4">
      <c r="B56" s="2948" t="s">
        <v>2491</v>
      </c>
      <c r="C56" s="2194" t="s">
        <v>1065</v>
      </c>
      <c r="D56" s="2193" t="s">
        <v>1021</v>
      </c>
    </row>
    <row r="57" spans="2:4">
      <c r="B57" s="2948" t="s">
        <v>2492</v>
      </c>
      <c r="C57" s="2194" t="s">
        <v>1066</v>
      </c>
      <c r="D57" s="2193" t="s">
        <v>1007</v>
      </c>
    </row>
    <row r="58" spans="2:4">
      <c r="B58" s="2948" t="s">
        <v>2493</v>
      </c>
      <c r="C58" s="2194" t="s">
        <v>1067</v>
      </c>
      <c r="D58" s="2193" t="s">
        <v>1068</v>
      </c>
    </row>
    <row r="59" spans="2:4">
      <c r="B59" s="2948" t="s">
        <v>2494</v>
      </c>
      <c r="C59" s="2194" t="s">
        <v>1069</v>
      </c>
      <c r="D59" s="2193" t="s">
        <v>1005</v>
      </c>
    </row>
    <row r="60" spans="2:4">
      <c r="B60" s="2948" t="s">
        <v>2495</v>
      </c>
      <c r="C60" s="2194" t="s">
        <v>1070</v>
      </c>
      <c r="D60" s="2193" t="s">
        <v>1014</v>
      </c>
    </row>
    <row r="61" spans="2:4">
      <c r="B61" s="2948" t="s">
        <v>2496</v>
      </c>
      <c r="C61" s="2194" t="s">
        <v>1071</v>
      </c>
      <c r="D61" s="2193" t="s">
        <v>1019</v>
      </c>
    </row>
    <row r="62" spans="2:4">
      <c r="B62" s="2948" t="s">
        <v>2497</v>
      </c>
      <c r="C62" s="2194" t="s">
        <v>1072</v>
      </c>
      <c r="D62" s="2193" t="s">
        <v>1009</v>
      </c>
    </row>
    <row r="63" spans="2:4">
      <c r="B63" s="2948" t="s">
        <v>2498</v>
      </c>
      <c r="C63" s="2194" t="s">
        <v>1073</v>
      </c>
      <c r="D63" s="2193" t="s">
        <v>1016</v>
      </c>
    </row>
    <row r="64" spans="2:4">
      <c r="B64" s="2948" t="s">
        <v>2499</v>
      </c>
      <c r="C64" s="2194" t="s">
        <v>1074</v>
      </c>
      <c r="D64" s="2193" t="s">
        <v>1016</v>
      </c>
    </row>
    <row r="65" spans="2:4">
      <c r="B65" s="2948" t="s">
        <v>2500</v>
      </c>
      <c r="C65" s="2194" t="s">
        <v>1075</v>
      </c>
      <c r="D65" s="2193" t="s">
        <v>1019</v>
      </c>
    </row>
    <row r="66" spans="2:4">
      <c r="B66" s="2948" t="s">
        <v>2501</v>
      </c>
      <c r="C66" s="2194" t="s">
        <v>1076</v>
      </c>
      <c r="D66" s="2193" t="s">
        <v>1044</v>
      </c>
    </row>
    <row r="67" spans="2:4">
      <c r="B67" s="2948" t="s">
        <v>2502</v>
      </c>
      <c r="C67" s="2194" t="s">
        <v>1077</v>
      </c>
      <c r="D67" s="2193" t="s">
        <v>1019</v>
      </c>
    </row>
    <row r="68" spans="2:4">
      <c r="B68" s="2948" t="s">
        <v>2503</v>
      </c>
      <c r="C68" s="2194" t="s">
        <v>1078</v>
      </c>
      <c r="D68" s="2193" t="s">
        <v>1016</v>
      </c>
    </row>
    <row r="69" spans="2:4">
      <c r="B69" s="2948" t="s">
        <v>2504</v>
      </c>
      <c r="C69" s="2194" t="s">
        <v>1079</v>
      </c>
      <c r="D69" s="2193" t="s">
        <v>1003</v>
      </c>
    </row>
    <row r="70" spans="2:4">
      <c r="B70" s="2948" t="s">
        <v>2505</v>
      </c>
      <c r="C70" s="2194" t="s">
        <v>1080</v>
      </c>
      <c r="D70" s="2193" t="s">
        <v>1003</v>
      </c>
    </row>
    <row r="71" spans="2:4">
      <c r="B71" s="2948" t="s">
        <v>2294</v>
      </c>
      <c r="C71" s="2194" t="s">
        <v>1081</v>
      </c>
      <c r="D71" s="2193" t="s">
        <v>4037</v>
      </c>
    </row>
    <row r="72" spans="2:4">
      <c r="B72" s="2948" t="s">
        <v>2506</v>
      </c>
      <c r="C72" s="2194" t="s">
        <v>1082</v>
      </c>
      <c r="D72" s="2193" t="s">
        <v>1009</v>
      </c>
    </row>
    <row r="73" spans="2:4">
      <c r="B73" s="2948" t="s">
        <v>2507</v>
      </c>
      <c r="C73" s="2194" t="s">
        <v>1083</v>
      </c>
      <c r="D73" s="2193" t="s">
        <v>1003</v>
      </c>
    </row>
    <row r="74" spans="2:4">
      <c r="B74" s="2948" t="s">
        <v>2508</v>
      </c>
      <c r="C74" s="2194" t="s">
        <v>1084</v>
      </c>
      <c r="D74" s="2193" t="s">
        <v>1005</v>
      </c>
    </row>
    <row r="75" spans="2:4">
      <c r="B75" s="2948" t="s">
        <v>2509</v>
      </c>
      <c r="C75" s="2194" t="s">
        <v>1085</v>
      </c>
      <c r="D75" s="2193" t="s">
        <v>1016</v>
      </c>
    </row>
    <row r="76" spans="2:4">
      <c r="B76" s="2948" t="s">
        <v>2510</v>
      </c>
      <c r="C76" s="2194" t="s">
        <v>1086</v>
      </c>
      <c r="D76" s="2193" t="s">
        <v>1016</v>
      </c>
    </row>
    <row r="77" spans="2:4">
      <c r="B77" s="2948" t="s">
        <v>2513</v>
      </c>
      <c r="C77" s="2194" t="s">
        <v>1087</v>
      </c>
      <c r="D77" s="2193" t="s">
        <v>1019</v>
      </c>
    </row>
    <row r="78" spans="2:4">
      <c r="B78" s="2948" t="s">
        <v>2511</v>
      </c>
      <c r="C78" s="2194" t="s">
        <v>1088</v>
      </c>
      <c r="D78" s="2193" t="s">
        <v>1003</v>
      </c>
    </row>
    <row r="79" spans="2:4">
      <c r="B79" s="2948" t="s">
        <v>2512</v>
      </c>
      <c r="C79" s="2194" t="s">
        <v>1089</v>
      </c>
      <c r="D79" s="2193" t="s">
        <v>1016</v>
      </c>
    </row>
    <row r="80" spans="2:4">
      <c r="B80" s="2948" t="s">
        <v>2514</v>
      </c>
      <c r="C80" s="2194" t="s">
        <v>1090</v>
      </c>
      <c r="D80" s="2193" t="s">
        <v>1003</v>
      </c>
    </row>
    <row r="81" spans="2:4">
      <c r="B81" s="2948" t="s">
        <v>2680</v>
      </c>
      <c r="C81" s="2194" t="s">
        <v>1091</v>
      </c>
      <c r="D81" s="2193" t="s">
        <v>1003</v>
      </c>
    </row>
    <row r="82" spans="2:4">
      <c r="B82" s="2948" t="s">
        <v>2681</v>
      </c>
      <c r="C82" s="2194" t="s">
        <v>1092</v>
      </c>
      <c r="D82" s="2193" t="s">
        <v>1005</v>
      </c>
    </row>
    <row r="83" spans="2:4">
      <c r="B83" s="2948" t="s">
        <v>2682</v>
      </c>
      <c r="C83" s="2194" t="s">
        <v>1093</v>
      </c>
      <c r="D83" s="2193" t="s">
        <v>1019</v>
      </c>
    </row>
    <row r="84" spans="2:4">
      <c r="B84" s="2948" t="s">
        <v>2683</v>
      </c>
      <c r="C84" s="2194" t="s">
        <v>1094</v>
      </c>
      <c r="D84" s="2193" t="s">
        <v>1016</v>
      </c>
    </row>
    <row r="85" spans="2:4">
      <c r="B85" s="2948" t="s">
        <v>2684</v>
      </c>
      <c r="C85" s="2194" t="s">
        <v>1095</v>
      </c>
      <c r="D85" s="2193" t="s">
        <v>1003</v>
      </c>
    </row>
    <row r="86" spans="2:4">
      <c r="B86" s="2948" t="s">
        <v>2685</v>
      </c>
      <c r="C86" s="2194" t="s">
        <v>1096</v>
      </c>
      <c r="D86" s="2193" t="s">
        <v>1014</v>
      </c>
    </row>
    <row r="87" spans="2:4">
      <c r="B87" s="2948" t="s">
        <v>2686</v>
      </c>
      <c r="C87" s="2194" t="s">
        <v>1097</v>
      </c>
      <c r="D87" s="2193" t="s">
        <v>1005</v>
      </c>
    </row>
    <row r="88" spans="2:4">
      <c r="B88" s="2948" t="s">
        <v>2687</v>
      </c>
      <c r="C88" s="2194" t="s">
        <v>1098</v>
      </c>
      <c r="D88" s="2193" t="s">
        <v>1016</v>
      </c>
    </row>
    <row r="89" spans="2:4">
      <c r="B89" s="2948" t="s">
        <v>2688</v>
      </c>
      <c r="C89" s="2194" t="s">
        <v>1099</v>
      </c>
      <c r="D89" s="2193" t="s">
        <v>1005</v>
      </c>
    </row>
    <row r="90" spans="2:4">
      <c r="B90" s="2948" t="s">
        <v>2843</v>
      </c>
      <c r="C90" s="2194" t="s">
        <v>1100</v>
      </c>
      <c r="D90" s="2193" t="s">
        <v>1016</v>
      </c>
    </row>
    <row r="91" spans="2:4">
      <c r="B91" s="2948" t="s">
        <v>2295</v>
      </c>
      <c r="C91" s="2194" t="s">
        <v>1101</v>
      </c>
      <c r="D91" s="2193" t="s">
        <v>4037</v>
      </c>
    </row>
    <row r="92" spans="2:4">
      <c r="B92" s="2948" t="s">
        <v>2296</v>
      </c>
      <c r="C92" s="2194" t="s">
        <v>1102</v>
      </c>
      <c r="D92" s="2193" t="s">
        <v>4037</v>
      </c>
    </row>
    <row r="93" spans="2:4">
      <c r="B93" s="2948" t="s">
        <v>2689</v>
      </c>
      <c r="C93" s="2194" t="s">
        <v>1103</v>
      </c>
      <c r="D93" s="2193" t="s">
        <v>1007</v>
      </c>
    </row>
    <row r="94" spans="2:4">
      <c r="B94" s="2948" t="s">
        <v>2690</v>
      </c>
      <c r="C94" s="2194" t="s">
        <v>1104</v>
      </c>
      <c r="D94" s="2193" t="s">
        <v>1044</v>
      </c>
    </row>
    <row r="95" spans="2:4">
      <c r="B95" s="2948" t="s">
        <v>2691</v>
      </c>
      <c r="C95" s="2194" t="s">
        <v>1105</v>
      </c>
      <c r="D95" s="2193" t="s">
        <v>1005</v>
      </c>
    </row>
    <row r="96" spans="2:4">
      <c r="B96" s="2948" t="s">
        <v>2297</v>
      </c>
      <c r="C96" s="2194" t="s">
        <v>1106</v>
      </c>
      <c r="D96" s="2193" t="s">
        <v>4037</v>
      </c>
    </row>
    <row r="97" spans="2:4">
      <c r="B97" s="2948" t="s">
        <v>2298</v>
      </c>
      <c r="C97" s="2194" t="s">
        <v>1107</v>
      </c>
      <c r="D97" s="2193" t="s">
        <v>4037</v>
      </c>
    </row>
    <row r="98" spans="2:4">
      <c r="B98" s="2948" t="s">
        <v>2340</v>
      </c>
      <c r="C98" s="2194" t="s">
        <v>1108</v>
      </c>
      <c r="D98" s="2193" t="s">
        <v>1014</v>
      </c>
    </row>
    <row r="99" spans="2:4">
      <c r="B99" s="2948" t="s">
        <v>2692</v>
      </c>
      <c r="C99" s="2194" t="s">
        <v>1109</v>
      </c>
      <c r="D99" s="2193" t="s">
        <v>1016</v>
      </c>
    </row>
    <row r="100" spans="2:4">
      <c r="B100" s="2948" t="s">
        <v>2693</v>
      </c>
      <c r="C100" s="2194" t="s">
        <v>1110</v>
      </c>
      <c r="D100" s="2193" t="s">
        <v>1005</v>
      </c>
    </row>
    <row r="101" spans="2:4">
      <c r="B101" s="2948" t="s">
        <v>2694</v>
      </c>
      <c r="C101" s="2194" t="s">
        <v>1111</v>
      </c>
      <c r="D101" s="2193" t="s">
        <v>4036</v>
      </c>
    </row>
    <row r="102" spans="2:4">
      <c r="B102" s="2948" t="s">
        <v>2695</v>
      </c>
      <c r="C102" s="2194" t="s">
        <v>1112</v>
      </c>
      <c r="D102" s="2193" t="s">
        <v>1051</v>
      </c>
    </row>
    <row r="103" spans="2:4">
      <c r="B103" s="2948" t="s">
        <v>2696</v>
      </c>
      <c r="C103" s="2194" t="s">
        <v>1113</v>
      </c>
      <c r="D103" s="2193" t="s">
        <v>1021</v>
      </c>
    </row>
    <row r="104" spans="2:4">
      <c r="B104" s="2948" t="s">
        <v>2299</v>
      </c>
      <c r="C104" s="2194" t="s">
        <v>1114</v>
      </c>
      <c r="D104" s="2193" t="s">
        <v>4037</v>
      </c>
    </row>
    <row r="105" spans="2:4">
      <c r="B105" s="2948" t="s">
        <v>2697</v>
      </c>
      <c r="C105" s="2194" t="s">
        <v>1115</v>
      </c>
      <c r="D105" s="2193" t="s">
        <v>1011</v>
      </c>
    </row>
    <row r="106" spans="2:4">
      <c r="B106" s="2948" t="s">
        <v>2698</v>
      </c>
      <c r="C106" s="2194" t="s">
        <v>1116</v>
      </c>
      <c r="D106" s="2193" t="s">
        <v>1051</v>
      </c>
    </row>
    <row r="107" spans="2:4">
      <c r="B107" s="2948" t="s">
        <v>2699</v>
      </c>
      <c r="C107" s="2194" t="s">
        <v>1117</v>
      </c>
      <c r="D107" s="2193" t="s">
        <v>1068</v>
      </c>
    </row>
    <row r="108" spans="2:4">
      <c r="B108" s="2948" t="s">
        <v>2700</v>
      </c>
      <c r="C108" s="2194" t="s">
        <v>1118</v>
      </c>
      <c r="D108" s="2193" t="s">
        <v>1003</v>
      </c>
    </row>
    <row r="109" spans="2:4">
      <c r="B109" s="2948" t="s">
        <v>2701</v>
      </c>
      <c r="C109" s="2194" t="s">
        <v>1119</v>
      </c>
      <c r="D109" s="2193" t="s">
        <v>1005</v>
      </c>
    </row>
    <row r="110" spans="2:4">
      <c r="B110" s="2948" t="s">
        <v>2702</v>
      </c>
      <c r="C110" s="2194" t="s">
        <v>1120</v>
      </c>
      <c r="D110" s="2193" t="s">
        <v>1044</v>
      </c>
    </row>
    <row r="111" spans="2:4">
      <c r="B111" s="2948" t="s">
        <v>2703</v>
      </c>
      <c r="C111" s="2194" t="s">
        <v>1121</v>
      </c>
      <c r="D111" s="2193" t="s">
        <v>1021</v>
      </c>
    </row>
    <row r="112" spans="2:4">
      <c r="B112" s="2948" t="s">
        <v>2704</v>
      </c>
      <c r="C112" s="2194" t="s">
        <v>1122</v>
      </c>
      <c r="D112" s="2193" t="s">
        <v>1016</v>
      </c>
    </row>
    <row r="113" spans="2:4">
      <c r="B113" s="2948" t="s">
        <v>2705</v>
      </c>
      <c r="C113" s="2194" t="s">
        <v>1123</v>
      </c>
      <c r="D113" s="2193" t="s">
        <v>1016</v>
      </c>
    </row>
    <row r="114" spans="2:4">
      <c r="B114" s="2948" t="s">
        <v>2706</v>
      </c>
      <c r="C114" s="2194" t="s">
        <v>1124</v>
      </c>
      <c r="D114" s="2193" t="s">
        <v>1068</v>
      </c>
    </row>
    <row r="115" spans="2:4">
      <c r="B115" s="2948" t="s">
        <v>2707</v>
      </c>
      <c r="C115" s="2194" t="s">
        <v>1125</v>
      </c>
      <c r="D115" s="2193" t="s">
        <v>1028</v>
      </c>
    </row>
    <row r="116" spans="2:4">
      <c r="B116" s="2948" t="s">
        <v>2708</v>
      </c>
      <c r="C116" s="2194" t="s">
        <v>1126</v>
      </c>
      <c r="D116" s="2193" t="s">
        <v>1011</v>
      </c>
    </row>
    <row r="117" spans="2:4">
      <c r="B117" s="2948" t="s">
        <v>2709</v>
      </c>
      <c r="C117" s="2194" t="s">
        <v>1127</v>
      </c>
      <c r="D117" s="2193" t="s">
        <v>1016</v>
      </c>
    </row>
    <row r="118" spans="2:4">
      <c r="B118" s="2948" t="s">
        <v>2710</v>
      </c>
      <c r="C118" s="2194" t="s">
        <v>1128</v>
      </c>
      <c r="D118" s="2193" t="s">
        <v>1011</v>
      </c>
    </row>
    <row r="119" spans="2:4">
      <c r="B119" s="2948" t="s">
        <v>2711</v>
      </c>
      <c r="C119" s="2194" t="s">
        <v>1129</v>
      </c>
      <c r="D119" s="2193" t="s">
        <v>1009</v>
      </c>
    </row>
    <row r="120" spans="2:4">
      <c r="B120" s="2948" t="s">
        <v>2712</v>
      </c>
      <c r="C120" s="2194" t="s">
        <v>1130</v>
      </c>
      <c r="D120" s="2193" t="s">
        <v>1019</v>
      </c>
    </row>
    <row r="121" spans="2:4">
      <c r="B121" s="2948" t="s">
        <v>2713</v>
      </c>
      <c r="C121" s="2194" t="s">
        <v>1131</v>
      </c>
      <c r="D121" s="2193" t="s">
        <v>1005</v>
      </c>
    </row>
    <row r="122" spans="2:4">
      <c r="B122" s="2948" t="s">
        <v>2714</v>
      </c>
      <c r="C122" s="2194" t="s">
        <v>1132</v>
      </c>
      <c r="D122" s="2193" t="s">
        <v>1016</v>
      </c>
    </row>
    <row r="123" spans="2:4">
      <c r="B123" s="2948" t="s">
        <v>2715</v>
      </c>
      <c r="C123" s="2194" t="s">
        <v>1133</v>
      </c>
      <c r="D123" s="2193" t="s">
        <v>1044</v>
      </c>
    </row>
    <row r="124" spans="2:4">
      <c r="B124" s="2948" t="s">
        <v>2716</v>
      </c>
      <c r="C124" s="2194" t="s">
        <v>1133</v>
      </c>
      <c r="D124" s="2193" t="s">
        <v>1021</v>
      </c>
    </row>
    <row r="125" spans="2:4">
      <c r="B125" s="2948" t="s">
        <v>2717</v>
      </c>
      <c r="C125" s="2194" t="s">
        <v>1134</v>
      </c>
      <c r="D125" s="2193" t="s">
        <v>1021</v>
      </c>
    </row>
    <row r="126" spans="2:4">
      <c r="B126" s="2948" t="s">
        <v>2718</v>
      </c>
      <c r="C126" s="2194" t="s">
        <v>1135</v>
      </c>
      <c r="D126" s="2193" t="s">
        <v>1003</v>
      </c>
    </row>
    <row r="127" spans="2:4">
      <c r="B127" s="2948" t="s">
        <v>2300</v>
      </c>
      <c r="C127" s="2194" t="s">
        <v>1136</v>
      </c>
      <c r="D127" s="2193" t="s">
        <v>4037</v>
      </c>
    </row>
    <row r="128" spans="2:4">
      <c r="B128" s="2948" t="s">
        <v>2719</v>
      </c>
      <c r="C128" s="2194" t="s">
        <v>1137</v>
      </c>
      <c r="D128" s="2193" t="s">
        <v>1003</v>
      </c>
    </row>
    <row r="129" spans="2:4">
      <c r="B129" s="2948" t="s">
        <v>2720</v>
      </c>
      <c r="C129" s="2194" t="s">
        <v>1138</v>
      </c>
      <c r="D129" s="2193" t="s">
        <v>1009</v>
      </c>
    </row>
    <row r="130" spans="2:4">
      <c r="B130" s="2948" t="s">
        <v>2721</v>
      </c>
      <c r="C130" s="2194" t="s">
        <v>1139</v>
      </c>
      <c r="D130" s="2193" t="s">
        <v>1003</v>
      </c>
    </row>
    <row r="131" spans="2:4">
      <c r="B131" s="2948" t="s">
        <v>2722</v>
      </c>
      <c r="C131" s="2194" t="s">
        <v>1140</v>
      </c>
      <c r="D131" s="2193" t="s">
        <v>1005</v>
      </c>
    </row>
    <row r="132" spans="2:4">
      <c r="B132" s="2948" t="s">
        <v>2723</v>
      </c>
      <c r="C132" s="2194" t="s">
        <v>1141</v>
      </c>
      <c r="D132" s="2193" t="s">
        <v>1003</v>
      </c>
    </row>
    <row r="133" spans="2:4">
      <c r="B133" s="2948" t="s">
        <v>2724</v>
      </c>
      <c r="C133" s="2194" t="s">
        <v>1142</v>
      </c>
      <c r="D133" s="2193" t="s">
        <v>1005</v>
      </c>
    </row>
    <row r="134" spans="2:4">
      <c r="B134" s="2948" t="s">
        <v>2725</v>
      </c>
      <c r="C134" s="2194" t="s">
        <v>1143</v>
      </c>
      <c r="D134" s="2193" t="s">
        <v>1009</v>
      </c>
    </row>
    <row r="135" spans="2:4">
      <c r="B135" s="2948" t="s">
        <v>2726</v>
      </c>
      <c r="C135" s="2194" t="s">
        <v>1144</v>
      </c>
      <c r="D135" s="2193" t="s">
        <v>1041</v>
      </c>
    </row>
    <row r="136" spans="2:4">
      <c r="B136" s="2948" t="s">
        <v>4049</v>
      </c>
      <c r="C136" s="2194" t="s">
        <v>4050</v>
      </c>
      <c r="D136" s="2193" t="s">
        <v>1003</v>
      </c>
    </row>
    <row r="137" spans="2:4">
      <c r="B137" s="2948" t="s">
        <v>2844</v>
      </c>
      <c r="C137" s="2194" t="s">
        <v>1145</v>
      </c>
      <c r="D137" s="2193" t="s">
        <v>1003</v>
      </c>
    </row>
    <row r="138" spans="2:4">
      <c r="B138" s="2948" t="s">
        <v>2845</v>
      </c>
      <c r="C138" s="2194" t="s">
        <v>1146</v>
      </c>
      <c r="D138" s="2193" t="s">
        <v>1068</v>
      </c>
    </row>
    <row r="139" spans="2:4">
      <c r="B139" s="2948" t="s">
        <v>2846</v>
      </c>
      <c r="C139" s="2194" t="s">
        <v>1147</v>
      </c>
      <c r="D139" s="2193" t="s">
        <v>1003</v>
      </c>
    </row>
    <row r="140" spans="2:4">
      <c r="B140" s="2948" t="s">
        <v>2847</v>
      </c>
      <c r="C140" s="2194" t="s">
        <v>1148</v>
      </c>
      <c r="D140" s="2193" t="s">
        <v>1028</v>
      </c>
    </row>
    <row r="141" spans="2:4">
      <c r="B141" s="2948" t="s">
        <v>2848</v>
      </c>
      <c r="C141" s="2194" t="s">
        <v>1149</v>
      </c>
      <c r="D141" s="2193" t="s">
        <v>1014</v>
      </c>
    </row>
    <row r="142" spans="2:4">
      <c r="B142" s="2948" t="s">
        <v>2849</v>
      </c>
      <c r="C142" s="2194" t="s">
        <v>1150</v>
      </c>
      <c r="D142" s="2193" t="s">
        <v>1016</v>
      </c>
    </row>
    <row r="143" spans="2:4">
      <c r="B143" s="2948" t="s">
        <v>2850</v>
      </c>
      <c r="C143" s="2194" t="s">
        <v>1151</v>
      </c>
      <c r="D143" s="2193" t="s">
        <v>1005</v>
      </c>
    </row>
    <row r="144" spans="2:4">
      <c r="B144" s="2948" t="s">
        <v>2851</v>
      </c>
      <c r="C144" s="2194" t="s">
        <v>1152</v>
      </c>
      <c r="D144" s="2193" t="s">
        <v>1016</v>
      </c>
    </row>
    <row r="145" spans="2:4">
      <c r="B145" s="2948" t="s">
        <v>2852</v>
      </c>
      <c r="C145" s="2194" t="s">
        <v>1153</v>
      </c>
      <c r="D145" s="2193" t="s">
        <v>4036</v>
      </c>
    </row>
    <row r="146" spans="2:4">
      <c r="B146" s="2948" t="s">
        <v>2853</v>
      </c>
      <c r="C146" s="2194" t="s">
        <v>1154</v>
      </c>
      <c r="D146" s="2193" t="s">
        <v>1028</v>
      </c>
    </row>
    <row r="147" spans="2:4">
      <c r="B147" s="2948" t="s">
        <v>2854</v>
      </c>
      <c r="C147" s="2194" t="s">
        <v>1155</v>
      </c>
      <c r="D147" s="2193" t="s">
        <v>1044</v>
      </c>
    </row>
    <row r="148" spans="2:4">
      <c r="B148" s="2948" t="s">
        <v>2855</v>
      </c>
      <c r="C148" s="2194" t="s">
        <v>1156</v>
      </c>
      <c r="D148" s="2193" t="s">
        <v>1019</v>
      </c>
    </row>
    <row r="149" spans="2:4">
      <c r="B149" s="2948" t="s">
        <v>2856</v>
      </c>
      <c r="C149" s="2194" t="s">
        <v>1157</v>
      </c>
      <c r="D149" s="2193" t="s">
        <v>1007</v>
      </c>
    </row>
    <row r="150" spans="2:4">
      <c r="B150" s="2948" t="s">
        <v>2857</v>
      </c>
      <c r="C150" s="2194" t="s">
        <v>1157</v>
      </c>
      <c r="D150" s="2193" t="s">
        <v>1007</v>
      </c>
    </row>
    <row r="151" spans="2:4">
      <c r="B151" s="2948" t="s">
        <v>2858</v>
      </c>
      <c r="C151" s="2194" t="s">
        <v>1158</v>
      </c>
      <c r="D151" s="2193" t="s">
        <v>1003</v>
      </c>
    </row>
    <row r="152" spans="2:4">
      <c r="B152" s="2948" t="s">
        <v>2859</v>
      </c>
      <c r="C152" s="2194" t="s">
        <v>1159</v>
      </c>
      <c r="D152" s="2193" t="s">
        <v>4036</v>
      </c>
    </row>
    <row r="153" spans="2:4">
      <c r="B153" s="2948" t="s">
        <v>2860</v>
      </c>
      <c r="C153" s="2194" t="s">
        <v>1160</v>
      </c>
      <c r="D153" s="2193" t="s">
        <v>1041</v>
      </c>
    </row>
    <row r="154" spans="2:4">
      <c r="B154" s="2948" t="s">
        <v>2861</v>
      </c>
      <c r="C154" s="2194" t="s">
        <v>1161</v>
      </c>
      <c r="D154" s="2193" t="s">
        <v>1044</v>
      </c>
    </row>
    <row r="155" spans="2:4">
      <c r="B155" s="2948" t="s">
        <v>2862</v>
      </c>
      <c r="C155" s="2194" t="s">
        <v>1162</v>
      </c>
      <c r="D155" s="2193" t="s">
        <v>1041</v>
      </c>
    </row>
    <row r="156" spans="2:4">
      <c r="B156" s="2948" t="s">
        <v>2863</v>
      </c>
      <c r="C156" s="2194" t="s">
        <v>1163</v>
      </c>
      <c r="D156" s="2193" t="s">
        <v>1007</v>
      </c>
    </row>
    <row r="157" spans="2:4">
      <c r="B157" s="2948" t="s">
        <v>2864</v>
      </c>
      <c r="C157" s="2194" t="s">
        <v>1164</v>
      </c>
      <c r="D157" s="2193" t="s">
        <v>1028</v>
      </c>
    </row>
    <row r="158" spans="2:4">
      <c r="B158" s="2948" t="s">
        <v>2865</v>
      </c>
      <c r="C158" s="2194" t="s">
        <v>1165</v>
      </c>
      <c r="D158" s="2193" t="s">
        <v>1003</v>
      </c>
    </row>
    <row r="159" spans="2:4">
      <c r="B159" s="2948" t="s">
        <v>2866</v>
      </c>
      <c r="C159" s="2194" t="s">
        <v>1166</v>
      </c>
      <c r="D159" s="2193" t="s">
        <v>1016</v>
      </c>
    </row>
    <row r="160" spans="2:4">
      <c r="B160" s="2948" t="s">
        <v>2867</v>
      </c>
      <c r="C160" s="2194" t="s">
        <v>1167</v>
      </c>
      <c r="D160" s="2193" t="s">
        <v>1021</v>
      </c>
    </row>
    <row r="161" spans="2:4">
      <c r="B161" s="2948" t="s">
        <v>2868</v>
      </c>
      <c r="C161" s="2194" t="s">
        <v>1168</v>
      </c>
      <c r="D161" s="2193" t="s">
        <v>1005</v>
      </c>
    </row>
    <row r="162" spans="2:4">
      <c r="B162" s="2948" t="s">
        <v>2869</v>
      </c>
      <c r="C162" s="2194" t="s">
        <v>1169</v>
      </c>
      <c r="D162" s="2193" t="s">
        <v>1003</v>
      </c>
    </row>
    <row r="163" spans="2:4">
      <c r="B163" s="2948" t="s">
        <v>2870</v>
      </c>
      <c r="C163" s="2194" t="s">
        <v>1170</v>
      </c>
      <c r="D163" s="2193" t="s">
        <v>1021</v>
      </c>
    </row>
    <row r="164" spans="2:4">
      <c r="B164" s="2948" t="s">
        <v>2871</v>
      </c>
      <c r="C164" s="2194" t="s">
        <v>1171</v>
      </c>
      <c r="D164" s="2193" t="s">
        <v>1021</v>
      </c>
    </row>
    <row r="165" spans="2:4">
      <c r="B165" s="2948" t="s">
        <v>2872</v>
      </c>
      <c r="C165" s="2194" t="s">
        <v>1172</v>
      </c>
      <c r="D165" s="2193" t="s">
        <v>1028</v>
      </c>
    </row>
    <row r="166" spans="2:4">
      <c r="B166" s="2948" t="s">
        <v>2873</v>
      </c>
      <c r="C166" s="2194" t="s">
        <v>1173</v>
      </c>
      <c r="D166" s="2193" t="s">
        <v>1003</v>
      </c>
    </row>
    <row r="167" spans="2:4">
      <c r="B167" s="2948" t="s">
        <v>2874</v>
      </c>
      <c r="C167" s="2194" t="s">
        <v>1174</v>
      </c>
      <c r="D167" s="2193" t="s">
        <v>1007</v>
      </c>
    </row>
    <row r="168" spans="2:4">
      <c r="B168" s="2948" t="s">
        <v>2875</v>
      </c>
      <c r="C168" s="2194" t="s">
        <v>1175</v>
      </c>
      <c r="D168" s="2193" t="s">
        <v>1003</v>
      </c>
    </row>
    <row r="169" spans="2:4">
      <c r="B169" s="2948" t="s">
        <v>2876</v>
      </c>
      <c r="C169" s="2194" t="s">
        <v>1176</v>
      </c>
      <c r="D169" s="2193" t="s">
        <v>1003</v>
      </c>
    </row>
    <row r="170" spans="2:4">
      <c r="B170" s="2948" t="s">
        <v>2877</v>
      </c>
      <c r="C170" s="2194" t="s">
        <v>1177</v>
      </c>
      <c r="D170" s="2193" t="s">
        <v>1011</v>
      </c>
    </row>
    <row r="171" spans="2:4">
      <c r="B171" s="2948" t="s">
        <v>2878</v>
      </c>
      <c r="C171" s="2194" t="s">
        <v>1178</v>
      </c>
      <c r="D171" s="2193" t="s">
        <v>1003</v>
      </c>
    </row>
    <row r="172" spans="2:4">
      <c r="B172" s="2948" t="s">
        <v>2879</v>
      </c>
      <c r="C172" s="2194" t="s">
        <v>1179</v>
      </c>
      <c r="D172" s="2193" t="s">
        <v>1011</v>
      </c>
    </row>
    <row r="173" spans="2:4">
      <c r="B173" s="2948" t="s">
        <v>2880</v>
      </c>
      <c r="C173" s="2194" t="s">
        <v>1180</v>
      </c>
      <c r="D173" s="2193" t="s">
        <v>1016</v>
      </c>
    </row>
    <row r="174" spans="2:4">
      <c r="B174" s="2948" t="s">
        <v>2881</v>
      </c>
      <c r="C174" s="2194" t="s">
        <v>1181</v>
      </c>
      <c r="D174" s="2193" t="s">
        <v>1005</v>
      </c>
    </row>
    <row r="175" spans="2:4">
      <c r="B175" s="2948" t="s">
        <v>2882</v>
      </c>
      <c r="C175" s="2194" t="s">
        <v>1182</v>
      </c>
      <c r="D175" s="2193" t="s">
        <v>1068</v>
      </c>
    </row>
    <row r="176" spans="2:4">
      <c r="B176" s="2948" t="s">
        <v>2330</v>
      </c>
      <c r="C176" s="2194" t="s">
        <v>1183</v>
      </c>
      <c r="D176" s="2193" t="s">
        <v>4037</v>
      </c>
    </row>
    <row r="177" spans="2:4">
      <c r="B177" s="2948" t="s">
        <v>2883</v>
      </c>
      <c r="C177" s="2194" t="s">
        <v>1184</v>
      </c>
      <c r="D177" s="2193" t="s">
        <v>1014</v>
      </c>
    </row>
    <row r="178" spans="2:4">
      <c r="B178" s="2948" t="s">
        <v>2884</v>
      </c>
      <c r="C178" s="2194" t="s">
        <v>1185</v>
      </c>
      <c r="D178" s="2193" t="s">
        <v>1019</v>
      </c>
    </row>
    <row r="179" spans="2:4">
      <c r="B179" s="2948" t="s">
        <v>2885</v>
      </c>
      <c r="C179" s="2194" t="s">
        <v>1186</v>
      </c>
      <c r="D179" s="2193" t="s">
        <v>1003</v>
      </c>
    </row>
    <row r="180" spans="2:4">
      <c r="B180" s="2948" t="s">
        <v>2886</v>
      </c>
      <c r="C180" s="2194" t="s">
        <v>1187</v>
      </c>
      <c r="D180" s="2193" t="s">
        <v>1016</v>
      </c>
    </row>
    <row r="181" spans="2:4">
      <c r="B181" s="2948" t="s">
        <v>2887</v>
      </c>
      <c r="C181" s="2194" t="s">
        <v>1188</v>
      </c>
      <c r="D181" s="2193" t="s">
        <v>4036</v>
      </c>
    </row>
    <row r="182" spans="2:4">
      <c r="B182" s="2948" t="s">
        <v>2888</v>
      </c>
      <c r="C182" s="2194" t="s">
        <v>1189</v>
      </c>
      <c r="D182" s="2193" t="s">
        <v>1019</v>
      </c>
    </row>
    <row r="183" spans="2:4">
      <c r="B183" s="2948" t="s">
        <v>2889</v>
      </c>
      <c r="C183" s="2194" t="s">
        <v>1190</v>
      </c>
      <c r="D183" s="2193" t="s">
        <v>1009</v>
      </c>
    </row>
    <row r="184" spans="2:4">
      <c r="B184" s="2948" t="s">
        <v>2890</v>
      </c>
      <c r="C184" s="2194" t="s">
        <v>1191</v>
      </c>
      <c r="D184" s="2193" t="s">
        <v>1009</v>
      </c>
    </row>
    <row r="185" spans="2:4">
      <c r="B185" s="2948" t="s">
        <v>2891</v>
      </c>
      <c r="C185" s="2194" t="s">
        <v>1192</v>
      </c>
      <c r="D185" s="2193" t="s">
        <v>1016</v>
      </c>
    </row>
    <row r="186" spans="2:4">
      <c r="B186" s="2948" t="s">
        <v>2892</v>
      </c>
      <c r="C186" s="2194" t="s">
        <v>1193</v>
      </c>
      <c r="D186" s="2193" t="s">
        <v>1028</v>
      </c>
    </row>
    <row r="187" spans="2:4">
      <c r="B187" s="2948" t="s">
        <v>2893</v>
      </c>
      <c r="C187" s="2194" t="s">
        <v>1194</v>
      </c>
      <c r="D187" s="2193" t="s">
        <v>1044</v>
      </c>
    </row>
    <row r="188" spans="2:4">
      <c r="B188" s="2948" t="s">
        <v>2894</v>
      </c>
      <c r="C188" s="2194" t="s">
        <v>1195</v>
      </c>
      <c r="D188" s="2193" t="s">
        <v>1007</v>
      </c>
    </row>
    <row r="189" spans="2:4">
      <c r="B189" s="2948" t="s">
        <v>2895</v>
      </c>
      <c r="C189" s="2194" t="s">
        <v>1196</v>
      </c>
      <c r="D189" s="2193" t="s">
        <v>1005</v>
      </c>
    </row>
    <row r="190" spans="2:4">
      <c r="B190" s="2948" t="s">
        <v>2896</v>
      </c>
      <c r="C190" s="2194" t="s">
        <v>1197</v>
      </c>
      <c r="D190" s="2193" t="s">
        <v>1009</v>
      </c>
    </row>
    <row r="191" spans="2:4">
      <c r="B191" s="2948" t="s">
        <v>2897</v>
      </c>
      <c r="C191" s="2194" t="s">
        <v>1198</v>
      </c>
      <c r="D191" s="2193" t="s">
        <v>1003</v>
      </c>
    </row>
    <row r="192" spans="2:4">
      <c r="B192" s="2948" t="s">
        <v>2898</v>
      </c>
      <c r="C192" s="2194" t="s">
        <v>1199</v>
      </c>
      <c r="D192" s="2193" t="s">
        <v>1003</v>
      </c>
    </row>
    <row r="193" spans="2:4">
      <c r="B193" s="2948" t="s">
        <v>2899</v>
      </c>
      <c r="C193" s="2194" t="s">
        <v>1200</v>
      </c>
      <c r="D193" s="2193" t="s">
        <v>1021</v>
      </c>
    </row>
    <row r="194" spans="2:4">
      <c r="B194" s="2948" t="s">
        <v>2900</v>
      </c>
      <c r="C194" s="2194" t="s">
        <v>1201</v>
      </c>
      <c r="D194" s="2193" t="s">
        <v>1021</v>
      </c>
    </row>
    <row r="195" spans="2:4">
      <c r="B195" s="2948" t="s">
        <v>2307</v>
      </c>
      <c r="C195" s="2194" t="s">
        <v>1202</v>
      </c>
      <c r="D195" s="2193" t="s">
        <v>4037</v>
      </c>
    </row>
    <row r="196" spans="2:4">
      <c r="B196" s="2948" t="s">
        <v>2901</v>
      </c>
      <c r="C196" s="2194" t="s">
        <v>1203</v>
      </c>
      <c r="D196" s="2193" t="s">
        <v>1016</v>
      </c>
    </row>
    <row r="197" spans="2:4">
      <c r="B197" s="2948" t="s">
        <v>2902</v>
      </c>
      <c r="C197" s="2194" t="s">
        <v>1204</v>
      </c>
      <c r="D197" s="2193" t="s">
        <v>4036</v>
      </c>
    </row>
    <row r="198" spans="2:4">
      <c r="B198" s="2948" t="s">
        <v>2903</v>
      </c>
      <c r="C198" s="2194" t="s">
        <v>1205</v>
      </c>
      <c r="D198" s="2193" t="s">
        <v>1009</v>
      </c>
    </row>
    <row r="199" spans="2:4">
      <c r="B199" s="2948" t="s">
        <v>2904</v>
      </c>
      <c r="C199" s="2194" t="s">
        <v>1206</v>
      </c>
      <c r="D199" s="2193" t="s">
        <v>1005</v>
      </c>
    </row>
    <row r="200" spans="2:4">
      <c r="B200" s="2948" t="s">
        <v>2905</v>
      </c>
      <c r="C200" s="2194" t="s">
        <v>1207</v>
      </c>
      <c r="D200" s="2193" t="s">
        <v>1019</v>
      </c>
    </row>
    <row r="201" spans="2:4">
      <c r="B201" s="2948" t="s">
        <v>2906</v>
      </c>
      <c r="C201" s="2194" t="s">
        <v>1208</v>
      </c>
      <c r="D201" s="2193" t="s">
        <v>1016</v>
      </c>
    </row>
    <row r="202" spans="2:4">
      <c r="B202" s="2948" t="s">
        <v>2907</v>
      </c>
      <c r="C202" s="2194" t="s">
        <v>1209</v>
      </c>
      <c r="D202" s="2193" t="s">
        <v>1003</v>
      </c>
    </row>
    <row r="203" spans="2:4">
      <c r="B203" s="2948" t="s">
        <v>2305</v>
      </c>
      <c r="C203" s="2194" t="s">
        <v>1210</v>
      </c>
      <c r="D203" s="2193" t="s">
        <v>4037</v>
      </c>
    </row>
    <row r="204" spans="2:4">
      <c r="B204" s="2948" t="s">
        <v>2908</v>
      </c>
      <c r="C204" s="2194" t="s">
        <v>1211</v>
      </c>
      <c r="D204" s="2193" t="s">
        <v>1051</v>
      </c>
    </row>
    <row r="205" spans="2:4">
      <c r="B205" s="2948" t="s">
        <v>2309</v>
      </c>
      <c r="C205" s="2194" t="s">
        <v>1212</v>
      </c>
      <c r="D205" s="2193" t="s">
        <v>4037</v>
      </c>
    </row>
    <row r="206" spans="2:4">
      <c r="B206" s="2948" t="s">
        <v>2374</v>
      </c>
      <c r="C206" s="2194" t="s">
        <v>1213</v>
      </c>
      <c r="D206" s="2193" t="s">
        <v>1014</v>
      </c>
    </row>
    <row r="207" spans="2:4">
      <c r="B207" s="2948" t="s">
        <v>2909</v>
      </c>
      <c r="C207" s="2194" t="s">
        <v>1214</v>
      </c>
      <c r="D207" s="2193" t="s">
        <v>1016</v>
      </c>
    </row>
    <row r="208" spans="2:4">
      <c r="B208" s="2948" t="s">
        <v>2910</v>
      </c>
      <c r="C208" s="2194" t="s">
        <v>1215</v>
      </c>
      <c r="D208" s="2193" t="s">
        <v>1028</v>
      </c>
    </row>
    <row r="209" spans="2:4">
      <c r="B209" s="2948" t="s">
        <v>2911</v>
      </c>
      <c r="C209" s="2194" t="s">
        <v>1216</v>
      </c>
      <c r="D209" s="2193" t="s">
        <v>1019</v>
      </c>
    </row>
    <row r="210" spans="2:4">
      <c r="B210" s="2948" t="s">
        <v>2912</v>
      </c>
      <c r="C210" s="2194" t="s">
        <v>1217</v>
      </c>
      <c r="D210" s="2193" t="s">
        <v>1019</v>
      </c>
    </row>
    <row r="211" spans="2:4">
      <c r="B211" s="2948" t="s">
        <v>2913</v>
      </c>
      <c r="C211" s="2194" t="s">
        <v>1218</v>
      </c>
      <c r="D211" s="2193" t="s">
        <v>1009</v>
      </c>
    </row>
    <row r="212" spans="2:4">
      <c r="B212" s="2948" t="s">
        <v>2302</v>
      </c>
      <c r="C212" s="2194" t="s">
        <v>1219</v>
      </c>
      <c r="D212" s="2193" t="s">
        <v>4037</v>
      </c>
    </row>
    <row r="213" spans="2:4">
      <c r="B213" s="2948" t="s">
        <v>2356</v>
      </c>
      <c r="C213" s="2194" t="s">
        <v>1220</v>
      </c>
      <c r="D213" s="2193" t="s">
        <v>1014</v>
      </c>
    </row>
    <row r="214" spans="2:4">
      <c r="B214" s="2948" t="s">
        <v>2914</v>
      </c>
      <c r="C214" s="2194" t="s">
        <v>1221</v>
      </c>
      <c r="D214" s="2193" t="s">
        <v>1021</v>
      </c>
    </row>
    <row r="215" spans="2:4">
      <c r="B215" s="2948" t="s">
        <v>2915</v>
      </c>
      <c r="C215" s="2194" t="s">
        <v>1222</v>
      </c>
      <c r="D215" s="2193" t="s">
        <v>1028</v>
      </c>
    </row>
    <row r="216" spans="2:4">
      <c r="B216" s="2948" t="s">
        <v>2916</v>
      </c>
      <c r="C216" s="2194" t="s">
        <v>1223</v>
      </c>
      <c r="D216" s="2193" t="s">
        <v>1003</v>
      </c>
    </row>
    <row r="217" spans="2:4">
      <c r="B217" s="2948" t="s">
        <v>2917</v>
      </c>
      <c r="C217" s="2194" t="s">
        <v>1224</v>
      </c>
      <c r="D217" s="2193" t="s">
        <v>1041</v>
      </c>
    </row>
    <row r="218" spans="2:4">
      <c r="B218" s="2948" t="s">
        <v>2918</v>
      </c>
      <c r="C218" s="2194" t="s">
        <v>1225</v>
      </c>
      <c r="D218" s="2193" t="s">
        <v>1003</v>
      </c>
    </row>
    <row r="219" spans="2:4">
      <c r="B219" s="2948" t="s">
        <v>2919</v>
      </c>
      <c r="C219" s="2194" t="s">
        <v>1226</v>
      </c>
      <c r="D219" s="2193" t="s">
        <v>1019</v>
      </c>
    </row>
    <row r="220" spans="2:4">
      <c r="B220" s="2948" t="s">
        <v>2920</v>
      </c>
      <c r="C220" s="2194" t="s">
        <v>1227</v>
      </c>
      <c r="D220" s="2193" t="s">
        <v>1003</v>
      </c>
    </row>
    <row r="221" spans="2:4">
      <c r="B221" s="2948" t="s">
        <v>2921</v>
      </c>
      <c r="C221" s="2194" t="s">
        <v>1227</v>
      </c>
      <c r="D221" s="2193" t="s">
        <v>1003</v>
      </c>
    </row>
    <row r="222" spans="2:4">
      <c r="B222" s="2948" t="s">
        <v>2922</v>
      </c>
      <c r="C222" s="2194" t="s">
        <v>1228</v>
      </c>
      <c r="D222" s="2193" t="s">
        <v>1005</v>
      </c>
    </row>
    <row r="223" spans="2:4">
      <c r="B223" s="2948" t="s">
        <v>2923</v>
      </c>
      <c r="C223" s="2194" t="s">
        <v>1229</v>
      </c>
      <c r="D223" s="2193" t="s">
        <v>1009</v>
      </c>
    </row>
    <row r="224" spans="2:4">
      <c r="B224" s="2948" t="s">
        <v>2924</v>
      </c>
      <c r="C224" s="2194" t="s">
        <v>1230</v>
      </c>
      <c r="D224" s="2193" t="s">
        <v>4036</v>
      </c>
    </row>
    <row r="225" spans="2:4">
      <c r="B225" s="2948" t="s">
        <v>2925</v>
      </c>
      <c r="C225" s="2194" t="s">
        <v>1231</v>
      </c>
      <c r="D225" s="2193" t="s">
        <v>4036</v>
      </c>
    </row>
    <row r="226" spans="2:4">
      <c r="B226" s="2948" t="s">
        <v>2926</v>
      </c>
      <c r="C226" s="2194" t="s">
        <v>1232</v>
      </c>
      <c r="D226" s="2193" t="s">
        <v>1005</v>
      </c>
    </row>
    <row r="227" spans="2:4">
      <c r="B227" s="2948" t="s">
        <v>2927</v>
      </c>
      <c r="C227" s="2194" t="s">
        <v>1232</v>
      </c>
      <c r="D227" s="2193" t="s">
        <v>1005</v>
      </c>
    </row>
    <row r="228" spans="2:4">
      <c r="B228" s="2948" t="s">
        <v>2928</v>
      </c>
      <c r="C228" s="2194" t="s">
        <v>1233</v>
      </c>
      <c r="D228" s="2193" t="s">
        <v>1005</v>
      </c>
    </row>
    <row r="229" spans="2:4">
      <c r="B229" s="2948" t="s">
        <v>2929</v>
      </c>
      <c r="C229" s="2194" t="s">
        <v>1234</v>
      </c>
      <c r="D229" s="2193" t="s">
        <v>1051</v>
      </c>
    </row>
    <row r="230" spans="2:4">
      <c r="B230" s="2948" t="s">
        <v>2930</v>
      </c>
      <c r="C230" s="2194" t="s">
        <v>1235</v>
      </c>
      <c r="D230" s="2193" t="s">
        <v>1005</v>
      </c>
    </row>
    <row r="231" spans="2:4">
      <c r="B231" s="2948" t="s">
        <v>2931</v>
      </c>
      <c r="C231" s="2194" t="s">
        <v>1236</v>
      </c>
      <c r="D231" s="2193" t="s">
        <v>1007</v>
      </c>
    </row>
    <row r="232" spans="2:4">
      <c r="B232" s="2948" t="s">
        <v>2321</v>
      </c>
      <c r="C232" s="2194" t="s">
        <v>1237</v>
      </c>
      <c r="D232" s="2193" t="s">
        <v>4037</v>
      </c>
    </row>
    <row r="233" spans="2:4">
      <c r="B233" s="2948" t="s">
        <v>2320</v>
      </c>
      <c r="C233" s="2194" t="s">
        <v>1238</v>
      </c>
      <c r="D233" s="2193" t="s">
        <v>4037</v>
      </c>
    </row>
    <row r="234" spans="2:4">
      <c r="B234" s="2948" t="s">
        <v>2932</v>
      </c>
      <c r="C234" s="2194" t="s">
        <v>1239</v>
      </c>
      <c r="D234" s="2193" t="s">
        <v>1005</v>
      </c>
    </row>
    <row r="235" spans="2:4">
      <c r="B235" s="2948" t="s">
        <v>2933</v>
      </c>
      <c r="C235" s="2194" t="s">
        <v>1240</v>
      </c>
      <c r="D235" s="2193" t="s">
        <v>1019</v>
      </c>
    </row>
    <row r="236" spans="2:4">
      <c r="B236" s="2948" t="s">
        <v>2934</v>
      </c>
      <c r="C236" s="2194" t="s">
        <v>1241</v>
      </c>
      <c r="D236" s="2193" t="s">
        <v>1005</v>
      </c>
    </row>
    <row r="237" spans="2:4">
      <c r="B237" s="2948" t="s">
        <v>2935</v>
      </c>
      <c r="C237" s="2194" t="s">
        <v>1242</v>
      </c>
      <c r="D237" s="2193" t="s">
        <v>1005</v>
      </c>
    </row>
    <row r="238" spans="2:4">
      <c r="B238" s="2948" t="s">
        <v>2936</v>
      </c>
      <c r="C238" s="2194" t="s">
        <v>1243</v>
      </c>
      <c r="D238" s="2193" t="s">
        <v>1011</v>
      </c>
    </row>
    <row r="239" spans="2:4">
      <c r="B239" s="2948" t="s">
        <v>2937</v>
      </c>
      <c r="C239" s="2194" t="s">
        <v>1244</v>
      </c>
      <c r="D239" s="2193" t="s">
        <v>1028</v>
      </c>
    </row>
    <row r="240" spans="2:4">
      <c r="B240" s="2948" t="s">
        <v>2938</v>
      </c>
      <c r="C240" s="2194" t="s">
        <v>1245</v>
      </c>
      <c r="D240" s="2193" t="s">
        <v>1007</v>
      </c>
    </row>
    <row r="241" spans="2:4">
      <c r="B241" s="2948" t="s">
        <v>2939</v>
      </c>
      <c r="C241" s="2194" t="s">
        <v>1246</v>
      </c>
      <c r="D241" s="2193" t="s">
        <v>1019</v>
      </c>
    </row>
    <row r="242" spans="2:4">
      <c r="B242" s="2948" t="s">
        <v>2940</v>
      </c>
      <c r="C242" s="2194" t="s">
        <v>1247</v>
      </c>
      <c r="D242" s="2193" t="s">
        <v>1011</v>
      </c>
    </row>
    <row r="243" spans="2:4">
      <c r="B243" s="2948" t="s">
        <v>2941</v>
      </c>
      <c r="C243" s="2194" t="s">
        <v>1248</v>
      </c>
      <c r="D243" s="2193" t="s">
        <v>1068</v>
      </c>
    </row>
    <row r="244" spans="2:4">
      <c r="B244" s="2948" t="s">
        <v>2942</v>
      </c>
      <c r="C244" s="2194" t="s">
        <v>1249</v>
      </c>
      <c r="D244" s="2193" t="s">
        <v>1014</v>
      </c>
    </row>
    <row r="245" spans="2:4">
      <c r="B245" s="2948" t="s">
        <v>2943</v>
      </c>
      <c r="C245" s="2194" t="s">
        <v>1250</v>
      </c>
      <c r="D245" s="2193" t="s">
        <v>1011</v>
      </c>
    </row>
    <row r="246" spans="2:4">
      <c r="B246" s="2948" t="s">
        <v>3202</v>
      </c>
      <c r="C246" s="2194" t="s">
        <v>1251</v>
      </c>
      <c r="D246" s="2193" t="s">
        <v>1011</v>
      </c>
    </row>
    <row r="247" spans="2:4">
      <c r="B247" s="2948" t="s">
        <v>3203</v>
      </c>
      <c r="C247" s="2194" t="s">
        <v>1252</v>
      </c>
      <c r="D247" s="2193" t="s">
        <v>1011</v>
      </c>
    </row>
    <row r="248" spans="2:4">
      <c r="B248" s="2948" t="s">
        <v>3204</v>
      </c>
      <c r="C248" s="2194" t="s">
        <v>1253</v>
      </c>
      <c r="D248" s="2193" t="s">
        <v>1011</v>
      </c>
    </row>
    <row r="249" spans="2:4">
      <c r="B249" s="2948" t="s">
        <v>3205</v>
      </c>
      <c r="C249" s="2194" t="s">
        <v>1254</v>
      </c>
      <c r="D249" s="2193" t="s">
        <v>1016</v>
      </c>
    </row>
    <row r="250" spans="2:4">
      <c r="B250" s="2948" t="s">
        <v>3206</v>
      </c>
      <c r="C250" s="2194" t="s">
        <v>1255</v>
      </c>
      <c r="D250" s="2193" t="s">
        <v>1019</v>
      </c>
    </row>
    <row r="251" spans="2:4">
      <c r="B251" s="2948" t="s">
        <v>3207</v>
      </c>
      <c r="C251" s="2194" t="s">
        <v>1256</v>
      </c>
      <c r="D251" s="2193" t="s">
        <v>1003</v>
      </c>
    </row>
    <row r="252" spans="2:4">
      <c r="B252" s="2948" t="s">
        <v>3208</v>
      </c>
      <c r="C252" s="2194" t="s">
        <v>1257</v>
      </c>
      <c r="D252" s="2193" t="s">
        <v>1028</v>
      </c>
    </row>
    <row r="253" spans="2:4">
      <c r="B253" s="2948" t="s">
        <v>3209</v>
      </c>
      <c r="C253" s="2194" t="s">
        <v>1258</v>
      </c>
      <c r="D253" s="2193" t="s">
        <v>1007</v>
      </c>
    </row>
    <row r="254" spans="2:4">
      <c r="B254" s="2948" t="s">
        <v>3210</v>
      </c>
      <c r="C254" s="2194" t="s">
        <v>1259</v>
      </c>
      <c r="D254" s="2193" t="s">
        <v>1021</v>
      </c>
    </row>
    <row r="255" spans="2:4">
      <c r="B255" s="2948" t="s">
        <v>3211</v>
      </c>
      <c r="C255" s="2194" t="s">
        <v>1260</v>
      </c>
      <c r="D255" s="2193" t="s">
        <v>1041</v>
      </c>
    </row>
    <row r="256" spans="2:4">
      <c r="B256" s="2948" t="s">
        <v>3212</v>
      </c>
      <c r="C256" s="2194" t="s">
        <v>1261</v>
      </c>
      <c r="D256" s="2193" t="s">
        <v>1011</v>
      </c>
    </row>
    <row r="257" spans="2:4">
      <c r="B257" s="2948" t="s">
        <v>3214</v>
      </c>
      <c r="C257" s="2194" t="s">
        <v>1262</v>
      </c>
      <c r="D257" s="2193" t="s">
        <v>1011</v>
      </c>
    </row>
    <row r="258" spans="2:4">
      <c r="B258" s="2948" t="s">
        <v>3213</v>
      </c>
      <c r="C258" s="2194" t="s">
        <v>1263</v>
      </c>
      <c r="D258" s="2193" t="s">
        <v>1051</v>
      </c>
    </row>
    <row r="259" spans="2:4">
      <c r="B259" s="2948" t="s">
        <v>3215</v>
      </c>
      <c r="C259" s="2194" t="s">
        <v>1264</v>
      </c>
      <c r="D259" s="2193" t="s">
        <v>1019</v>
      </c>
    </row>
    <row r="260" spans="2:4">
      <c r="B260" s="2948" t="s">
        <v>3216</v>
      </c>
      <c r="C260" s="2194" t="s">
        <v>1265</v>
      </c>
      <c r="D260" s="2193" t="s">
        <v>1021</v>
      </c>
    </row>
    <row r="261" spans="2:4">
      <c r="B261" s="2948" t="s">
        <v>3217</v>
      </c>
      <c r="C261" s="2194" t="s">
        <v>1266</v>
      </c>
      <c r="D261" s="2193" t="s">
        <v>4036</v>
      </c>
    </row>
    <row r="262" spans="2:4">
      <c r="B262" s="2948" t="s">
        <v>3218</v>
      </c>
      <c r="C262" s="2194" t="s">
        <v>1267</v>
      </c>
      <c r="D262" s="2193" t="s">
        <v>1007</v>
      </c>
    </row>
    <row r="263" spans="2:4">
      <c r="B263" s="2948" t="s">
        <v>3219</v>
      </c>
      <c r="C263" s="2194" t="s">
        <v>1268</v>
      </c>
      <c r="D263" s="2193" t="s">
        <v>1007</v>
      </c>
    </row>
    <row r="264" spans="2:4">
      <c r="B264" s="2948" t="s">
        <v>3220</v>
      </c>
      <c r="C264" s="2194" t="s">
        <v>1269</v>
      </c>
      <c r="D264" s="2193" t="s">
        <v>1019</v>
      </c>
    </row>
    <row r="265" spans="2:4">
      <c r="B265" s="2948" t="s">
        <v>3221</v>
      </c>
      <c r="C265" s="2194" t="s">
        <v>1270</v>
      </c>
      <c r="D265" s="2193" t="s">
        <v>1044</v>
      </c>
    </row>
    <row r="266" spans="2:4">
      <c r="B266" s="2948" t="s">
        <v>2316</v>
      </c>
      <c r="C266" s="2194" t="s">
        <v>1271</v>
      </c>
      <c r="D266" s="2193" t="s">
        <v>4037</v>
      </c>
    </row>
    <row r="267" spans="2:4">
      <c r="B267" s="2948" t="s">
        <v>3222</v>
      </c>
      <c r="C267" s="2194" t="s">
        <v>1272</v>
      </c>
      <c r="D267" s="2193" t="s">
        <v>1019</v>
      </c>
    </row>
    <row r="268" spans="2:4">
      <c r="B268" s="2948" t="s">
        <v>3223</v>
      </c>
      <c r="C268" s="2194" t="s">
        <v>1273</v>
      </c>
      <c r="D268" s="2193" t="s">
        <v>1021</v>
      </c>
    </row>
    <row r="269" spans="2:4">
      <c r="B269" s="2948" t="s">
        <v>3224</v>
      </c>
      <c r="C269" s="2194" t="s">
        <v>1274</v>
      </c>
      <c r="D269" s="2193" t="s">
        <v>1021</v>
      </c>
    </row>
    <row r="270" spans="2:4">
      <c r="B270" s="2948" t="s">
        <v>3225</v>
      </c>
      <c r="C270" s="2194" t="s">
        <v>1275</v>
      </c>
      <c r="D270" s="2193" t="s">
        <v>1003</v>
      </c>
    </row>
    <row r="271" spans="2:4">
      <c r="B271" s="2948" t="s">
        <v>3226</v>
      </c>
      <c r="C271" s="2194" t="s">
        <v>1276</v>
      </c>
      <c r="D271" s="2193" t="s">
        <v>1016</v>
      </c>
    </row>
    <row r="272" spans="2:4">
      <c r="B272" s="2948" t="s">
        <v>4053</v>
      </c>
      <c r="C272" s="2194" t="s">
        <v>1277</v>
      </c>
      <c r="D272" s="2193" t="s">
        <v>1014</v>
      </c>
    </row>
    <row r="273" spans="2:4">
      <c r="B273" s="2948" t="s">
        <v>3227</v>
      </c>
      <c r="C273" s="2194" t="s">
        <v>1278</v>
      </c>
      <c r="D273" s="2193" t="s">
        <v>1005</v>
      </c>
    </row>
    <row r="274" spans="2:4">
      <c r="B274" s="2948" t="s">
        <v>3228</v>
      </c>
      <c r="C274" s="2194" t="s">
        <v>1279</v>
      </c>
      <c r="D274" s="2193" t="s">
        <v>1005</v>
      </c>
    </row>
    <row r="275" spans="2:4">
      <c r="B275" s="2948" t="s">
        <v>2364</v>
      </c>
      <c r="C275" s="2194" t="s">
        <v>1280</v>
      </c>
      <c r="D275" s="2193" t="s">
        <v>1014</v>
      </c>
    </row>
    <row r="276" spans="2:4">
      <c r="B276" s="2948" t="s">
        <v>3229</v>
      </c>
      <c r="C276" s="2194" t="s">
        <v>1281</v>
      </c>
      <c r="D276" s="2193" t="s">
        <v>1021</v>
      </c>
    </row>
    <row r="277" spans="2:4">
      <c r="B277" s="2948" t="s">
        <v>3230</v>
      </c>
      <c r="C277" s="2194" t="s">
        <v>1282</v>
      </c>
      <c r="D277" s="2193" t="s">
        <v>1021</v>
      </c>
    </row>
    <row r="278" spans="2:4">
      <c r="B278" s="2948" t="s">
        <v>3231</v>
      </c>
      <c r="C278" s="2194" t="s">
        <v>1283</v>
      </c>
      <c r="D278" s="2193" t="s">
        <v>1014</v>
      </c>
    </row>
    <row r="279" spans="2:4">
      <c r="B279" s="2948" t="s">
        <v>3232</v>
      </c>
      <c r="C279" s="2194" t="s">
        <v>1284</v>
      </c>
      <c r="D279" s="2193" t="s">
        <v>1051</v>
      </c>
    </row>
    <row r="280" spans="2:4">
      <c r="B280" s="2948" t="s">
        <v>3233</v>
      </c>
      <c r="C280" s="2194" t="s">
        <v>1285</v>
      </c>
      <c r="D280" s="2193" t="s">
        <v>1068</v>
      </c>
    </row>
    <row r="281" spans="2:4">
      <c r="B281" s="2948" t="s">
        <v>3234</v>
      </c>
      <c r="C281" s="2194" t="s">
        <v>1286</v>
      </c>
      <c r="D281" s="2193" t="s">
        <v>1028</v>
      </c>
    </row>
    <row r="282" spans="2:4">
      <c r="B282" s="2948" t="s">
        <v>3235</v>
      </c>
      <c r="C282" s="2194" t="s">
        <v>1287</v>
      </c>
      <c r="D282" s="2193" t="s">
        <v>1019</v>
      </c>
    </row>
    <row r="283" spans="2:4">
      <c r="B283" s="2948" t="s">
        <v>3236</v>
      </c>
      <c r="C283" s="2194" t="s">
        <v>1288</v>
      </c>
      <c r="D283" s="2193" t="s">
        <v>4036</v>
      </c>
    </row>
    <row r="284" spans="2:4">
      <c r="B284" s="2948" t="s">
        <v>2344</v>
      </c>
      <c r="C284" s="2194" t="s">
        <v>1289</v>
      </c>
      <c r="D284" s="2193" t="s">
        <v>1014</v>
      </c>
    </row>
    <row r="285" spans="2:4">
      <c r="B285" s="2948" t="s">
        <v>3237</v>
      </c>
      <c r="C285" s="2194" t="s">
        <v>1290</v>
      </c>
      <c r="D285" s="2193" t="s">
        <v>1051</v>
      </c>
    </row>
    <row r="286" spans="2:4">
      <c r="B286" s="2948" t="s">
        <v>3238</v>
      </c>
      <c r="C286" s="2194" t="s">
        <v>1291</v>
      </c>
      <c r="D286" s="2193" t="s">
        <v>1044</v>
      </c>
    </row>
    <row r="287" spans="2:4">
      <c r="B287" s="2948" t="s">
        <v>3239</v>
      </c>
      <c r="C287" s="2194" t="s">
        <v>1292</v>
      </c>
      <c r="D287" s="2193" t="s">
        <v>4036</v>
      </c>
    </row>
    <row r="288" spans="2:4">
      <c r="B288" s="2948" t="s">
        <v>3240</v>
      </c>
      <c r="C288" s="2194" t="s">
        <v>1293</v>
      </c>
      <c r="D288" s="2193" t="s">
        <v>1003</v>
      </c>
    </row>
    <row r="289" spans="2:4">
      <c r="B289" s="2948" t="s">
        <v>3241</v>
      </c>
      <c r="C289" s="2194" t="s">
        <v>1294</v>
      </c>
      <c r="D289" s="2193" t="s">
        <v>1044</v>
      </c>
    </row>
    <row r="290" spans="2:4">
      <c r="B290" s="2948" t="s">
        <v>4051</v>
      </c>
      <c r="C290" s="2194" t="s">
        <v>1295</v>
      </c>
      <c r="D290" s="2193" t="s">
        <v>1014</v>
      </c>
    </row>
    <row r="291" spans="2:4">
      <c r="B291" s="2948" t="s">
        <v>3242</v>
      </c>
      <c r="C291" s="2194" t="s">
        <v>1296</v>
      </c>
      <c r="D291" s="2193" t="s">
        <v>1019</v>
      </c>
    </row>
    <row r="292" spans="2:4">
      <c r="B292" s="2948" t="s">
        <v>3243</v>
      </c>
      <c r="C292" s="2194" t="s">
        <v>1297</v>
      </c>
      <c r="D292" s="2193" t="s">
        <v>1016</v>
      </c>
    </row>
    <row r="293" spans="2:4">
      <c r="B293" s="2948" t="s">
        <v>3244</v>
      </c>
      <c r="C293" s="2194" t="s">
        <v>1298</v>
      </c>
      <c r="D293" s="2193" t="s">
        <v>1019</v>
      </c>
    </row>
    <row r="294" spans="2:4">
      <c r="B294" s="2948" t="s">
        <v>3245</v>
      </c>
      <c r="C294" s="2194" t="s">
        <v>1299</v>
      </c>
      <c r="D294" s="2193" t="s">
        <v>1003</v>
      </c>
    </row>
    <row r="295" spans="2:4">
      <c r="B295" s="2948" t="s">
        <v>3246</v>
      </c>
      <c r="C295" s="2194" t="s">
        <v>1300</v>
      </c>
      <c r="D295" s="2193" t="s">
        <v>1019</v>
      </c>
    </row>
    <row r="296" spans="2:4">
      <c r="B296" s="2948" t="s">
        <v>3247</v>
      </c>
      <c r="C296" s="2194" t="s">
        <v>1301</v>
      </c>
      <c r="D296" s="2193" t="s">
        <v>1051</v>
      </c>
    </row>
    <row r="297" spans="2:4">
      <c r="B297" s="2948" t="s">
        <v>3248</v>
      </c>
      <c r="C297" s="2194" t="s">
        <v>1302</v>
      </c>
      <c r="D297" s="2193" t="s">
        <v>1007</v>
      </c>
    </row>
    <row r="298" spans="2:4">
      <c r="B298" s="2948" t="s">
        <v>3249</v>
      </c>
      <c r="C298" s="2194" t="s">
        <v>1303</v>
      </c>
      <c r="D298" s="2193" t="s">
        <v>1007</v>
      </c>
    </row>
    <row r="299" spans="2:4">
      <c r="B299" s="2948" t="s">
        <v>3250</v>
      </c>
      <c r="C299" s="2194" t="s">
        <v>1304</v>
      </c>
      <c r="D299" s="2193" t="s">
        <v>1019</v>
      </c>
    </row>
    <row r="300" spans="2:4">
      <c r="B300" s="2948" t="s">
        <v>3251</v>
      </c>
      <c r="C300" s="2194" t="s">
        <v>1305</v>
      </c>
      <c r="D300" s="2193" t="s">
        <v>1003</v>
      </c>
    </row>
    <row r="301" spans="2:4">
      <c r="B301" s="2948" t="s">
        <v>3252</v>
      </c>
      <c r="C301" s="2194" t="s">
        <v>1306</v>
      </c>
      <c r="D301" s="2193" t="s">
        <v>1005</v>
      </c>
    </row>
    <row r="302" spans="2:4">
      <c r="B302" s="2948" t="s">
        <v>3253</v>
      </c>
      <c r="C302" s="2194" t="s">
        <v>1307</v>
      </c>
      <c r="D302" s="2193" t="s">
        <v>1007</v>
      </c>
    </row>
    <row r="303" spans="2:4">
      <c r="B303" s="2948" t="s">
        <v>3254</v>
      </c>
      <c r="C303" s="2194" t="s">
        <v>1308</v>
      </c>
      <c r="D303" s="2193" t="s">
        <v>1019</v>
      </c>
    </row>
    <row r="304" spans="2:4">
      <c r="B304" s="2948" t="s">
        <v>3255</v>
      </c>
      <c r="C304" s="2194" t="s">
        <v>1309</v>
      </c>
      <c r="D304" s="2193" t="s">
        <v>1016</v>
      </c>
    </row>
    <row r="305" spans="2:4">
      <c r="B305" s="2948" t="s">
        <v>3256</v>
      </c>
      <c r="C305" s="2194" t="s">
        <v>1310</v>
      </c>
      <c r="D305" s="2193" t="s">
        <v>1044</v>
      </c>
    </row>
    <row r="306" spans="2:4">
      <c r="B306" s="2948" t="s">
        <v>3257</v>
      </c>
      <c r="C306" s="2194" t="s">
        <v>1311</v>
      </c>
      <c r="D306" s="2193" t="s">
        <v>1019</v>
      </c>
    </row>
    <row r="307" spans="2:4">
      <c r="B307" s="2948" t="s">
        <v>3258</v>
      </c>
      <c r="C307" s="2194" t="s">
        <v>1312</v>
      </c>
      <c r="D307" s="2193" t="s">
        <v>1044</v>
      </c>
    </row>
    <row r="308" spans="2:4">
      <c r="B308" s="2948" t="s">
        <v>3259</v>
      </c>
      <c r="C308" s="2194" t="s">
        <v>1313</v>
      </c>
      <c r="D308" s="2193" t="s">
        <v>1016</v>
      </c>
    </row>
    <row r="309" spans="2:4">
      <c r="B309" s="2948" t="s">
        <v>3260</v>
      </c>
      <c r="C309" s="2194" t="s">
        <v>1314</v>
      </c>
      <c r="D309" s="2193" t="s">
        <v>1019</v>
      </c>
    </row>
    <row r="310" spans="2:4">
      <c r="B310" s="2948" t="s">
        <v>3261</v>
      </c>
      <c r="C310" s="2194" t="s">
        <v>1315</v>
      </c>
      <c r="D310" s="2193" t="s">
        <v>1019</v>
      </c>
    </row>
    <row r="311" spans="2:4">
      <c r="B311" s="2948" t="s">
        <v>3262</v>
      </c>
      <c r="C311" s="2194" t="s">
        <v>1316</v>
      </c>
      <c r="D311" s="2193" t="s">
        <v>1021</v>
      </c>
    </row>
    <row r="312" spans="2:4">
      <c r="B312" s="2948" t="s">
        <v>3263</v>
      </c>
      <c r="C312" s="2194" t="s">
        <v>1317</v>
      </c>
      <c r="D312" s="2193" t="s">
        <v>4036</v>
      </c>
    </row>
    <row r="313" spans="2:4">
      <c r="B313" s="2948" t="s">
        <v>3264</v>
      </c>
      <c r="C313" s="2194" t="s">
        <v>1318</v>
      </c>
      <c r="D313" s="2193" t="s">
        <v>1003</v>
      </c>
    </row>
    <row r="314" spans="2:4">
      <c r="B314" s="2948" t="s">
        <v>3265</v>
      </c>
      <c r="C314" s="2194" t="s">
        <v>1319</v>
      </c>
      <c r="D314" s="2193" t="s">
        <v>1044</v>
      </c>
    </row>
    <row r="315" spans="2:4">
      <c r="B315" s="2948" t="s">
        <v>3266</v>
      </c>
      <c r="C315" s="2194" t="s">
        <v>1320</v>
      </c>
      <c r="D315" s="2193" t="s">
        <v>1021</v>
      </c>
    </row>
    <row r="316" spans="2:4">
      <c r="B316" s="2948" t="s">
        <v>3267</v>
      </c>
      <c r="C316" s="2194" t="s">
        <v>1321</v>
      </c>
      <c r="D316" s="2193" t="s">
        <v>1044</v>
      </c>
    </row>
    <row r="317" spans="2:4">
      <c r="B317" s="2948" t="s">
        <v>3268</v>
      </c>
      <c r="C317" s="2194" t="s">
        <v>1321</v>
      </c>
      <c r="D317" s="2193" t="s">
        <v>1016</v>
      </c>
    </row>
    <row r="318" spans="2:4">
      <c r="B318" s="2948" t="s">
        <v>3269</v>
      </c>
      <c r="C318" s="2194" t="s">
        <v>1322</v>
      </c>
      <c r="D318" s="2193" t="s">
        <v>1068</v>
      </c>
    </row>
    <row r="319" spans="2:4">
      <c r="B319" s="2948" t="s">
        <v>3270</v>
      </c>
      <c r="C319" s="2194" t="s">
        <v>1323</v>
      </c>
      <c r="D319" s="2193" t="s">
        <v>4036</v>
      </c>
    </row>
    <row r="320" spans="2:4">
      <c r="B320" s="2948" t="s">
        <v>3271</v>
      </c>
      <c r="C320" s="2194" t="s">
        <v>1324</v>
      </c>
      <c r="D320" s="2193" t="s">
        <v>1019</v>
      </c>
    </row>
    <row r="321" spans="2:4">
      <c r="B321" s="2948" t="s">
        <v>3272</v>
      </c>
      <c r="C321" s="2194" t="s">
        <v>1325</v>
      </c>
      <c r="D321" s="2193" t="s">
        <v>4036</v>
      </c>
    </row>
    <row r="322" spans="2:4">
      <c r="B322" s="2948" t="s">
        <v>3273</v>
      </c>
      <c r="C322" s="2194" t="s">
        <v>1326</v>
      </c>
      <c r="D322" s="2193" t="s">
        <v>1019</v>
      </c>
    </row>
    <row r="323" spans="2:4">
      <c r="B323" s="2948" t="s">
        <v>3274</v>
      </c>
      <c r="C323" s="2194" t="s">
        <v>1327</v>
      </c>
      <c r="D323" s="2193" t="s">
        <v>4036</v>
      </c>
    </row>
    <row r="324" spans="2:4">
      <c r="B324" s="2948" t="s">
        <v>2337</v>
      </c>
      <c r="C324" s="2194" t="s">
        <v>1328</v>
      </c>
      <c r="D324" s="2193" t="s">
        <v>4037</v>
      </c>
    </row>
    <row r="325" spans="2:4">
      <c r="B325" s="2948" t="s">
        <v>3275</v>
      </c>
      <c r="C325" s="2194" t="s">
        <v>1329</v>
      </c>
      <c r="D325" s="2193" t="s">
        <v>1068</v>
      </c>
    </row>
    <row r="326" spans="2:4">
      <c r="B326" s="2948" t="s">
        <v>3276</v>
      </c>
      <c r="C326" s="2194" t="s">
        <v>1330</v>
      </c>
      <c r="D326" s="2193" t="s">
        <v>1021</v>
      </c>
    </row>
    <row r="327" spans="2:4">
      <c r="B327" s="2948" t="s">
        <v>3277</v>
      </c>
      <c r="C327" s="2194" t="s">
        <v>1331</v>
      </c>
      <c r="D327" s="2193" t="s">
        <v>1021</v>
      </c>
    </row>
    <row r="328" spans="2:4">
      <c r="B328" s="2948" t="s">
        <v>3278</v>
      </c>
      <c r="C328" s="2194" t="s">
        <v>1332</v>
      </c>
      <c r="D328" s="2193" t="s">
        <v>1007</v>
      </c>
    </row>
    <row r="329" spans="2:4">
      <c r="B329" s="2948" t="s">
        <v>3279</v>
      </c>
      <c r="C329" s="2194" t="s">
        <v>1333</v>
      </c>
      <c r="D329" s="2193" t="s">
        <v>1028</v>
      </c>
    </row>
    <row r="330" spans="2:4">
      <c r="B330" s="2948" t="s">
        <v>3280</v>
      </c>
      <c r="C330" s="2194" t="s">
        <v>1334</v>
      </c>
      <c r="D330" s="2193" t="s">
        <v>1335</v>
      </c>
    </row>
    <row r="331" spans="2:4">
      <c r="B331" s="2948" t="s">
        <v>3281</v>
      </c>
      <c r="C331" s="2194" t="s">
        <v>1336</v>
      </c>
      <c r="D331" s="2193" t="s">
        <v>1068</v>
      </c>
    </row>
    <row r="332" spans="2:4">
      <c r="B332" s="2948" t="s">
        <v>3282</v>
      </c>
      <c r="C332" s="2194" t="s">
        <v>1337</v>
      </c>
      <c r="D332" s="2193" t="s">
        <v>1028</v>
      </c>
    </row>
    <row r="333" spans="2:4">
      <c r="B333" s="2948" t="s">
        <v>3283</v>
      </c>
      <c r="C333" s="2194" t="s">
        <v>1338</v>
      </c>
      <c r="D333" s="2193" t="s">
        <v>1021</v>
      </c>
    </row>
    <row r="334" spans="2:4">
      <c r="B334" s="2948" t="s">
        <v>3284</v>
      </c>
      <c r="C334" s="2194" t="s">
        <v>1339</v>
      </c>
      <c r="D334" s="2193" t="s">
        <v>1003</v>
      </c>
    </row>
    <row r="335" spans="2:4">
      <c r="B335" s="2948" t="s">
        <v>3285</v>
      </c>
      <c r="C335" s="2194" t="s">
        <v>1340</v>
      </c>
      <c r="D335" s="2193" t="s">
        <v>1011</v>
      </c>
    </row>
    <row r="336" spans="2:4">
      <c r="B336" s="2948" t="s">
        <v>3289</v>
      </c>
      <c r="C336" s="2194" t="s">
        <v>1341</v>
      </c>
      <c r="D336" s="2193" t="s">
        <v>1007</v>
      </c>
    </row>
    <row r="337" spans="2:4">
      <c r="B337" s="2948" t="s">
        <v>3286</v>
      </c>
      <c r="C337" s="2194" t="s">
        <v>1342</v>
      </c>
      <c r="D337" s="2193" t="s">
        <v>1028</v>
      </c>
    </row>
    <row r="338" spans="2:4">
      <c r="B338" s="2948" t="s">
        <v>3287</v>
      </c>
      <c r="C338" s="2194" t="s">
        <v>1343</v>
      </c>
      <c r="D338" s="2193" t="s">
        <v>1014</v>
      </c>
    </row>
    <row r="339" spans="2:4">
      <c r="B339" s="2948" t="s">
        <v>3288</v>
      </c>
      <c r="C339" s="2194" t="s">
        <v>1344</v>
      </c>
      <c r="D339" s="2193" t="s">
        <v>1028</v>
      </c>
    </row>
    <row r="340" spans="2:4">
      <c r="B340" s="2948" t="s">
        <v>3290</v>
      </c>
      <c r="C340" s="2194" t="s">
        <v>1345</v>
      </c>
      <c r="D340" s="2193" t="s">
        <v>1068</v>
      </c>
    </row>
    <row r="341" spans="2:4">
      <c r="B341" s="2948" t="s">
        <v>3291</v>
      </c>
      <c r="C341" s="2194" t="s">
        <v>1346</v>
      </c>
      <c r="D341" s="2193" t="s">
        <v>1005</v>
      </c>
    </row>
    <row r="342" spans="2:4">
      <c r="B342" s="2948" t="s">
        <v>3315</v>
      </c>
      <c r="C342" s="2194" t="s">
        <v>1347</v>
      </c>
      <c r="D342" s="2193" t="s">
        <v>1009</v>
      </c>
    </row>
    <row r="343" spans="2:4">
      <c r="B343" s="2948" t="s">
        <v>3316</v>
      </c>
      <c r="C343" s="2194" t="s">
        <v>1348</v>
      </c>
      <c r="D343" s="2193" t="s">
        <v>1005</v>
      </c>
    </row>
    <row r="344" spans="2:4">
      <c r="B344" s="2948" t="s">
        <v>3317</v>
      </c>
      <c r="C344" s="2194" t="s">
        <v>1349</v>
      </c>
      <c r="D344" s="2193" t="s">
        <v>1005</v>
      </c>
    </row>
    <row r="345" spans="2:4">
      <c r="B345" s="2948" t="s">
        <v>3318</v>
      </c>
      <c r="C345" s="2194" t="s">
        <v>1350</v>
      </c>
      <c r="D345" s="2193" t="s">
        <v>1044</v>
      </c>
    </row>
    <row r="346" spans="2:4">
      <c r="B346" s="2948" t="s">
        <v>3319</v>
      </c>
      <c r="C346" s="2194" t="s">
        <v>1351</v>
      </c>
      <c r="D346" s="2193" t="s">
        <v>1009</v>
      </c>
    </row>
    <row r="347" spans="2:4">
      <c r="B347" s="2948" t="s">
        <v>2366</v>
      </c>
      <c r="C347" s="2194" t="s">
        <v>1352</v>
      </c>
      <c r="D347" s="2193" t="s">
        <v>1014</v>
      </c>
    </row>
    <row r="348" spans="2:4">
      <c r="B348" s="2948" t="s">
        <v>2301</v>
      </c>
      <c r="C348" s="2194" t="s">
        <v>1353</v>
      </c>
      <c r="D348" s="2193" t="s">
        <v>4037</v>
      </c>
    </row>
    <row r="349" spans="2:4">
      <c r="B349" s="2948" t="s">
        <v>2354</v>
      </c>
      <c r="C349" s="2194" t="s">
        <v>1354</v>
      </c>
      <c r="D349" s="2193" t="s">
        <v>1014</v>
      </c>
    </row>
    <row r="350" spans="2:4">
      <c r="B350" s="2948" t="s">
        <v>3320</v>
      </c>
      <c r="C350" s="2194" t="s">
        <v>1355</v>
      </c>
      <c r="D350" s="2193" t="s">
        <v>1007</v>
      </c>
    </row>
    <row r="351" spans="2:4">
      <c r="B351" s="2948" t="s">
        <v>3321</v>
      </c>
      <c r="C351" s="2194" t="s">
        <v>1356</v>
      </c>
      <c r="D351" s="2193" t="s">
        <v>1005</v>
      </c>
    </row>
    <row r="352" spans="2:4">
      <c r="B352" s="2948" t="s">
        <v>3322</v>
      </c>
      <c r="C352" s="2194" t="s">
        <v>1357</v>
      </c>
      <c r="D352" s="2193" t="s">
        <v>1009</v>
      </c>
    </row>
    <row r="353" spans="2:4">
      <c r="B353" s="2948" t="s">
        <v>3323</v>
      </c>
      <c r="C353" s="2194" t="s">
        <v>1358</v>
      </c>
      <c r="D353" s="2193" t="s">
        <v>1041</v>
      </c>
    </row>
    <row r="354" spans="2:4">
      <c r="B354" s="2948" t="s">
        <v>3324</v>
      </c>
      <c r="C354" s="2194" t="s">
        <v>1359</v>
      </c>
      <c r="D354" s="2193" t="s">
        <v>1016</v>
      </c>
    </row>
    <row r="355" spans="2:4">
      <c r="B355" s="2948" t="s">
        <v>3325</v>
      </c>
      <c r="C355" s="2194" t="s">
        <v>1360</v>
      </c>
      <c r="D355" s="2193" t="s">
        <v>1005</v>
      </c>
    </row>
    <row r="356" spans="2:4">
      <c r="B356" s="2948" t="s">
        <v>3326</v>
      </c>
      <c r="C356" s="2194" t="s">
        <v>1361</v>
      </c>
      <c r="D356" s="2193" t="s">
        <v>1003</v>
      </c>
    </row>
    <row r="357" spans="2:4">
      <c r="B357" s="2948" t="s">
        <v>3327</v>
      </c>
      <c r="C357" s="2194" t="s">
        <v>1362</v>
      </c>
      <c r="D357" s="2193" t="s">
        <v>1016</v>
      </c>
    </row>
    <row r="358" spans="2:4">
      <c r="B358" s="2948" t="s">
        <v>3328</v>
      </c>
      <c r="C358" s="2194" t="s">
        <v>1363</v>
      </c>
      <c r="D358" s="2193" t="s">
        <v>1044</v>
      </c>
    </row>
    <row r="359" spans="2:4">
      <c r="B359" s="2948" t="s">
        <v>3329</v>
      </c>
      <c r="C359" s="2194" t="s">
        <v>1364</v>
      </c>
      <c r="D359" s="2193" t="s">
        <v>1007</v>
      </c>
    </row>
    <row r="360" spans="2:4">
      <c r="B360" s="2948" t="s">
        <v>3330</v>
      </c>
      <c r="C360" s="2194" t="s">
        <v>1365</v>
      </c>
      <c r="D360" s="2193" t="s">
        <v>1014</v>
      </c>
    </row>
    <row r="361" spans="2:4">
      <c r="B361" s="2948" t="s">
        <v>3331</v>
      </c>
      <c r="C361" s="2194" t="s">
        <v>1366</v>
      </c>
      <c r="D361" s="2193" t="s">
        <v>1016</v>
      </c>
    </row>
    <row r="362" spans="2:4">
      <c r="B362" s="2948" t="s">
        <v>3332</v>
      </c>
      <c r="C362" s="2194" t="s">
        <v>1367</v>
      </c>
      <c r="D362" s="2193" t="s">
        <v>1016</v>
      </c>
    </row>
    <row r="363" spans="2:4">
      <c r="B363" s="2948" t="s">
        <v>3333</v>
      </c>
      <c r="C363" s="2194" t="s">
        <v>1368</v>
      </c>
      <c r="D363" s="2193" t="s">
        <v>1016</v>
      </c>
    </row>
    <row r="364" spans="2:4">
      <c r="B364" s="2948" t="s">
        <v>3334</v>
      </c>
      <c r="C364" s="2194" t="s">
        <v>1369</v>
      </c>
      <c r="D364" s="2193" t="s">
        <v>1009</v>
      </c>
    </row>
    <row r="365" spans="2:4">
      <c r="B365" s="2948" t="s">
        <v>3335</v>
      </c>
      <c r="C365" s="2194" t="s">
        <v>1370</v>
      </c>
      <c r="D365" s="2193" t="s">
        <v>1009</v>
      </c>
    </row>
    <row r="366" spans="2:4">
      <c r="B366" s="2948" t="s">
        <v>3336</v>
      </c>
      <c r="C366" s="2194" t="s">
        <v>1371</v>
      </c>
      <c r="D366" s="2193" t="s">
        <v>1005</v>
      </c>
    </row>
    <row r="367" spans="2:4">
      <c r="B367" s="2948" t="s">
        <v>3337</v>
      </c>
      <c r="C367" s="2194" t="s">
        <v>1372</v>
      </c>
      <c r="D367" s="2193" t="s">
        <v>1019</v>
      </c>
    </row>
    <row r="368" spans="2:4">
      <c r="B368" s="2948" t="s">
        <v>3338</v>
      </c>
      <c r="C368" s="2194" t="s">
        <v>1373</v>
      </c>
      <c r="D368" s="2193" t="s">
        <v>1021</v>
      </c>
    </row>
    <row r="369" spans="2:4">
      <c r="B369" s="2948" t="s">
        <v>3339</v>
      </c>
      <c r="C369" s="2194" t="s">
        <v>1374</v>
      </c>
      <c r="D369" s="2193" t="s">
        <v>1007</v>
      </c>
    </row>
    <row r="370" spans="2:4">
      <c r="B370" s="2948" t="s">
        <v>3340</v>
      </c>
      <c r="C370" s="2194" t="s">
        <v>1375</v>
      </c>
      <c r="D370" s="2193" t="s">
        <v>1051</v>
      </c>
    </row>
    <row r="371" spans="2:4">
      <c r="B371" s="2948" t="s">
        <v>3341</v>
      </c>
      <c r="C371" s="2194" t="s">
        <v>1376</v>
      </c>
      <c r="D371" s="2193" t="s">
        <v>1016</v>
      </c>
    </row>
    <row r="372" spans="2:4">
      <c r="B372" s="2948" t="s">
        <v>3342</v>
      </c>
      <c r="C372" s="2194" t="s">
        <v>1377</v>
      </c>
      <c r="D372" s="2193" t="s">
        <v>1028</v>
      </c>
    </row>
    <row r="373" spans="2:4">
      <c r="B373" s="2948" t="s">
        <v>3343</v>
      </c>
      <c r="C373" s="2194" t="s">
        <v>1378</v>
      </c>
      <c r="D373" s="2193" t="s">
        <v>1021</v>
      </c>
    </row>
    <row r="374" spans="2:4">
      <c r="B374" s="2948" t="s">
        <v>3344</v>
      </c>
      <c r="C374" s="2194" t="s">
        <v>1379</v>
      </c>
      <c r="D374" s="2193" t="s">
        <v>1028</v>
      </c>
    </row>
    <row r="375" spans="2:4">
      <c r="B375" s="2948" t="s">
        <v>3345</v>
      </c>
      <c r="C375" s="2194" t="s">
        <v>1380</v>
      </c>
      <c r="D375" s="2193" t="s">
        <v>1003</v>
      </c>
    </row>
    <row r="376" spans="2:4">
      <c r="B376" s="2948" t="s">
        <v>3346</v>
      </c>
      <c r="C376" s="2194" t="s">
        <v>1381</v>
      </c>
      <c r="D376" s="2193" t="s">
        <v>1021</v>
      </c>
    </row>
    <row r="377" spans="2:4">
      <c r="B377" s="2948" t="s">
        <v>3347</v>
      </c>
      <c r="C377" s="2194" t="s">
        <v>1382</v>
      </c>
      <c r="D377" s="2193" t="s">
        <v>1068</v>
      </c>
    </row>
    <row r="378" spans="2:4">
      <c r="B378" s="2948" t="s">
        <v>3348</v>
      </c>
      <c r="C378" s="2194" t="s">
        <v>1383</v>
      </c>
      <c r="D378" s="2193" t="s">
        <v>1016</v>
      </c>
    </row>
    <row r="379" spans="2:4">
      <c r="B379" s="2948" t="s">
        <v>3349</v>
      </c>
      <c r="C379" s="2194" t="s">
        <v>1384</v>
      </c>
      <c r="D379" s="2193" t="s">
        <v>1028</v>
      </c>
    </row>
    <row r="380" spans="2:4">
      <c r="B380" s="2948" t="s">
        <v>3350</v>
      </c>
      <c r="C380" s="2194" t="s">
        <v>1385</v>
      </c>
      <c r="D380" s="2193" t="s">
        <v>1016</v>
      </c>
    </row>
    <row r="381" spans="2:4">
      <c r="B381" s="2948" t="s">
        <v>2328</v>
      </c>
      <c r="C381" s="2194" t="s">
        <v>1386</v>
      </c>
      <c r="D381" s="2193" t="s">
        <v>4037</v>
      </c>
    </row>
    <row r="382" spans="2:4">
      <c r="B382" s="2948" t="s">
        <v>3351</v>
      </c>
      <c r="C382" s="2194" t="s">
        <v>1387</v>
      </c>
      <c r="D382" s="2193" t="s">
        <v>1003</v>
      </c>
    </row>
    <row r="383" spans="2:4">
      <c r="B383" s="2948" t="s">
        <v>3352</v>
      </c>
      <c r="C383" s="2194" t="s">
        <v>1388</v>
      </c>
      <c r="D383" s="2193" t="s">
        <v>1005</v>
      </c>
    </row>
    <row r="384" spans="2:4">
      <c r="B384" s="2948" t="s">
        <v>2315</v>
      </c>
      <c r="C384" s="2194" t="s">
        <v>1389</v>
      </c>
      <c r="D384" s="2193" t="s">
        <v>4037</v>
      </c>
    </row>
    <row r="385" spans="2:4">
      <c r="B385" s="2948" t="s">
        <v>3353</v>
      </c>
      <c r="C385" s="2194" t="s">
        <v>1390</v>
      </c>
      <c r="D385" s="2193" t="s">
        <v>1003</v>
      </c>
    </row>
    <row r="386" spans="2:4">
      <c r="B386" s="2948" t="s">
        <v>3354</v>
      </c>
      <c r="C386" s="2194" t="s">
        <v>1391</v>
      </c>
      <c r="D386" s="2193" t="s">
        <v>1003</v>
      </c>
    </row>
    <row r="387" spans="2:4">
      <c r="B387" s="2948" t="s">
        <v>3355</v>
      </c>
      <c r="C387" s="2194" t="s">
        <v>1392</v>
      </c>
      <c r="D387" s="2193" t="s">
        <v>1068</v>
      </c>
    </row>
    <row r="388" spans="2:4">
      <c r="B388" s="2948" t="s">
        <v>3356</v>
      </c>
      <c r="C388" s="2194" t="s">
        <v>1393</v>
      </c>
      <c r="D388" s="2193" t="s">
        <v>1051</v>
      </c>
    </row>
    <row r="389" spans="2:4">
      <c r="B389" s="2948" t="s">
        <v>3357</v>
      </c>
      <c r="C389" s="2194" t="s">
        <v>1394</v>
      </c>
      <c r="D389" s="2193" t="s">
        <v>1005</v>
      </c>
    </row>
    <row r="390" spans="2:4">
      <c r="B390" s="2948" t="s">
        <v>3358</v>
      </c>
      <c r="C390" s="2194" t="s">
        <v>1395</v>
      </c>
      <c r="D390" s="2193" t="s">
        <v>1011</v>
      </c>
    </row>
    <row r="391" spans="2:4">
      <c r="B391" s="2948" t="s">
        <v>2361</v>
      </c>
      <c r="C391" s="2194" t="s">
        <v>1396</v>
      </c>
      <c r="D391" s="2193" t="s">
        <v>1014</v>
      </c>
    </row>
    <row r="392" spans="2:4">
      <c r="B392" s="2948" t="s">
        <v>2334</v>
      </c>
      <c r="C392" s="2194" t="s">
        <v>1397</v>
      </c>
      <c r="D392" s="2193" t="s">
        <v>4037</v>
      </c>
    </row>
    <row r="393" spans="2:4">
      <c r="B393" s="2948" t="s">
        <v>3359</v>
      </c>
      <c r="C393" s="2194" t="s">
        <v>1398</v>
      </c>
      <c r="D393" s="2193" t="s">
        <v>1016</v>
      </c>
    </row>
    <row r="394" spans="2:4">
      <c r="B394" s="2948" t="s">
        <v>3360</v>
      </c>
      <c r="C394" s="2194" t="s">
        <v>1399</v>
      </c>
      <c r="D394" s="2193" t="s">
        <v>1005</v>
      </c>
    </row>
    <row r="395" spans="2:4">
      <c r="B395" s="2948" t="s">
        <v>3361</v>
      </c>
      <c r="C395" s="2194" t="s">
        <v>1400</v>
      </c>
      <c r="D395" s="2193" t="s">
        <v>1003</v>
      </c>
    </row>
    <row r="396" spans="2:4">
      <c r="B396" s="2948" t="s">
        <v>3362</v>
      </c>
      <c r="C396" s="2194" t="s">
        <v>1401</v>
      </c>
      <c r="D396" s="2193" t="s">
        <v>1005</v>
      </c>
    </row>
    <row r="397" spans="2:4">
      <c r="B397" s="2948" t="s">
        <v>3363</v>
      </c>
      <c r="C397" s="2194" t="s">
        <v>1402</v>
      </c>
      <c r="D397" s="2193" t="s">
        <v>1016</v>
      </c>
    </row>
    <row r="398" spans="2:4">
      <c r="B398" s="2948" t="s">
        <v>3364</v>
      </c>
      <c r="C398" s="2194" t="s">
        <v>1403</v>
      </c>
      <c r="D398" s="2193" t="s">
        <v>4036</v>
      </c>
    </row>
    <row r="399" spans="2:4">
      <c r="B399" s="2948" t="s">
        <v>2372</v>
      </c>
      <c r="C399" s="2194" t="s">
        <v>1404</v>
      </c>
      <c r="D399" s="2193" t="s">
        <v>1014</v>
      </c>
    </row>
    <row r="400" spans="2:4">
      <c r="B400" s="2948" t="s">
        <v>3365</v>
      </c>
      <c r="C400" s="2194" t="s">
        <v>1405</v>
      </c>
      <c r="D400" s="2193" t="s">
        <v>1003</v>
      </c>
    </row>
    <row r="401" spans="2:4">
      <c r="B401" s="2948" t="s">
        <v>3366</v>
      </c>
      <c r="C401" s="2194" t="s">
        <v>1406</v>
      </c>
      <c r="D401" s="2193" t="s">
        <v>1019</v>
      </c>
    </row>
    <row r="402" spans="2:4">
      <c r="B402" s="2948" t="s">
        <v>3367</v>
      </c>
      <c r="C402" s="2194" t="s">
        <v>1407</v>
      </c>
      <c r="D402" s="2193" t="s">
        <v>1019</v>
      </c>
    </row>
    <row r="403" spans="2:4">
      <c r="B403" s="2948" t="s">
        <v>3368</v>
      </c>
      <c r="C403" s="2194" t="s">
        <v>1408</v>
      </c>
      <c r="D403" s="2193" t="s">
        <v>1011</v>
      </c>
    </row>
    <row r="404" spans="2:4">
      <c r="B404" s="2948" t="s">
        <v>3369</v>
      </c>
      <c r="C404" s="2194" t="s">
        <v>1409</v>
      </c>
      <c r="D404" s="2193" t="s">
        <v>1021</v>
      </c>
    </row>
    <row r="405" spans="2:4">
      <c r="B405" s="2948" t="s">
        <v>3370</v>
      </c>
      <c r="C405" s="2194" t="s">
        <v>1410</v>
      </c>
      <c r="D405" s="2193" t="s">
        <v>1019</v>
      </c>
    </row>
    <row r="406" spans="2:4">
      <c r="B406" s="2948" t="s">
        <v>3371</v>
      </c>
      <c r="C406" s="2194" t="s">
        <v>1411</v>
      </c>
      <c r="D406" s="2193" t="s">
        <v>1019</v>
      </c>
    </row>
    <row r="407" spans="2:4">
      <c r="B407" s="2948" t="s">
        <v>3372</v>
      </c>
      <c r="C407" s="2194" t="s">
        <v>1412</v>
      </c>
      <c r="D407" s="2193" t="s">
        <v>1014</v>
      </c>
    </row>
    <row r="408" spans="2:4">
      <c r="B408" s="2948" t="s">
        <v>3373</v>
      </c>
      <c r="C408" s="2194" t="s">
        <v>1413</v>
      </c>
      <c r="D408" s="2193" t="s">
        <v>1016</v>
      </c>
    </row>
    <row r="409" spans="2:4">
      <c r="B409" s="2948" t="s">
        <v>3374</v>
      </c>
      <c r="C409" s="2194" t="s">
        <v>1414</v>
      </c>
      <c r="D409" s="2193" t="s">
        <v>1016</v>
      </c>
    </row>
    <row r="410" spans="2:4">
      <c r="B410" s="2948" t="s">
        <v>2377</v>
      </c>
      <c r="C410" s="2194" t="s">
        <v>1415</v>
      </c>
      <c r="D410" s="2193" t="s">
        <v>1014</v>
      </c>
    </row>
    <row r="411" spans="2:4">
      <c r="B411" s="2948" t="s">
        <v>3375</v>
      </c>
      <c r="C411" s="2194" t="s">
        <v>1416</v>
      </c>
      <c r="D411" s="2193" t="s">
        <v>1019</v>
      </c>
    </row>
    <row r="412" spans="2:4">
      <c r="B412" s="2948" t="s">
        <v>3376</v>
      </c>
      <c r="C412" s="2194" t="s">
        <v>1417</v>
      </c>
      <c r="D412" s="2193" t="s">
        <v>1007</v>
      </c>
    </row>
    <row r="413" spans="2:4">
      <c r="B413" s="2948" t="s">
        <v>3377</v>
      </c>
      <c r="C413" s="2194" t="s">
        <v>1418</v>
      </c>
      <c r="D413" s="2193" t="s">
        <v>1016</v>
      </c>
    </row>
    <row r="414" spans="2:4">
      <c r="B414" s="2948" t="s">
        <v>3378</v>
      </c>
      <c r="C414" s="2194" t="s">
        <v>1419</v>
      </c>
      <c r="D414" s="2193" t="s">
        <v>1041</v>
      </c>
    </row>
    <row r="415" spans="2:4">
      <c r="B415" s="2948" t="s">
        <v>3379</v>
      </c>
      <c r="C415" s="2194" t="s">
        <v>1420</v>
      </c>
      <c r="D415" s="2193" t="s">
        <v>1041</v>
      </c>
    </row>
    <row r="416" spans="2:4">
      <c r="B416" s="2948" t="s">
        <v>3380</v>
      </c>
      <c r="C416" s="2194" t="s">
        <v>1421</v>
      </c>
      <c r="D416" s="2193" t="s">
        <v>1041</v>
      </c>
    </row>
    <row r="417" spans="2:4">
      <c r="B417" s="2948" t="s">
        <v>3420</v>
      </c>
      <c r="C417" s="2194" t="s">
        <v>1422</v>
      </c>
      <c r="D417" s="2193" t="s">
        <v>1041</v>
      </c>
    </row>
    <row r="418" spans="2:4">
      <c r="B418" s="2948" t="s">
        <v>3381</v>
      </c>
      <c r="C418" s="2194" t="s">
        <v>1423</v>
      </c>
      <c r="D418" s="2193" t="s">
        <v>1005</v>
      </c>
    </row>
    <row r="419" spans="2:4">
      <c r="B419" s="2948" t="s">
        <v>3421</v>
      </c>
      <c r="C419" s="2194" t="s">
        <v>1424</v>
      </c>
      <c r="D419" s="2193" t="s">
        <v>1005</v>
      </c>
    </row>
    <row r="420" spans="2:4">
      <c r="B420" s="2948" t="s">
        <v>3382</v>
      </c>
      <c r="C420" s="2194" t="s">
        <v>1425</v>
      </c>
      <c r="D420" s="2193" t="s">
        <v>1019</v>
      </c>
    </row>
    <row r="421" spans="2:4">
      <c r="B421" s="2948" t="s">
        <v>2313</v>
      </c>
      <c r="C421" s="2194" t="s">
        <v>1426</v>
      </c>
      <c r="D421" s="2193" t="s">
        <v>4037</v>
      </c>
    </row>
    <row r="422" spans="2:4">
      <c r="B422" s="2948" t="s">
        <v>3383</v>
      </c>
      <c r="C422" s="2194" t="s">
        <v>1427</v>
      </c>
      <c r="D422" s="2193" t="s">
        <v>1019</v>
      </c>
    </row>
    <row r="423" spans="2:4">
      <c r="B423" s="2948" t="s">
        <v>3384</v>
      </c>
      <c r="C423" s="2194" t="s">
        <v>1428</v>
      </c>
      <c r="D423" s="2193" t="s">
        <v>1019</v>
      </c>
    </row>
    <row r="424" spans="2:4">
      <c r="B424" s="2948" t="s">
        <v>3385</v>
      </c>
      <c r="C424" s="2194" t="s">
        <v>1429</v>
      </c>
      <c r="D424" s="2193" t="s">
        <v>1016</v>
      </c>
    </row>
    <row r="425" spans="2:4">
      <c r="B425" s="2948" t="s">
        <v>2310</v>
      </c>
      <c r="C425" s="2194" t="s">
        <v>1430</v>
      </c>
      <c r="D425" s="2193" t="s">
        <v>4037</v>
      </c>
    </row>
    <row r="426" spans="2:4">
      <c r="B426" s="2948" t="s">
        <v>3386</v>
      </c>
      <c r="C426" s="2194" t="s">
        <v>1431</v>
      </c>
      <c r="D426" s="2193" t="s">
        <v>1016</v>
      </c>
    </row>
    <row r="427" spans="2:4">
      <c r="B427" s="2948" t="s">
        <v>3387</v>
      </c>
      <c r="C427" s="2194" t="s">
        <v>1432</v>
      </c>
      <c r="D427" s="2193" t="s">
        <v>1003</v>
      </c>
    </row>
    <row r="428" spans="2:4">
      <c r="B428" s="2948" t="s">
        <v>3388</v>
      </c>
      <c r="C428" s="2194" t="s">
        <v>1433</v>
      </c>
      <c r="D428" s="2193" t="s">
        <v>1005</v>
      </c>
    </row>
    <row r="429" spans="2:4">
      <c r="B429" s="2948" t="s">
        <v>3389</v>
      </c>
      <c r="C429" s="2194" t="s">
        <v>1434</v>
      </c>
      <c r="D429" s="2193" t="s">
        <v>1009</v>
      </c>
    </row>
    <row r="430" spans="2:4">
      <c r="B430" s="2948" t="s">
        <v>3390</v>
      </c>
      <c r="C430" s="2194" t="s">
        <v>1438</v>
      </c>
      <c r="D430" s="2193" t="s">
        <v>1021</v>
      </c>
    </row>
    <row r="431" spans="2:4">
      <c r="B431" s="2948" t="s">
        <v>3391</v>
      </c>
      <c r="C431" s="2194" t="s">
        <v>1439</v>
      </c>
      <c r="D431" s="2193" t="s">
        <v>1011</v>
      </c>
    </row>
    <row r="432" spans="2:4">
      <c r="B432" s="2948" t="s">
        <v>3392</v>
      </c>
      <c r="C432" s="2194" t="s">
        <v>1440</v>
      </c>
      <c r="D432" s="2193" t="s">
        <v>1044</v>
      </c>
    </row>
    <row r="433" spans="2:4">
      <c r="B433" s="2948" t="s">
        <v>2323</v>
      </c>
      <c r="C433" s="2194" t="s">
        <v>1441</v>
      </c>
      <c r="D433" s="2193" t="s">
        <v>4037</v>
      </c>
    </row>
    <row r="434" spans="2:4">
      <c r="B434" s="2948" t="s">
        <v>2327</v>
      </c>
      <c r="C434" s="2194" t="s">
        <v>1442</v>
      </c>
      <c r="D434" s="2193" t="s">
        <v>4037</v>
      </c>
    </row>
    <row r="435" spans="2:4">
      <c r="B435" s="2948" t="s">
        <v>3393</v>
      </c>
      <c r="C435" s="2194" t="s">
        <v>1443</v>
      </c>
      <c r="D435" s="2193" t="s">
        <v>1003</v>
      </c>
    </row>
    <row r="436" spans="2:4">
      <c r="B436" s="2948" t="s">
        <v>3394</v>
      </c>
      <c r="C436" s="2194" t="s">
        <v>1444</v>
      </c>
      <c r="D436" s="2193" t="s">
        <v>1028</v>
      </c>
    </row>
    <row r="437" spans="2:4">
      <c r="B437" s="2948" t="s">
        <v>3395</v>
      </c>
      <c r="C437" s="2194" t="s">
        <v>1445</v>
      </c>
      <c r="D437" s="2193" t="s">
        <v>1019</v>
      </c>
    </row>
    <row r="438" spans="2:4">
      <c r="B438" s="2948" t="s">
        <v>3396</v>
      </c>
      <c r="C438" s="2194" t="s">
        <v>1446</v>
      </c>
      <c r="D438" s="2193" t="s">
        <v>4036</v>
      </c>
    </row>
    <row r="439" spans="2:4">
      <c r="B439" s="2948" t="s">
        <v>3397</v>
      </c>
      <c r="C439" s="2194" t="s">
        <v>1447</v>
      </c>
      <c r="D439" s="2193" t="s">
        <v>1021</v>
      </c>
    </row>
    <row r="440" spans="2:4">
      <c r="B440" s="2948" t="s">
        <v>3398</v>
      </c>
      <c r="C440" s="2194" t="s">
        <v>1448</v>
      </c>
      <c r="D440" s="2193" t="s">
        <v>1003</v>
      </c>
    </row>
    <row r="441" spans="2:4">
      <c r="B441" s="2948" t="s">
        <v>3399</v>
      </c>
      <c r="C441" s="2194" t="s">
        <v>1435</v>
      </c>
      <c r="D441" s="2193" t="s">
        <v>1007</v>
      </c>
    </row>
    <row r="442" spans="2:4">
      <c r="B442" s="2948" t="s">
        <v>3400</v>
      </c>
      <c r="C442" s="2194" t="s">
        <v>1436</v>
      </c>
      <c r="D442" s="2193" t="s">
        <v>1016</v>
      </c>
    </row>
    <row r="443" spans="2:4">
      <c r="B443" s="2948" t="s">
        <v>3401</v>
      </c>
      <c r="C443" s="2194" t="s">
        <v>1449</v>
      </c>
      <c r="D443" s="2193" t="s">
        <v>1028</v>
      </c>
    </row>
    <row r="444" spans="2:4">
      <c r="B444" s="2948" t="s">
        <v>3402</v>
      </c>
      <c r="C444" s="2194" t="s">
        <v>1450</v>
      </c>
      <c r="D444" s="2193" t="s">
        <v>1068</v>
      </c>
    </row>
    <row r="445" spans="2:4">
      <c r="B445" s="2948" t="s">
        <v>3403</v>
      </c>
      <c r="C445" s="2194" t="s">
        <v>1451</v>
      </c>
      <c r="D445" s="2193" t="s">
        <v>1016</v>
      </c>
    </row>
    <row r="446" spans="2:4">
      <c r="B446" s="2948" t="s">
        <v>3404</v>
      </c>
      <c r="C446" s="2194" t="s">
        <v>1452</v>
      </c>
      <c r="D446" s="2193" t="s">
        <v>1016</v>
      </c>
    </row>
    <row r="447" spans="2:4">
      <c r="B447" s="2948" t="s">
        <v>3405</v>
      </c>
      <c r="C447" s="2194" t="s">
        <v>1453</v>
      </c>
      <c r="D447" s="2193" t="s">
        <v>1005</v>
      </c>
    </row>
    <row r="448" spans="2:4">
      <c r="B448" s="2948" t="s">
        <v>3406</v>
      </c>
      <c r="C448" s="2194" t="s">
        <v>1454</v>
      </c>
      <c r="D448" s="2193" t="s">
        <v>4036</v>
      </c>
    </row>
    <row r="449" spans="2:4">
      <c r="B449" s="2948" t="s">
        <v>3407</v>
      </c>
      <c r="C449" s="2194" t="s">
        <v>1455</v>
      </c>
      <c r="D449" s="2193" t="s">
        <v>1028</v>
      </c>
    </row>
    <row r="450" spans="2:4">
      <c r="B450" s="2948" t="s">
        <v>3408</v>
      </c>
      <c r="C450" s="2194" t="s">
        <v>1455</v>
      </c>
      <c r="D450" s="2193" t="s">
        <v>1068</v>
      </c>
    </row>
    <row r="451" spans="2:4">
      <c r="B451" s="2948" t="s">
        <v>3409</v>
      </c>
      <c r="C451" s="2194" t="s">
        <v>1456</v>
      </c>
      <c r="D451" s="2193" t="s">
        <v>1051</v>
      </c>
    </row>
    <row r="452" spans="2:4">
      <c r="B452" s="2948" t="s">
        <v>3410</v>
      </c>
      <c r="C452" s="2194" t="s">
        <v>1457</v>
      </c>
      <c r="D452" s="2193" t="s">
        <v>1019</v>
      </c>
    </row>
    <row r="453" spans="2:4">
      <c r="B453" s="2948" t="s">
        <v>3411</v>
      </c>
      <c r="C453" s="2194" t="s">
        <v>1458</v>
      </c>
      <c r="D453" s="2193" t="s">
        <v>1044</v>
      </c>
    </row>
    <row r="454" spans="2:4">
      <c r="B454" s="2948" t="s">
        <v>3413</v>
      </c>
      <c r="C454" s="2194" t="s">
        <v>1459</v>
      </c>
      <c r="D454" s="2193" t="s">
        <v>1003</v>
      </c>
    </row>
    <row r="455" spans="2:4">
      <c r="B455" s="2948" t="s">
        <v>3412</v>
      </c>
      <c r="C455" s="2194" t="s">
        <v>1460</v>
      </c>
      <c r="D455" s="2193" t="s">
        <v>1044</v>
      </c>
    </row>
    <row r="456" spans="2:4">
      <c r="B456" s="2948" t="s">
        <v>3414</v>
      </c>
      <c r="C456" s="2194" t="s">
        <v>1461</v>
      </c>
      <c r="D456" s="2193" t="s">
        <v>1014</v>
      </c>
    </row>
    <row r="457" spans="2:4">
      <c r="B457" s="2948" t="s">
        <v>3415</v>
      </c>
      <c r="C457" s="2194" t="s">
        <v>1462</v>
      </c>
      <c r="D457" s="2193" t="s">
        <v>1007</v>
      </c>
    </row>
    <row r="458" spans="2:4">
      <c r="B458" s="2948" t="s">
        <v>3422</v>
      </c>
      <c r="C458" s="2194" t="s">
        <v>1463</v>
      </c>
      <c r="D458" s="2193" t="s">
        <v>1068</v>
      </c>
    </row>
    <row r="459" spans="2:4">
      <c r="B459" s="2948" t="s">
        <v>3423</v>
      </c>
      <c r="C459" s="2194" t="s">
        <v>1464</v>
      </c>
      <c r="D459" s="2193" t="s">
        <v>1014</v>
      </c>
    </row>
    <row r="460" spans="2:4">
      <c r="B460" s="2948" t="s">
        <v>3424</v>
      </c>
      <c r="C460" s="2194" t="s">
        <v>1465</v>
      </c>
      <c r="D460" s="2193" t="s">
        <v>1003</v>
      </c>
    </row>
    <row r="461" spans="2:4">
      <c r="B461" s="2948" t="s">
        <v>3425</v>
      </c>
      <c r="C461" s="2194" t="s">
        <v>1466</v>
      </c>
      <c r="D461" s="2193" t="s">
        <v>1028</v>
      </c>
    </row>
    <row r="462" spans="2:4">
      <c r="B462" s="2948" t="s">
        <v>3426</v>
      </c>
      <c r="C462" s="2194" t="s">
        <v>1466</v>
      </c>
      <c r="D462" s="2193" t="s">
        <v>1028</v>
      </c>
    </row>
    <row r="463" spans="2:4">
      <c r="B463" s="2948" t="s">
        <v>3427</v>
      </c>
      <c r="C463" s="2194" t="s">
        <v>1467</v>
      </c>
      <c r="D463" s="2193" t="s">
        <v>1019</v>
      </c>
    </row>
    <row r="464" spans="2:4">
      <c r="B464" s="2948" t="s">
        <v>3428</v>
      </c>
      <c r="C464" s="2194" t="s">
        <v>1468</v>
      </c>
      <c r="D464" s="2193" t="s">
        <v>1051</v>
      </c>
    </row>
    <row r="465" spans="2:4">
      <c r="B465" s="2948" t="s">
        <v>3429</v>
      </c>
      <c r="C465" s="2194" t="s">
        <v>1469</v>
      </c>
      <c r="D465" s="2193" t="s">
        <v>1021</v>
      </c>
    </row>
    <row r="466" spans="2:4">
      <c r="B466" s="2948" t="s">
        <v>3430</v>
      </c>
      <c r="C466" s="2194" t="s">
        <v>1470</v>
      </c>
      <c r="D466" s="2193" t="s">
        <v>1014</v>
      </c>
    </row>
    <row r="467" spans="2:4">
      <c r="B467" s="2948" t="s">
        <v>3431</v>
      </c>
      <c r="C467" s="2194" t="s">
        <v>1471</v>
      </c>
      <c r="D467" s="2193" t="s">
        <v>1007</v>
      </c>
    </row>
    <row r="468" spans="2:4">
      <c r="B468" s="2948" t="s">
        <v>3432</v>
      </c>
      <c r="C468" s="2194" t="s">
        <v>1437</v>
      </c>
      <c r="D468" s="2193" t="s">
        <v>1007</v>
      </c>
    </row>
    <row r="469" spans="2:4">
      <c r="B469" s="2948" t="s">
        <v>2329</v>
      </c>
      <c r="C469" s="2194" t="s">
        <v>1472</v>
      </c>
      <c r="D469" s="2193" t="s">
        <v>4037</v>
      </c>
    </row>
    <row r="470" spans="2:4">
      <c r="B470" s="2948" t="s">
        <v>3433</v>
      </c>
      <c r="C470" s="2194" t="s">
        <v>1473</v>
      </c>
      <c r="D470" s="2193" t="s">
        <v>1005</v>
      </c>
    </row>
    <row r="471" spans="2:4">
      <c r="B471" s="2948" t="s">
        <v>3434</v>
      </c>
      <c r="C471" s="2194" t="s">
        <v>1474</v>
      </c>
      <c r="D471" s="2193" t="s">
        <v>1003</v>
      </c>
    </row>
    <row r="472" spans="2:4">
      <c r="B472" s="2948" t="s">
        <v>3435</v>
      </c>
      <c r="C472" s="2194" t="s">
        <v>1475</v>
      </c>
      <c r="D472" s="2193" t="s">
        <v>1019</v>
      </c>
    </row>
    <row r="473" spans="2:4">
      <c r="B473" s="2948" t="s">
        <v>3436</v>
      </c>
      <c r="C473" s="2194" t="s">
        <v>1476</v>
      </c>
      <c r="D473" s="2193" t="s">
        <v>1003</v>
      </c>
    </row>
    <row r="474" spans="2:4">
      <c r="B474" s="2948" t="s">
        <v>3437</v>
      </c>
      <c r="C474" s="2194" t="s">
        <v>1477</v>
      </c>
      <c r="D474" s="2193" t="s">
        <v>1005</v>
      </c>
    </row>
    <row r="475" spans="2:4">
      <c r="B475" s="2948" t="s">
        <v>3438</v>
      </c>
      <c r="C475" s="2194" t="s">
        <v>1478</v>
      </c>
      <c r="D475" s="2193" t="s">
        <v>1016</v>
      </c>
    </row>
    <row r="476" spans="2:4">
      <c r="B476" s="2948" t="s">
        <v>3439</v>
      </c>
      <c r="C476" s="2194" t="s">
        <v>1479</v>
      </c>
      <c r="D476" s="2193" t="s">
        <v>1005</v>
      </c>
    </row>
    <row r="477" spans="2:4">
      <c r="B477" s="2948" t="s">
        <v>3440</v>
      </c>
      <c r="C477" s="2194" t="s">
        <v>1480</v>
      </c>
      <c r="D477" s="2193" t="s">
        <v>1014</v>
      </c>
    </row>
    <row r="478" spans="2:4">
      <c r="B478" s="2948" t="s">
        <v>2371</v>
      </c>
      <c r="C478" s="2194" t="s">
        <v>1481</v>
      </c>
      <c r="D478" s="2193" t="s">
        <v>1014</v>
      </c>
    </row>
    <row r="479" spans="2:4">
      <c r="B479" s="2948" t="s">
        <v>3441</v>
      </c>
      <c r="C479" s="2194" t="s">
        <v>1482</v>
      </c>
      <c r="D479" s="2193" t="s">
        <v>1021</v>
      </c>
    </row>
    <row r="480" spans="2:4">
      <c r="B480" s="2948" t="s">
        <v>3442</v>
      </c>
      <c r="C480" s="2194" t="s">
        <v>1483</v>
      </c>
      <c r="D480" s="2193" t="s">
        <v>1016</v>
      </c>
    </row>
    <row r="481" spans="2:4">
      <c r="B481" s="2948" t="s">
        <v>3443</v>
      </c>
      <c r="C481" s="2194" t="s">
        <v>1484</v>
      </c>
      <c r="D481" s="2193" t="s">
        <v>1028</v>
      </c>
    </row>
    <row r="482" spans="2:4">
      <c r="B482" s="2948" t="s">
        <v>2322</v>
      </c>
      <c r="C482" s="2194" t="s">
        <v>1485</v>
      </c>
      <c r="D482" s="2193" t="s">
        <v>4037</v>
      </c>
    </row>
    <row r="483" spans="2:4">
      <c r="B483" s="2948" t="s">
        <v>2303</v>
      </c>
      <c r="C483" s="2194" t="s">
        <v>1486</v>
      </c>
      <c r="D483" s="2193" t="s">
        <v>4037</v>
      </c>
    </row>
    <row r="484" spans="2:4">
      <c r="B484" s="2948" t="s">
        <v>3444</v>
      </c>
      <c r="C484" s="2194" t="s">
        <v>1487</v>
      </c>
      <c r="D484" s="2193" t="s">
        <v>4036</v>
      </c>
    </row>
    <row r="485" spans="2:4">
      <c r="B485" s="2948" t="s">
        <v>3445</v>
      </c>
      <c r="C485" s="2194" t="s">
        <v>1488</v>
      </c>
      <c r="D485" s="2193" t="s">
        <v>1044</v>
      </c>
    </row>
    <row r="486" spans="2:4">
      <c r="B486" s="2948" t="s">
        <v>2308</v>
      </c>
      <c r="C486" s="2194" t="s">
        <v>1489</v>
      </c>
      <c r="D486" s="2193" t="s">
        <v>4037</v>
      </c>
    </row>
    <row r="487" spans="2:4">
      <c r="B487" s="2948" t="s">
        <v>3446</v>
      </c>
      <c r="C487" s="2194" t="s">
        <v>1490</v>
      </c>
      <c r="D487" s="2193" t="s">
        <v>4036</v>
      </c>
    </row>
    <row r="488" spans="2:4">
      <c r="B488" s="2948" t="s">
        <v>3447</v>
      </c>
      <c r="C488" s="2194" t="s">
        <v>1491</v>
      </c>
      <c r="D488" s="2193" t="s">
        <v>1019</v>
      </c>
    </row>
    <row r="489" spans="2:4">
      <c r="B489" s="2948" t="s">
        <v>3448</v>
      </c>
      <c r="C489" s="2194" t="s">
        <v>1492</v>
      </c>
      <c r="D489" s="2193" t="s">
        <v>1028</v>
      </c>
    </row>
    <row r="490" spans="2:4">
      <c r="B490" s="2948" t="s">
        <v>3419</v>
      </c>
      <c r="C490" s="2194" t="s">
        <v>1493</v>
      </c>
      <c r="D490" s="2193" t="s">
        <v>1003</v>
      </c>
    </row>
    <row r="491" spans="2:4">
      <c r="B491" s="2948" t="s">
        <v>3418</v>
      </c>
      <c r="C491" s="2194" t="s">
        <v>1494</v>
      </c>
      <c r="D491" s="2193" t="s">
        <v>1005</v>
      </c>
    </row>
    <row r="492" spans="2:4">
      <c r="B492" s="2948" t="s">
        <v>3417</v>
      </c>
      <c r="C492" s="2194" t="s">
        <v>1495</v>
      </c>
      <c r="D492" s="2193" t="s">
        <v>1003</v>
      </c>
    </row>
    <row r="493" spans="2:4">
      <c r="B493" s="2948" t="s">
        <v>3416</v>
      </c>
      <c r="C493" s="2194" t="s">
        <v>1496</v>
      </c>
      <c r="D493" s="2193" t="s">
        <v>1016</v>
      </c>
    </row>
    <row r="494" spans="2:4">
      <c r="B494" s="2948" t="s">
        <v>4048</v>
      </c>
      <c r="C494" s="2194" t="s">
        <v>1497</v>
      </c>
      <c r="D494" s="2193" t="s">
        <v>1028</v>
      </c>
    </row>
    <row r="495" spans="2:4">
      <c r="B495" s="2948" t="s">
        <v>3314</v>
      </c>
      <c r="C495" s="2194" t="s">
        <v>1498</v>
      </c>
      <c r="D495" s="2193" t="s">
        <v>1014</v>
      </c>
    </row>
    <row r="496" spans="2:4">
      <c r="B496" s="2948" t="s">
        <v>2331</v>
      </c>
      <c r="C496" s="2194" t="s">
        <v>1499</v>
      </c>
      <c r="D496" s="2193" t="s">
        <v>4037</v>
      </c>
    </row>
    <row r="497" spans="2:4">
      <c r="B497" s="2948" t="s">
        <v>3313</v>
      </c>
      <c r="C497" s="2194" t="s">
        <v>1500</v>
      </c>
      <c r="D497" s="2193" t="s">
        <v>1009</v>
      </c>
    </row>
    <row r="498" spans="2:4">
      <c r="B498" s="2948" t="s">
        <v>3312</v>
      </c>
      <c r="C498" s="2194" t="s">
        <v>1501</v>
      </c>
      <c r="D498" s="2193" t="s">
        <v>1019</v>
      </c>
    </row>
    <row r="499" spans="2:4">
      <c r="B499" s="2948" t="s">
        <v>3311</v>
      </c>
      <c r="C499" s="2194" t="s">
        <v>1502</v>
      </c>
      <c r="D499" s="2193" t="s">
        <v>1041</v>
      </c>
    </row>
    <row r="500" spans="2:4">
      <c r="B500" s="2948" t="s">
        <v>3310</v>
      </c>
      <c r="C500" s="2194" t="s">
        <v>1503</v>
      </c>
      <c r="D500" s="2193" t="s">
        <v>1005</v>
      </c>
    </row>
    <row r="501" spans="2:4">
      <c r="B501" s="2948" t="s">
        <v>3309</v>
      </c>
      <c r="C501" s="2194" t="s">
        <v>1504</v>
      </c>
      <c r="D501" s="2193" t="s">
        <v>1005</v>
      </c>
    </row>
    <row r="502" spans="2:4">
      <c r="B502" s="2948" t="s">
        <v>3308</v>
      </c>
      <c r="C502" s="2194" t="s">
        <v>1505</v>
      </c>
      <c r="D502" s="2193" t="s">
        <v>1009</v>
      </c>
    </row>
    <row r="503" spans="2:4">
      <c r="B503" s="2948" t="s">
        <v>3307</v>
      </c>
      <c r="C503" s="2194" t="s">
        <v>1506</v>
      </c>
      <c r="D503" s="2193" t="s">
        <v>1016</v>
      </c>
    </row>
    <row r="504" spans="2:4">
      <c r="B504" s="2948" t="s">
        <v>3306</v>
      </c>
      <c r="C504" s="2194" t="s">
        <v>1507</v>
      </c>
      <c r="D504" s="2193" t="s">
        <v>1044</v>
      </c>
    </row>
    <row r="505" spans="2:4">
      <c r="B505" s="2948" t="s">
        <v>3305</v>
      </c>
      <c r="C505" s="2194" t="s">
        <v>1508</v>
      </c>
      <c r="D505" s="2193" t="s">
        <v>1016</v>
      </c>
    </row>
    <row r="506" spans="2:4">
      <c r="B506" s="2948" t="s">
        <v>3304</v>
      </c>
      <c r="C506" s="2194" t="s">
        <v>1509</v>
      </c>
      <c r="D506" s="2193" t="s">
        <v>1009</v>
      </c>
    </row>
    <row r="507" spans="2:4">
      <c r="B507" s="2948" t="s">
        <v>2306</v>
      </c>
      <c r="C507" s="2194" t="s">
        <v>1510</v>
      </c>
      <c r="D507" s="2193" t="s">
        <v>4037</v>
      </c>
    </row>
    <row r="508" spans="2:4">
      <c r="B508" s="2948" t="s">
        <v>3303</v>
      </c>
      <c r="C508" s="2194" t="s">
        <v>1511</v>
      </c>
      <c r="D508" s="2193" t="s">
        <v>1044</v>
      </c>
    </row>
    <row r="509" spans="2:4">
      <c r="B509" s="2948" t="s">
        <v>3302</v>
      </c>
      <c r="C509" s="2194" t="s">
        <v>1512</v>
      </c>
      <c r="D509" s="2193" t="s">
        <v>1009</v>
      </c>
    </row>
    <row r="510" spans="2:4">
      <c r="B510" s="2948" t="s">
        <v>3301</v>
      </c>
      <c r="C510" s="2194" t="s">
        <v>1513</v>
      </c>
      <c r="D510" s="2193" t="s">
        <v>1003</v>
      </c>
    </row>
    <row r="511" spans="2:4">
      <c r="B511" s="2948" t="s">
        <v>3300</v>
      </c>
      <c r="C511" s="2194" t="s">
        <v>1514</v>
      </c>
      <c r="D511" s="2193" t="s">
        <v>1021</v>
      </c>
    </row>
    <row r="512" spans="2:4">
      <c r="B512" s="2948" t="s">
        <v>3299</v>
      </c>
      <c r="C512" s="2194" t="s">
        <v>1515</v>
      </c>
      <c r="D512" s="2193" t="s">
        <v>1021</v>
      </c>
    </row>
    <row r="513" spans="2:4">
      <c r="B513" s="2948" t="s">
        <v>3298</v>
      </c>
      <c r="C513" s="2194" t="s">
        <v>1516</v>
      </c>
      <c r="D513" s="2193" t="s">
        <v>1019</v>
      </c>
    </row>
    <row r="514" spans="2:4">
      <c r="B514" s="2948" t="s">
        <v>2375</v>
      </c>
      <c r="C514" s="2194" t="s">
        <v>1517</v>
      </c>
      <c r="D514" s="2193" t="s">
        <v>1014</v>
      </c>
    </row>
    <row r="515" spans="2:4">
      <c r="B515" s="2948" t="s">
        <v>3297</v>
      </c>
      <c r="C515" s="2194" t="s">
        <v>1518</v>
      </c>
      <c r="D515" s="2193" t="s">
        <v>1028</v>
      </c>
    </row>
    <row r="516" spans="2:4">
      <c r="B516" s="2948" t="s">
        <v>3296</v>
      </c>
      <c r="C516" s="2194" t="s">
        <v>1519</v>
      </c>
      <c r="D516" s="2193" t="s">
        <v>1011</v>
      </c>
    </row>
    <row r="517" spans="2:4">
      <c r="B517" s="2948" t="s">
        <v>3295</v>
      </c>
      <c r="C517" s="2194" t="s">
        <v>1520</v>
      </c>
      <c r="D517" s="2193" t="s">
        <v>1011</v>
      </c>
    </row>
    <row r="518" spans="2:4">
      <c r="B518" s="2948" t="s">
        <v>3294</v>
      </c>
      <c r="C518" s="2194" t="s">
        <v>1521</v>
      </c>
      <c r="D518" s="2193" t="s">
        <v>1044</v>
      </c>
    </row>
    <row r="519" spans="2:4">
      <c r="B519" s="2948" t="s">
        <v>3293</v>
      </c>
      <c r="C519" s="2194" t="s">
        <v>1522</v>
      </c>
      <c r="D519" s="2193" t="s">
        <v>1003</v>
      </c>
    </row>
    <row r="520" spans="2:4">
      <c r="B520" s="2948" t="s">
        <v>3292</v>
      </c>
      <c r="C520" s="2194" t="s">
        <v>1523</v>
      </c>
      <c r="D520" s="2193" t="s">
        <v>1009</v>
      </c>
    </row>
    <row r="521" spans="2:4">
      <c r="B521" s="2948" t="s">
        <v>3201</v>
      </c>
      <c r="C521" s="2194" t="s">
        <v>1524</v>
      </c>
      <c r="D521" s="2193" t="s">
        <v>1021</v>
      </c>
    </row>
    <row r="522" spans="2:4">
      <c r="B522" s="2948" t="s">
        <v>3200</v>
      </c>
      <c r="C522" s="2194" t="s">
        <v>1525</v>
      </c>
      <c r="D522" s="2193" t="s">
        <v>1016</v>
      </c>
    </row>
    <row r="523" spans="2:4">
      <c r="B523" s="2948" t="s">
        <v>3199</v>
      </c>
      <c r="C523" s="2194" t="s">
        <v>1526</v>
      </c>
      <c r="D523" s="2193" t="s">
        <v>1068</v>
      </c>
    </row>
    <row r="524" spans="2:4">
      <c r="B524" s="2948" t="s">
        <v>3198</v>
      </c>
      <c r="C524" s="2194" t="s">
        <v>1527</v>
      </c>
      <c r="D524" s="2193" t="s">
        <v>1021</v>
      </c>
    </row>
    <row r="525" spans="2:4">
      <c r="B525" s="2948" t="s">
        <v>3197</v>
      </c>
      <c r="C525" s="2194" t="s">
        <v>1528</v>
      </c>
      <c r="D525" s="2193" t="s">
        <v>1068</v>
      </c>
    </row>
    <row r="526" spans="2:4">
      <c r="B526" s="2948" t="s">
        <v>3196</v>
      </c>
      <c r="C526" s="2194" t="s">
        <v>1529</v>
      </c>
      <c r="D526" s="2193" t="s">
        <v>1005</v>
      </c>
    </row>
    <row r="527" spans="2:4">
      <c r="B527" s="2948" t="s">
        <v>3195</v>
      </c>
      <c r="C527" s="2194" t="s">
        <v>1530</v>
      </c>
      <c r="D527" s="2193" t="s">
        <v>1003</v>
      </c>
    </row>
    <row r="528" spans="2:4">
      <c r="B528" s="2948" t="s">
        <v>3194</v>
      </c>
      <c r="C528" s="2194" t="s">
        <v>1531</v>
      </c>
      <c r="D528" s="2193" t="s">
        <v>1005</v>
      </c>
    </row>
    <row r="529" spans="2:4">
      <c r="B529" s="2948" t="s">
        <v>3193</v>
      </c>
      <c r="C529" s="2194" t="s">
        <v>1532</v>
      </c>
      <c r="D529" s="2193" t="s">
        <v>1014</v>
      </c>
    </row>
    <row r="530" spans="2:4">
      <c r="B530" s="2948" t="s">
        <v>3192</v>
      </c>
      <c r="C530" s="2194" t="s">
        <v>1533</v>
      </c>
      <c r="D530" s="2193" t="s">
        <v>1016</v>
      </c>
    </row>
    <row r="531" spans="2:4">
      <c r="B531" s="2948" t="s">
        <v>2332</v>
      </c>
      <c r="C531" s="2194" t="s">
        <v>1534</v>
      </c>
      <c r="D531" s="2193" t="s">
        <v>4037</v>
      </c>
    </row>
    <row r="532" spans="2:4">
      <c r="B532" s="2948" t="s">
        <v>2314</v>
      </c>
      <c r="C532" s="2194" t="s">
        <v>1535</v>
      </c>
      <c r="D532" s="2193" t="s">
        <v>4037</v>
      </c>
    </row>
    <row r="533" spans="2:4">
      <c r="B533" s="2948" t="s">
        <v>3191</v>
      </c>
      <c r="C533" s="2194" t="s">
        <v>1536</v>
      </c>
      <c r="D533" s="2193" t="s">
        <v>1044</v>
      </c>
    </row>
    <row r="534" spans="2:4">
      <c r="B534" s="2948" t="s">
        <v>3190</v>
      </c>
      <c r="C534" s="2194" t="s">
        <v>1537</v>
      </c>
      <c r="D534" s="2193" t="s">
        <v>1009</v>
      </c>
    </row>
    <row r="535" spans="2:4">
      <c r="B535" s="2948" t="s">
        <v>3189</v>
      </c>
      <c r="C535" s="2194" t="s">
        <v>1538</v>
      </c>
      <c r="D535" s="2193" t="s">
        <v>1005</v>
      </c>
    </row>
    <row r="536" spans="2:4">
      <c r="B536" s="2948" t="s">
        <v>3188</v>
      </c>
      <c r="C536" s="2194" t="s">
        <v>1539</v>
      </c>
      <c r="D536" s="2193" t="s">
        <v>1014</v>
      </c>
    </row>
    <row r="537" spans="2:4">
      <c r="B537" s="2948" t="s">
        <v>3187</v>
      </c>
      <c r="C537" s="2194" t="s">
        <v>1540</v>
      </c>
      <c r="D537" s="2193" t="s">
        <v>1014</v>
      </c>
    </row>
    <row r="538" spans="2:4">
      <c r="B538" s="2948" t="s">
        <v>3186</v>
      </c>
      <c r="C538" s="2194" t="s">
        <v>1541</v>
      </c>
      <c r="D538" s="2193" t="s">
        <v>4036</v>
      </c>
    </row>
    <row r="539" spans="2:4">
      <c r="B539" s="2948" t="s">
        <v>3185</v>
      </c>
      <c r="C539" s="2194" t="s">
        <v>1542</v>
      </c>
      <c r="D539" s="2193" t="s">
        <v>1021</v>
      </c>
    </row>
    <row r="540" spans="2:4">
      <c r="B540" s="2948" t="s">
        <v>3184</v>
      </c>
      <c r="C540" s="2194" t="s">
        <v>1543</v>
      </c>
      <c r="D540" s="2193" t="s">
        <v>1014</v>
      </c>
    </row>
    <row r="541" spans="2:4">
      <c r="B541" s="2948" t="s">
        <v>3183</v>
      </c>
      <c r="C541" s="2194" t="s">
        <v>1544</v>
      </c>
      <c r="D541" s="2193" t="s">
        <v>1019</v>
      </c>
    </row>
    <row r="542" spans="2:4">
      <c r="B542" s="2948" t="s">
        <v>3182</v>
      </c>
      <c r="C542" s="2194" t="s">
        <v>1545</v>
      </c>
      <c r="D542" s="2193" t="s">
        <v>1009</v>
      </c>
    </row>
    <row r="543" spans="2:4">
      <c r="B543" s="2948" t="s">
        <v>3181</v>
      </c>
      <c r="C543" s="2194" t="s">
        <v>1546</v>
      </c>
      <c r="D543" s="2193" t="s">
        <v>4036</v>
      </c>
    </row>
    <row r="544" spans="2:4">
      <c r="B544" s="2948" t="s">
        <v>3180</v>
      </c>
      <c r="C544" s="2194" t="s">
        <v>1547</v>
      </c>
      <c r="D544" s="2193" t="s">
        <v>1021</v>
      </c>
    </row>
    <row r="545" spans="2:4">
      <c r="B545" s="2948" t="s">
        <v>3179</v>
      </c>
      <c r="C545" s="2194" t="s">
        <v>1548</v>
      </c>
      <c r="D545" s="2193" t="s">
        <v>1019</v>
      </c>
    </row>
    <row r="546" spans="2:4">
      <c r="B546" s="2948" t="s">
        <v>3178</v>
      </c>
      <c r="C546" s="2194" t="s">
        <v>1549</v>
      </c>
      <c r="D546" s="2193" t="s">
        <v>1005</v>
      </c>
    </row>
    <row r="547" spans="2:4">
      <c r="B547" s="2948" t="s">
        <v>3177</v>
      </c>
      <c r="C547" s="2194" t="s">
        <v>1550</v>
      </c>
      <c r="D547" s="2193" t="s">
        <v>1021</v>
      </c>
    </row>
    <row r="548" spans="2:4">
      <c r="B548" s="2948" t="s">
        <v>3176</v>
      </c>
      <c r="C548" s="2194" t="s">
        <v>1551</v>
      </c>
      <c r="D548" s="2193" t="s">
        <v>1005</v>
      </c>
    </row>
    <row r="549" spans="2:4">
      <c r="B549" s="2948" t="s">
        <v>3175</v>
      </c>
      <c r="C549" s="2194" t="s">
        <v>1552</v>
      </c>
      <c r="D549" s="2193" t="s">
        <v>1005</v>
      </c>
    </row>
    <row r="550" spans="2:4">
      <c r="B550" s="2948" t="s">
        <v>3174</v>
      </c>
      <c r="C550" s="2194" t="s">
        <v>1553</v>
      </c>
      <c r="D550" s="2193" t="s">
        <v>1003</v>
      </c>
    </row>
    <row r="551" spans="2:4">
      <c r="B551" s="2948" t="s">
        <v>3173</v>
      </c>
      <c r="C551" s="2194" t="s">
        <v>1554</v>
      </c>
      <c r="D551" s="2193" t="s">
        <v>1009</v>
      </c>
    </row>
    <row r="552" spans="2:4">
      <c r="B552" s="2948" t="s">
        <v>3172</v>
      </c>
      <c r="C552" s="2194" t="s">
        <v>1555</v>
      </c>
      <c r="D552" s="2193" t="s">
        <v>1007</v>
      </c>
    </row>
    <row r="553" spans="2:4">
      <c r="B553" s="2948" t="s">
        <v>3171</v>
      </c>
      <c r="C553" s="2194" t="s">
        <v>1556</v>
      </c>
      <c r="D553" s="2193" t="s">
        <v>4036</v>
      </c>
    </row>
    <row r="554" spans="2:4">
      <c r="B554" s="2948" t="s">
        <v>3170</v>
      </c>
      <c r="C554" s="2194" t="s">
        <v>1557</v>
      </c>
      <c r="D554" s="2193" t="s">
        <v>1007</v>
      </c>
    </row>
    <row r="555" spans="2:4">
      <c r="B555" s="2948" t="s">
        <v>2358</v>
      </c>
      <c r="C555" s="2194" t="s">
        <v>1558</v>
      </c>
      <c r="D555" s="2193" t="s">
        <v>1014</v>
      </c>
    </row>
    <row r="556" spans="2:4">
      <c r="B556" s="2948" t="s">
        <v>3169</v>
      </c>
      <c r="C556" s="2194" t="s">
        <v>1559</v>
      </c>
      <c r="D556" s="2193" t="s">
        <v>1051</v>
      </c>
    </row>
    <row r="557" spans="2:4">
      <c r="B557" s="2948" t="s">
        <v>3168</v>
      </c>
      <c r="C557" s="2194" t="s">
        <v>1560</v>
      </c>
      <c r="D557" s="2193" t="s">
        <v>1019</v>
      </c>
    </row>
    <row r="558" spans="2:4">
      <c r="B558" s="2948" t="s">
        <v>3167</v>
      </c>
      <c r="C558" s="2194" t="s">
        <v>1561</v>
      </c>
      <c r="D558" s="2193" t="s">
        <v>1003</v>
      </c>
    </row>
    <row r="559" spans="2:4">
      <c r="B559" s="2948" t="s">
        <v>3166</v>
      </c>
      <c r="C559" s="2194" t="s">
        <v>1562</v>
      </c>
      <c r="D559" s="2193" t="s">
        <v>1007</v>
      </c>
    </row>
    <row r="560" spans="2:4">
      <c r="B560" s="2948" t="s">
        <v>3165</v>
      </c>
      <c r="C560" s="2194" t="s">
        <v>1563</v>
      </c>
      <c r="D560" s="2193" t="s">
        <v>1007</v>
      </c>
    </row>
    <row r="561" spans="2:4">
      <c r="B561" s="2948" t="s">
        <v>3164</v>
      </c>
      <c r="C561" s="2194" t="s">
        <v>1564</v>
      </c>
      <c r="D561" s="2193" t="s">
        <v>1005</v>
      </c>
    </row>
    <row r="562" spans="2:4">
      <c r="B562" s="2948" t="s">
        <v>3163</v>
      </c>
      <c r="C562" s="2194" t="s">
        <v>1565</v>
      </c>
      <c r="D562" s="2193" t="s">
        <v>1044</v>
      </c>
    </row>
    <row r="563" spans="2:4">
      <c r="B563" s="2948" t="s">
        <v>3162</v>
      </c>
      <c r="C563" s="2194" t="s">
        <v>1566</v>
      </c>
      <c r="D563" s="2193" t="s">
        <v>1019</v>
      </c>
    </row>
    <row r="564" spans="2:4">
      <c r="B564" s="2948" t="s">
        <v>3161</v>
      </c>
      <c r="C564" s="2194" t="s">
        <v>1567</v>
      </c>
      <c r="D564" s="2193" t="s">
        <v>1044</v>
      </c>
    </row>
    <row r="565" spans="2:4">
      <c r="B565" s="2948" t="s">
        <v>3160</v>
      </c>
      <c r="C565" s="2194" t="s">
        <v>1568</v>
      </c>
      <c r="D565" s="2193" t="s">
        <v>1028</v>
      </c>
    </row>
    <row r="566" spans="2:4">
      <c r="B566" s="2948" t="s">
        <v>3159</v>
      </c>
      <c r="C566" s="2194" t="s">
        <v>1569</v>
      </c>
      <c r="D566" s="2193" t="s">
        <v>1005</v>
      </c>
    </row>
    <row r="567" spans="2:4">
      <c r="B567" s="2948" t="s">
        <v>3158</v>
      </c>
      <c r="C567" s="2194" t="s">
        <v>1570</v>
      </c>
      <c r="D567" s="2193" t="s">
        <v>1014</v>
      </c>
    </row>
    <row r="568" spans="2:4">
      <c r="B568" s="2948" t="s">
        <v>2345</v>
      </c>
      <c r="C568" s="2194" t="s">
        <v>1571</v>
      </c>
      <c r="D568" s="2193" t="s">
        <v>1014</v>
      </c>
    </row>
    <row r="569" spans="2:4">
      <c r="B569" s="2948" t="s">
        <v>3157</v>
      </c>
      <c r="C569" s="2194" t="s">
        <v>1572</v>
      </c>
      <c r="D569" s="2193" t="s">
        <v>1068</v>
      </c>
    </row>
    <row r="570" spans="2:4">
      <c r="B570" s="2948" t="s">
        <v>2335</v>
      </c>
      <c r="C570" s="2194" t="s">
        <v>1573</v>
      </c>
      <c r="D570" s="2193" t="s">
        <v>4037</v>
      </c>
    </row>
    <row r="571" spans="2:4">
      <c r="B571" s="2948" t="s">
        <v>3156</v>
      </c>
      <c r="C571" s="2194" t="s">
        <v>1574</v>
      </c>
      <c r="D571" s="2193" t="s">
        <v>1051</v>
      </c>
    </row>
    <row r="572" spans="2:4">
      <c r="B572" s="2948" t="s">
        <v>3155</v>
      </c>
      <c r="C572" s="2194" t="s">
        <v>1575</v>
      </c>
      <c r="D572" s="2193" t="s">
        <v>1007</v>
      </c>
    </row>
    <row r="573" spans="2:4">
      <c r="B573" s="2948" t="s">
        <v>2326</v>
      </c>
      <c r="C573" s="2194" t="s">
        <v>1576</v>
      </c>
      <c r="D573" s="2193" t="s">
        <v>4037</v>
      </c>
    </row>
    <row r="574" spans="2:4">
      <c r="B574" s="2948" t="s">
        <v>3154</v>
      </c>
      <c r="C574" s="2194" t="s">
        <v>1577</v>
      </c>
      <c r="D574" s="2193" t="s">
        <v>1003</v>
      </c>
    </row>
    <row r="575" spans="2:4">
      <c r="B575" s="2948" t="s">
        <v>3153</v>
      </c>
      <c r="C575" s="2194" t="s">
        <v>1578</v>
      </c>
      <c r="D575" s="2193" t="s">
        <v>1068</v>
      </c>
    </row>
    <row r="576" spans="2:4">
      <c r="B576" s="2948" t="s">
        <v>3152</v>
      </c>
      <c r="C576" s="2194" t="s">
        <v>1579</v>
      </c>
      <c r="D576" s="2193" t="s">
        <v>1005</v>
      </c>
    </row>
    <row r="577" spans="2:4">
      <c r="B577" s="2948" t="s">
        <v>3151</v>
      </c>
      <c r="C577" s="2194" t="s">
        <v>1580</v>
      </c>
      <c r="D577" s="2193" t="s">
        <v>4036</v>
      </c>
    </row>
    <row r="578" spans="2:4">
      <c r="B578" s="2948" t="s">
        <v>3150</v>
      </c>
      <c r="C578" s="2194" t="s">
        <v>1581</v>
      </c>
      <c r="D578" s="2193" t="s">
        <v>1068</v>
      </c>
    </row>
    <row r="579" spans="2:4">
      <c r="B579" s="2948" t="s">
        <v>3149</v>
      </c>
      <c r="C579" s="2194" t="s">
        <v>1582</v>
      </c>
      <c r="D579" s="2193" t="s">
        <v>1014</v>
      </c>
    </row>
    <row r="580" spans="2:4">
      <c r="B580" s="2948" t="s">
        <v>3148</v>
      </c>
      <c r="C580" s="2194" t="s">
        <v>1583</v>
      </c>
      <c r="D580" s="2193" t="s">
        <v>1016</v>
      </c>
    </row>
    <row r="581" spans="2:4">
      <c r="B581" s="2948" t="s">
        <v>3147</v>
      </c>
      <c r="C581" s="2194" t="s">
        <v>1584</v>
      </c>
      <c r="D581" s="2193" t="s">
        <v>1019</v>
      </c>
    </row>
    <row r="582" spans="2:4">
      <c r="B582" s="2948" t="s">
        <v>3146</v>
      </c>
      <c r="C582" s="2194" t="s">
        <v>1585</v>
      </c>
      <c r="D582" s="2193" t="s">
        <v>1014</v>
      </c>
    </row>
    <row r="583" spans="2:4">
      <c r="B583" s="2948" t="s">
        <v>2333</v>
      </c>
      <c r="C583" s="2194" t="s">
        <v>1586</v>
      </c>
      <c r="D583" s="2193" t="s">
        <v>4037</v>
      </c>
    </row>
    <row r="584" spans="2:4">
      <c r="B584" s="2948" t="s">
        <v>3145</v>
      </c>
      <c r="C584" s="2194" t="s">
        <v>1587</v>
      </c>
      <c r="D584" s="2193" t="s">
        <v>4036</v>
      </c>
    </row>
    <row r="585" spans="2:4">
      <c r="B585" s="2948" t="s">
        <v>3144</v>
      </c>
      <c r="C585" s="2194" t="s">
        <v>1588</v>
      </c>
      <c r="D585" s="2193" t="s">
        <v>1005</v>
      </c>
    </row>
    <row r="586" spans="2:4">
      <c r="B586" s="2948" t="s">
        <v>3143</v>
      </c>
      <c r="C586" s="2194" t="s">
        <v>1589</v>
      </c>
      <c r="D586" s="2193" t="s">
        <v>1007</v>
      </c>
    </row>
    <row r="587" spans="2:4">
      <c r="B587" s="2948" t="s">
        <v>3142</v>
      </c>
      <c r="C587" s="2194" t="s">
        <v>1591</v>
      </c>
      <c r="D587" s="2193" t="s">
        <v>1007</v>
      </c>
    </row>
    <row r="588" spans="2:4">
      <c r="B588" s="2948" t="s">
        <v>3141</v>
      </c>
      <c r="C588" s="2194" t="s">
        <v>1590</v>
      </c>
      <c r="D588" s="2193" t="s">
        <v>1007</v>
      </c>
    </row>
    <row r="589" spans="2:4">
      <c r="B589" s="2948" t="s">
        <v>3140</v>
      </c>
      <c r="C589" s="2194" t="s">
        <v>1592</v>
      </c>
      <c r="D589" s="2193" t="s">
        <v>1005</v>
      </c>
    </row>
    <row r="590" spans="2:4">
      <c r="B590" s="2948" t="s">
        <v>3139</v>
      </c>
      <c r="C590" s="2194" t="s">
        <v>1593</v>
      </c>
      <c r="D590" s="2193" t="s">
        <v>1014</v>
      </c>
    </row>
    <row r="591" spans="2:4">
      <c r="B591" s="2948" t="s">
        <v>3138</v>
      </c>
      <c r="C591" s="2194" t="s">
        <v>1594</v>
      </c>
      <c r="D591" s="2193" t="s">
        <v>1007</v>
      </c>
    </row>
    <row r="592" spans="2:4">
      <c r="B592" s="2948" t="s">
        <v>3137</v>
      </c>
      <c r="C592" s="2194" t="s">
        <v>1595</v>
      </c>
      <c r="D592" s="2193" t="s">
        <v>1003</v>
      </c>
    </row>
    <row r="593" spans="2:4">
      <c r="B593" s="2948" t="s">
        <v>3136</v>
      </c>
      <c r="C593" s="2194" t="s">
        <v>1596</v>
      </c>
      <c r="D593" s="2193" t="s">
        <v>1014</v>
      </c>
    </row>
    <row r="594" spans="2:4">
      <c r="B594" s="2948" t="s">
        <v>3135</v>
      </c>
      <c r="C594" s="2194" t="s">
        <v>1597</v>
      </c>
      <c r="D594" s="2193" t="s">
        <v>1014</v>
      </c>
    </row>
    <row r="595" spans="2:4">
      <c r="B595" s="2948" t="s">
        <v>3134</v>
      </c>
      <c r="C595" s="2194" t="s">
        <v>1598</v>
      </c>
      <c r="D595" s="2193" t="s">
        <v>1007</v>
      </c>
    </row>
    <row r="596" spans="2:4">
      <c r="B596" s="2948" t="s">
        <v>3133</v>
      </c>
      <c r="C596" s="2194" t="s">
        <v>1599</v>
      </c>
      <c r="D596" s="2193" t="s">
        <v>4036</v>
      </c>
    </row>
    <row r="597" spans="2:4">
      <c r="B597" s="2948" t="s">
        <v>3132</v>
      </c>
      <c r="C597" s="2194" t="s">
        <v>1599</v>
      </c>
      <c r="D597" s="2193" t="s">
        <v>1009</v>
      </c>
    </row>
    <row r="598" spans="2:4">
      <c r="B598" s="2948" t="s">
        <v>3131</v>
      </c>
      <c r="C598" s="2194" t="s">
        <v>1600</v>
      </c>
      <c r="D598" s="2193" t="s">
        <v>1044</v>
      </c>
    </row>
    <row r="599" spans="2:4">
      <c r="B599" s="2948" t="s">
        <v>3130</v>
      </c>
      <c r="C599" s="2194" t="s">
        <v>1601</v>
      </c>
      <c r="D599" s="2193" t="s">
        <v>1003</v>
      </c>
    </row>
    <row r="600" spans="2:4">
      <c r="B600" s="2948" t="s">
        <v>3129</v>
      </c>
      <c r="C600" s="2194" t="s">
        <v>1602</v>
      </c>
      <c r="D600" s="2193" t="s">
        <v>1051</v>
      </c>
    </row>
    <row r="601" spans="2:4">
      <c r="B601" s="2948" t="s">
        <v>3128</v>
      </c>
      <c r="C601" s="2194" t="s">
        <v>1603</v>
      </c>
      <c r="D601" s="2193" t="s">
        <v>1005</v>
      </c>
    </row>
    <row r="602" spans="2:4">
      <c r="B602" s="2948" t="s">
        <v>3127</v>
      </c>
      <c r="C602" s="2194" t="s">
        <v>1604</v>
      </c>
      <c r="D602" s="2193" t="s">
        <v>1068</v>
      </c>
    </row>
    <row r="603" spans="2:4">
      <c r="B603" s="2948" t="s">
        <v>3126</v>
      </c>
      <c r="C603" s="2194" t="s">
        <v>1605</v>
      </c>
      <c r="D603" s="2193" t="s">
        <v>1044</v>
      </c>
    </row>
    <row r="604" spans="2:4">
      <c r="B604" s="2948" t="s">
        <v>3125</v>
      </c>
      <c r="C604" s="2194" t="s">
        <v>1606</v>
      </c>
      <c r="D604" s="2193" t="s">
        <v>1005</v>
      </c>
    </row>
    <row r="605" spans="2:4">
      <c r="B605" s="2948" t="s">
        <v>3124</v>
      </c>
      <c r="C605" s="2194" t="s">
        <v>1607</v>
      </c>
      <c r="D605" s="2193" t="s">
        <v>1007</v>
      </c>
    </row>
    <row r="606" spans="2:4">
      <c r="B606" s="2948" t="s">
        <v>3123</v>
      </c>
      <c r="C606" s="2194" t="s">
        <v>1608</v>
      </c>
      <c r="D606" s="2193" t="s">
        <v>1003</v>
      </c>
    </row>
    <row r="607" spans="2:4">
      <c r="B607" s="2948" t="s">
        <v>3122</v>
      </c>
      <c r="C607" s="2194" t="s">
        <v>1609</v>
      </c>
      <c r="D607" s="2193" t="s">
        <v>1007</v>
      </c>
    </row>
    <row r="608" spans="2:4">
      <c r="B608" s="2948" t="s">
        <v>3121</v>
      </c>
      <c r="C608" s="2194" t="s">
        <v>1610</v>
      </c>
      <c r="D608" s="2193" t="s">
        <v>1007</v>
      </c>
    </row>
    <row r="609" spans="2:4">
      <c r="B609" s="2948" t="s">
        <v>3120</v>
      </c>
      <c r="C609" s="2194" t="s">
        <v>1611</v>
      </c>
      <c r="D609" s="2193" t="s">
        <v>1005</v>
      </c>
    </row>
    <row r="610" spans="2:4">
      <c r="B610" s="2948" t="s">
        <v>3119</v>
      </c>
      <c r="C610" s="2194" t="s">
        <v>1612</v>
      </c>
      <c r="D610" s="2193" t="s">
        <v>1005</v>
      </c>
    </row>
    <row r="611" spans="2:4">
      <c r="B611" s="2948" t="s">
        <v>3118</v>
      </c>
      <c r="C611" s="2194" t="s">
        <v>1613</v>
      </c>
      <c r="D611" s="2193" t="s">
        <v>1005</v>
      </c>
    </row>
    <row r="612" spans="2:4">
      <c r="B612" s="2948" t="s">
        <v>3117</v>
      </c>
      <c r="C612" s="2194" t="s">
        <v>1614</v>
      </c>
      <c r="D612" s="2193" t="s">
        <v>1028</v>
      </c>
    </row>
    <row r="613" spans="2:4">
      <c r="B613" s="2948" t="s">
        <v>3116</v>
      </c>
      <c r="C613" s="2194" t="s">
        <v>1615</v>
      </c>
      <c r="D613" s="2193" t="s">
        <v>1051</v>
      </c>
    </row>
    <row r="614" spans="2:4">
      <c r="B614" s="2948" t="s">
        <v>3115</v>
      </c>
      <c r="C614" s="2194" t="s">
        <v>1616</v>
      </c>
      <c r="D614" s="2193" t="s">
        <v>4036</v>
      </c>
    </row>
    <row r="615" spans="2:4">
      <c r="B615" s="2948" t="s">
        <v>3114</v>
      </c>
      <c r="C615" s="2194" t="s">
        <v>1617</v>
      </c>
      <c r="D615" s="2193" t="s">
        <v>1021</v>
      </c>
    </row>
    <row r="616" spans="2:4">
      <c r="B616" s="2948" t="s">
        <v>3113</v>
      </c>
      <c r="C616" s="2194" t="s">
        <v>1618</v>
      </c>
      <c r="D616" s="2193" t="s">
        <v>1014</v>
      </c>
    </row>
    <row r="617" spans="2:4">
      <c r="B617" s="2948" t="s">
        <v>3112</v>
      </c>
      <c r="C617" s="2194" t="s">
        <v>1619</v>
      </c>
      <c r="D617" s="2193" t="s">
        <v>1005</v>
      </c>
    </row>
    <row r="618" spans="2:4">
      <c r="B618" s="2948" t="s">
        <v>3111</v>
      </c>
      <c r="C618" s="2194" t="s">
        <v>1620</v>
      </c>
      <c r="D618" s="2193" t="s">
        <v>1068</v>
      </c>
    </row>
    <row r="619" spans="2:4">
      <c r="B619" s="2948" t="s">
        <v>3110</v>
      </c>
      <c r="C619" s="2194" t="s">
        <v>1621</v>
      </c>
      <c r="D619" s="2193" t="s">
        <v>1003</v>
      </c>
    </row>
    <row r="620" spans="2:4">
      <c r="B620" s="2948" t="s">
        <v>3109</v>
      </c>
      <c r="C620" s="2194" t="s">
        <v>1622</v>
      </c>
      <c r="D620" s="2193" t="s">
        <v>1007</v>
      </c>
    </row>
    <row r="621" spans="2:4">
      <c r="B621" s="2948" t="s">
        <v>3108</v>
      </c>
      <c r="C621" s="2194" t="s">
        <v>1623</v>
      </c>
      <c r="D621" s="2193" t="s">
        <v>1044</v>
      </c>
    </row>
    <row r="622" spans="2:4">
      <c r="B622" s="2948" t="s">
        <v>3107</v>
      </c>
      <c r="C622" s="2194" t="s">
        <v>1624</v>
      </c>
      <c r="D622" s="2193" t="s">
        <v>1028</v>
      </c>
    </row>
    <row r="623" spans="2:4">
      <c r="B623" s="2948" t="s">
        <v>3106</v>
      </c>
      <c r="C623" s="2194" t="s">
        <v>1624</v>
      </c>
      <c r="D623" s="2193" t="s">
        <v>1028</v>
      </c>
    </row>
    <row r="624" spans="2:4">
      <c r="B624" s="2948" t="s">
        <v>3105</v>
      </c>
      <c r="C624" s="2194" t="s">
        <v>1625</v>
      </c>
      <c r="D624" s="2193" t="s">
        <v>1005</v>
      </c>
    </row>
    <row r="625" spans="2:4">
      <c r="B625" s="2948" t="s">
        <v>3104</v>
      </c>
      <c r="C625" s="2194" t="s">
        <v>1626</v>
      </c>
      <c r="D625" s="2193" t="s">
        <v>1068</v>
      </c>
    </row>
    <row r="626" spans="2:4">
      <c r="B626" s="2948" t="s">
        <v>3103</v>
      </c>
      <c r="C626" s="2194" t="s">
        <v>1627</v>
      </c>
      <c r="D626" s="2193" t="s">
        <v>1007</v>
      </c>
    </row>
    <row r="627" spans="2:4">
      <c r="B627" s="2948" t="s">
        <v>3102</v>
      </c>
      <c r="C627" s="2194" t="s">
        <v>1628</v>
      </c>
      <c r="D627" s="2193" t="s">
        <v>4036</v>
      </c>
    </row>
    <row r="628" spans="2:4">
      <c r="B628" s="2948" t="s">
        <v>2365</v>
      </c>
      <c r="C628" s="2194" t="s">
        <v>1629</v>
      </c>
      <c r="D628" s="2193" t="s">
        <v>1014</v>
      </c>
    </row>
    <row r="629" spans="2:4">
      <c r="B629" s="2948" t="s">
        <v>3101</v>
      </c>
      <c r="C629" s="2194" t="s">
        <v>1630</v>
      </c>
      <c r="D629" s="2193" t="s">
        <v>1005</v>
      </c>
    </row>
    <row r="630" spans="2:4">
      <c r="B630" s="2948" t="s">
        <v>3100</v>
      </c>
      <c r="C630" s="2194" t="s">
        <v>1631</v>
      </c>
      <c r="D630" s="2193" t="s">
        <v>1028</v>
      </c>
    </row>
    <row r="631" spans="2:4">
      <c r="B631" s="2948" t="s">
        <v>3099</v>
      </c>
      <c r="C631" s="2194" t="s">
        <v>1632</v>
      </c>
      <c r="D631" s="2193" t="s">
        <v>1005</v>
      </c>
    </row>
    <row r="632" spans="2:4">
      <c r="B632" s="2948" t="s">
        <v>3098</v>
      </c>
      <c r="C632" s="2194" t="s">
        <v>1633</v>
      </c>
      <c r="D632" s="2193" t="s">
        <v>1003</v>
      </c>
    </row>
    <row r="633" spans="2:4">
      <c r="B633" s="2948" t="s">
        <v>3097</v>
      </c>
      <c r="C633" s="2194" t="s">
        <v>1634</v>
      </c>
      <c r="D633" s="2193" t="s">
        <v>1014</v>
      </c>
    </row>
    <row r="634" spans="2:4">
      <c r="B634" s="2948" t="s">
        <v>2350</v>
      </c>
      <c r="C634" s="2194" t="s">
        <v>1635</v>
      </c>
      <c r="D634" s="2193" t="s">
        <v>1014</v>
      </c>
    </row>
    <row r="635" spans="2:4">
      <c r="B635" s="2948" t="s">
        <v>3096</v>
      </c>
      <c r="C635" s="2194" t="s">
        <v>1636</v>
      </c>
      <c r="D635" s="2193" t="s">
        <v>1068</v>
      </c>
    </row>
    <row r="636" spans="2:4">
      <c r="B636" s="2948" t="s">
        <v>3095</v>
      </c>
      <c r="C636" s="2194" t="s">
        <v>1637</v>
      </c>
      <c r="D636" s="2193" t="s">
        <v>1005</v>
      </c>
    </row>
    <row r="637" spans="2:4">
      <c r="B637" s="2948" t="s">
        <v>3094</v>
      </c>
      <c r="C637" s="2194" t="s">
        <v>1638</v>
      </c>
      <c r="D637" s="2193" t="s">
        <v>1019</v>
      </c>
    </row>
    <row r="638" spans="2:4">
      <c r="B638" s="2948" t="s">
        <v>3093</v>
      </c>
      <c r="C638" s="2194" t="s">
        <v>1639</v>
      </c>
      <c r="D638" s="2193" t="s">
        <v>1068</v>
      </c>
    </row>
    <row r="639" spans="2:4">
      <c r="B639" s="2948" t="s">
        <v>3092</v>
      </c>
      <c r="C639" s="2194" t="s">
        <v>1640</v>
      </c>
      <c r="D639" s="2193" t="s">
        <v>1007</v>
      </c>
    </row>
    <row r="640" spans="2:4">
      <c r="B640" s="2948" t="s">
        <v>3091</v>
      </c>
      <c r="C640" s="2194" t="s">
        <v>1641</v>
      </c>
      <c r="D640" s="2193" t="s">
        <v>1005</v>
      </c>
    </row>
    <row r="641" spans="2:4">
      <c r="B641" s="2948" t="s">
        <v>3090</v>
      </c>
      <c r="C641" s="2194" t="s">
        <v>1642</v>
      </c>
      <c r="D641" s="2193" t="s">
        <v>1068</v>
      </c>
    </row>
    <row r="642" spans="2:4">
      <c r="B642" s="2948" t="s">
        <v>3089</v>
      </c>
      <c r="C642" s="2194" t="s">
        <v>1643</v>
      </c>
      <c r="D642" s="2193" t="s">
        <v>1014</v>
      </c>
    </row>
    <row r="643" spans="2:4">
      <c r="B643" s="2948" t="s">
        <v>3088</v>
      </c>
      <c r="C643" s="2194" t="s">
        <v>1643</v>
      </c>
      <c r="D643" s="2193" t="s">
        <v>1007</v>
      </c>
    </row>
    <row r="644" spans="2:4">
      <c r="B644" s="2948" t="s">
        <v>3087</v>
      </c>
      <c r="C644" s="2194" t="s">
        <v>1644</v>
      </c>
      <c r="D644" s="2193" t="s">
        <v>1005</v>
      </c>
    </row>
    <row r="645" spans="2:4">
      <c r="B645" s="2948" t="s">
        <v>3086</v>
      </c>
      <c r="C645" s="2194" t="s">
        <v>1645</v>
      </c>
      <c r="D645" s="2193" t="s">
        <v>1007</v>
      </c>
    </row>
    <row r="646" spans="2:4">
      <c r="B646" s="2948" t="s">
        <v>3085</v>
      </c>
      <c r="C646" s="2194" t="s">
        <v>1646</v>
      </c>
      <c r="D646" s="2193" t="s">
        <v>1028</v>
      </c>
    </row>
    <row r="647" spans="2:4">
      <c r="B647" s="2948" t="s">
        <v>2353</v>
      </c>
      <c r="C647" s="2194" t="s">
        <v>1647</v>
      </c>
      <c r="D647" s="2193" t="s">
        <v>1014</v>
      </c>
    </row>
    <row r="648" spans="2:4">
      <c r="B648" s="2948" t="s">
        <v>3084</v>
      </c>
      <c r="C648" s="2194" t="s">
        <v>1647</v>
      </c>
      <c r="D648" s="2193" t="s">
        <v>1005</v>
      </c>
    </row>
    <row r="649" spans="2:4">
      <c r="B649" s="2948" t="s">
        <v>3083</v>
      </c>
      <c r="C649" s="2194" t="s">
        <v>1648</v>
      </c>
      <c r="D649" s="2193" t="s">
        <v>1007</v>
      </c>
    </row>
    <row r="650" spans="2:4">
      <c r="B650" s="2948" t="s">
        <v>3082</v>
      </c>
      <c r="C650" s="2194" t="s">
        <v>1649</v>
      </c>
      <c r="D650" s="2193" t="s">
        <v>1068</v>
      </c>
    </row>
    <row r="651" spans="2:4">
      <c r="B651" s="2948" t="s">
        <v>3081</v>
      </c>
      <c r="C651" s="2194" t="s">
        <v>1650</v>
      </c>
      <c r="D651" s="2193" t="s">
        <v>1007</v>
      </c>
    </row>
    <row r="652" spans="2:4">
      <c r="B652" s="2948" t="s">
        <v>3080</v>
      </c>
      <c r="C652" s="2194" t="s">
        <v>1651</v>
      </c>
      <c r="D652" s="2193" t="s">
        <v>1005</v>
      </c>
    </row>
    <row r="653" spans="2:4">
      <c r="B653" s="2948" t="s">
        <v>3079</v>
      </c>
      <c r="C653" s="2194" t="s">
        <v>1652</v>
      </c>
      <c r="D653" s="2193" t="s">
        <v>4036</v>
      </c>
    </row>
    <row r="654" spans="2:4">
      <c r="B654" s="2948" t="s">
        <v>3078</v>
      </c>
      <c r="C654" s="2194" t="s">
        <v>1653</v>
      </c>
      <c r="D654" s="2193" t="s">
        <v>1014</v>
      </c>
    </row>
    <row r="655" spans="2:4">
      <c r="B655" s="2948" t="s">
        <v>3077</v>
      </c>
      <c r="C655" s="2194" t="s">
        <v>1654</v>
      </c>
      <c r="D655" s="2193" t="s">
        <v>1003</v>
      </c>
    </row>
    <row r="656" spans="2:4">
      <c r="B656" s="2948" t="s">
        <v>3076</v>
      </c>
      <c r="C656" s="2194" t="s">
        <v>1655</v>
      </c>
      <c r="D656" s="2193" t="s">
        <v>1005</v>
      </c>
    </row>
    <row r="657" spans="2:4">
      <c r="B657" s="2948" t="s">
        <v>3075</v>
      </c>
      <c r="C657" s="2194" t="s">
        <v>1656</v>
      </c>
      <c r="D657" s="2193" t="s">
        <v>1068</v>
      </c>
    </row>
    <row r="658" spans="2:4">
      <c r="B658" s="2948" t="s">
        <v>3074</v>
      </c>
      <c r="C658" s="2194" t="s">
        <v>1657</v>
      </c>
      <c r="D658" s="2193" t="s">
        <v>1005</v>
      </c>
    </row>
    <row r="659" spans="2:4">
      <c r="B659" s="2948" t="s">
        <v>3073</v>
      </c>
      <c r="C659" s="2194" t="s">
        <v>1658</v>
      </c>
      <c r="D659" s="2193" t="s">
        <v>1021</v>
      </c>
    </row>
    <row r="660" spans="2:4">
      <c r="B660" s="2948" t="s">
        <v>2369</v>
      </c>
      <c r="C660" s="2194" t="s">
        <v>1659</v>
      </c>
      <c r="D660" s="2193" t="s">
        <v>1014</v>
      </c>
    </row>
    <row r="661" spans="2:4">
      <c r="B661" s="2948" t="s">
        <v>3072</v>
      </c>
      <c r="C661" s="2194" t="s">
        <v>1659</v>
      </c>
      <c r="D661" s="2193" t="s">
        <v>1068</v>
      </c>
    </row>
    <row r="662" spans="2:4">
      <c r="B662" s="2948" t="s">
        <v>3071</v>
      </c>
      <c r="C662" s="2194" t="s">
        <v>1660</v>
      </c>
      <c r="D662" s="2193" t="s">
        <v>1019</v>
      </c>
    </row>
    <row r="663" spans="2:4">
      <c r="B663" s="2948" t="s">
        <v>3070</v>
      </c>
      <c r="C663" s="2194" t="s">
        <v>1661</v>
      </c>
      <c r="D663" s="2193" t="s">
        <v>1007</v>
      </c>
    </row>
    <row r="664" spans="2:4">
      <c r="B664" s="2948" t="s">
        <v>3069</v>
      </c>
      <c r="C664" s="2194" t="s">
        <v>1662</v>
      </c>
      <c r="D664" s="2193" t="s">
        <v>1019</v>
      </c>
    </row>
    <row r="665" spans="2:4">
      <c r="B665" s="2948" t="s">
        <v>2370</v>
      </c>
      <c r="C665" s="2194" t="s">
        <v>1663</v>
      </c>
      <c r="D665" s="2193" t="s">
        <v>1014</v>
      </c>
    </row>
    <row r="666" spans="2:4">
      <c r="B666" s="2948" t="s">
        <v>3068</v>
      </c>
      <c r="C666" s="2194" t="s">
        <v>1664</v>
      </c>
      <c r="D666" s="2193" t="s">
        <v>1005</v>
      </c>
    </row>
    <row r="667" spans="2:4">
      <c r="B667" s="2948" t="s">
        <v>3067</v>
      </c>
      <c r="C667" s="2194" t="s">
        <v>1665</v>
      </c>
      <c r="D667" s="2193" t="s">
        <v>1051</v>
      </c>
    </row>
    <row r="668" spans="2:4">
      <c r="B668" s="2948" t="s">
        <v>3066</v>
      </c>
      <c r="C668" s="2194" t="s">
        <v>1666</v>
      </c>
      <c r="D668" s="2193" t="s">
        <v>1044</v>
      </c>
    </row>
    <row r="669" spans="2:4">
      <c r="B669" s="2948" t="s">
        <v>3065</v>
      </c>
      <c r="C669" s="2194" t="s">
        <v>1667</v>
      </c>
      <c r="D669" s="2193" t="s">
        <v>1041</v>
      </c>
    </row>
    <row r="670" spans="2:4">
      <c r="B670" s="2948" t="s">
        <v>3064</v>
      </c>
      <c r="C670" s="2194" t="s">
        <v>1668</v>
      </c>
      <c r="D670" s="2193" t="s">
        <v>1051</v>
      </c>
    </row>
    <row r="671" spans="2:4">
      <c r="B671" s="2948" t="s">
        <v>3063</v>
      </c>
      <c r="C671" s="2194" t="s">
        <v>1669</v>
      </c>
      <c r="D671" s="2193" t="s">
        <v>1003</v>
      </c>
    </row>
    <row r="672" spans="2:4">
      <c r="B672" s="2948" t="s">
        <v>3062</v>
      </c>
      <c r="C672" s="2194" t="s">
        <v>1670</v>
      </c>
      <c r="D672" s="2193" t="s">
        <v>1005</v>
      </c>
    </row>
    <row r="673" spans="2:4">
      <c r="B673" s="2948" t="s">
        <v>3061</v>
      </c>
      <c r="C673" s="2194" t="s">
        <v>1671</v>
      </c>
      <c r="D673" s="2193" t="s">
        <v>1019</v>
      </c>
    </row>
    <row r="674" spans="2:4">
      <c r="B674" s="2948" t="s">
        <v>2317</v>
      </c>
      <c r="C674" s="2194" t="s">
        <v>1672</v>
      </c>
      <c r="D674" s="2193" t="s">
        <v>4037</v>
      </c>
    </row>
    <row r="675" spans="2:4">
      <c r="B675" s="2948" t="s">
        <v>3060</v>
      </c>
      <c r="C675" s="2194" t="s">
        <v>1673</v>
      </c>
      <c r="D675" s="2193" t="s">
        <v>1005</v>
      </c>
    </row>
    <row r="676" spans="2:4">
      <c r="B676" s="2948" t="s">
        <v>3059</v>
      </c>
      <c r="C676" s="2194" t="s">
        <v>1674</v>
      </c>
      <c r="D676" s="2193" t="s">
        <v>1019</v>
      </c>
    </row>
    <row r="677" spans="2:4">
      <c r="B677" s="2948" t="s">
        <v>3058</v>
      </c>
      <c r="C677" s="2194" t="s">
        <v>1675</v>
      </c>
      <c r="D677" s="2193" t="s">
        <v>1019</v>
      </c>
    </row>
    <row r="678" spans="2:4">
      <c r="B678" s="2948" t="s">
        <v>3057</v>
      </c>
      <c r="C678" s="2194" t="s">
        <v>1676</v>
      </c>
      <c r="D678" s="2193" t="s">
        <v>1007</v>
      </c>
    </row>
    <row r="679" spans="2:4">
      <c r="B679" s="2948" t="s">
        <v>3056</v>
      </c>
      <c r="C679" s="2194" t="s">
        <v>1677</v>
      </c>
      <c r="D679" s="2193" t="s">
        <v>1007</v>
      </c>
    </row>
    <row r="680" spans="2:4">
      <c r="B680" s="2948" t="s">
        <v>3055</v>
      </c>
      <c r="C680" s="2194" t="s">
        <v>1678</v>
      </c>
      <c r="D680" s="2193" t="s">
        <v>1005</v>
      </c>
    </row>
    <row r="681" spans="2:4">
      <c r="B681" s="2948" t="s">
        <v>3054</v>
      </c>
      <c r="C681" s="2194" t="s">
        <v>1679</v>
      </c>
      <c r="D681" s="2193" t="s">
        <v>1068</v>
      </c>
    </row>
    <row r="682" spans="2:4">
      <c r="B682" s="2948" t="s">
        <v>3053</v>
      </c>
      <c r="C682" s="2194" t="s">
        <v>1680</v>
      </c>
      <c r="D682" s="2193" t="s">
        <v>1005</v>
      </c>
    </row>
    <row r="683" spans="2:4">
      <c r="B683" s="2948" t="s">
        <v>3052</v>
      </c>
      <c r="C683" s="2194" t="s">
        <v>1681</v>
      </c>
      <c r="D683" s="2193" t="s">
        <v>1044</v>
      </c>
    </row>
    <row r="684" spans="2:4">
      <c r="B684" s="2948" t="s">
        <v>3051</v>
      </c>
      <c r="C684" s="2194" t="s">
        <v>1682</v>
      </c>
      <c r="D684" s="2193" t="s">
        <v>1028</v>
      </c>
    </row>
    <row r="685" spans="2:4">
      <c r="B685" s="2948" t="s">
        <v>3050</v>
      </c>
      <c r="C685" s="2194" t="s">
        <v>1683</v>
      </c>
      <c r="D685" s="2193" t="s">
        <v>1005</v>
      </c>
    </row>
    <row r="686" spans="2:4">
      <c r="B686" s="2948" t="s">
        <v>3049</v>
      </c>
      <c r="C686" s="2194" t="s">
        <v>1684</v>
      </c>
      <c r="D686" s="2193" t="s">
        <v>1003</v>
      </c>
    </row>
    <row r="687" spans="2:4">
      <c r="B687" s="2948" t="s">
        <v>3048</v>
      </c>
      <c r="C687" s="2194" t="s">
        <v>2039</v>
      </c>
      <c r="D687" s="2193" t="s">
        <v>1044</v>
      </c>
    </row>
    <row r="688" spans="2:4">
      <c r="B688" s="2948" t="s">
        <v>3047</v>
      </c>
      <c r="C688" s="2194" t="s">
        <v>1685</v>
      </c>
      <c r="D688" s="2193" t="s">
        <v>1028</v>
      </c>
    </row>
    <row r="689" spans="2:4">
      <c r="B689" s="2948" t="s">
        <v>3046</v>
      </c>
      <c r="C689" s="2194" t="s">
        <v>1686</v>
      </c>
      <c r="D689" s="2193" t="s">
        <v>1003</v>
      </c>
    </row>
    <row r="690" spans="2:4">
      <c r="B690" s="2948" t="s">
        <v>3045</v>
      </c>
      <c r="C690" s="2194" t="s">
        <v>1687</v>
      </c>
      <c r="D690" s="2193" t="s">
        <v>1003</v>
      </c>
    </row>
    <row r="691" spans="2:4">
      <c r="B691" s="2948" t="s">
        <v>3044</v>
      </c>
      <c r="C691" s="2194" t="s">
        <v>1688</v>
      </c>
      <c r="D691" s="2193" t="s">
        <v>1005</v>
      </c>
    </row>
    <row r="692" spans="2:4">
      <c r="B692" s="2948" t="s">
        <v>3043</v>
      </c>
      <c r="C692" s="2194" t="s">
        <v>1689</v>
      </c>
      <c r="D692" s="2193" t="s">
        <v>1044</v>
      </c>
    </row>
    <row r="693" spans="2:4">
      <c r="B693" s="2948" t="s">
        <v>3042</v>
      </c>
      <c r="C693" s="2194" t="s">
        <v>1690</v>
      </c>
      <c r="D693" s="2193" t="s">
        <v>1007</v>
      </c>
    </row>
    <row r="694" spans="2:4">
      <c r="B694" s="2948" t="s">
        <v>3041</v>
      </c>
      <c r="C694" s="2194" t="s">
        <v>1691</v>
      </c>
      <c r="D694" s="2193" t="s">
        <v>1005</v>
      </c>
    </row>
    <row r="695" spans="2:4">
      <c r="B695" s="2948" t="s">
        <v>3040</v>
      </c>
      <c r="C695" s="2194" t="s">
        <v>1692</v>
      </c>
      <c r="D695" s="2193" t="s">
        <v>1007</v>
      </c>
    </row>
    <row r="696" spans="2:4">
      <c r="B696" s="2948" t="s">
        <v>3039</v>
      </c>
      <c r="C696" s="2194" t="s">
        <v>1693</v>
      </c>
      <c r="D696" s="2193" t="s">
        <v>1028</v>
      </c>
    </row>
    <row r="697" spans="2:4">
      <c r="B697" s="2948" t="s">
        <v>3038</v>
      </c>
      <c r="C697" s="2194" t="s">
        <v>1694</v>
      </c>
      <c r="D697" s="2193" t="s">
        <v>1007</v>
      </c>
    </row>
    <row r="698" spans="2:4">
      <c r="B698" s="2948" t="s">
        <v>3037</v>
      </c>
      <c r="C698" s="2194" t="s">
        <v>1695</v>
      </c>
      <c r="D698" s="2193" t="s">
        <v>1028</v>
      </c>
    </row>
    <row r="699" spans="2:4">
      <c r="B699" s="2948" t="s">
        <v>3036</v>
      </c>
      <c r="C699" s="2194" t="s">
        <v>1696</v>
      </c>
      <c r="D699" s="2193" t="s">
        <v>4036</v>
      </c>
    </row>
    <row r="700" spans="2:4">
      <c r="B700" s="2948" t="s">
        <v>3035</v>
      </c>
      <c r="C700" s="2194" t="s">
        <v>1697</v>
      </c>
      <c r="D700" s="2193" t="s">
        <v>1005</v>
      </c>
    </row>
    <row r="701" spans="2:4">
      <c r="B701" s="2948" t="s">
        <v>3034</v>
      </c>
      <c r="C701" s="2194" t="s">
        <v>1698</v>
      </c>
      <c r="D701" s="2193" t="s">
        <v>1021</v>
      </c>
    </row>
    <row r="702" spans="2:4">
      <c r="B702" s="2948" t="s">
        <v>3033</v>
      </c>
      <c r="C702" s="2194" t="s">
        <v>1699</v>
      </c>
      <c r="D702" s="2193" t="s">
        <v>1007</v>
      </c>
    </row>
    <row r="703" spans="2:4">
      <c r="B703" s="2948" t="s">
        <v>3032</v>
      </c>
      <c r="C703" s="2194" t="s">
        <v>1700</v>
      </c>
      <c r="D703" s="2193" t="s">
        <v>1051</v>
      </c>
    </row>
    <row r="704" spans="2:4">
      <c r="B704" s="2948" t="s">
        <v>3031</v>
      </c>
      <c r="C704" s="2194" t="s">
        <v>1701</v>
      </c>
      <c r="D704" s="2193" t="s">
        <v>1003</v>
      </c>
    </row>
    <row r="705" spans="2:4">
      <c r="B705" s="2948" t="s">
        <v>3030</v>
      </c>
      <c r="C705" s="2194" t="s">
        <v>1702</v>
      </c>
      <c r="D705" s="2193" t="s">
        <v>1068</v>
      </c>
    </row>
    <row r="706" spans="2:4">
      <c r="B706" s="2948" t="s">
        <v>3029</v>
      </c>
      <c r="C706" s="2194" t="s">
        <v>1703</v>
      </c>
      <c r="D706" s="2193" t="s">
        <v>1028</v>
      </c>
    </row>
    <row r="707" spans="2:4">
      <c r="B707" s="2948" t="s">
        <v>3028</v>
      </c>
      <c r="C707" s="2194" t="s">
        <v>1704</v>
      </c>
      <c r="D707" s="2193" t="s">
        <v>1068</v>
      </c>
    </row>
    <row r="708" spans="2:4">
      <c r="B708" s="2948" t="s">
        <v>3027</v>
      </c>
      <c r="C708" s="2194" t="s">
        <v>1705</v>
      </c>
      <c r="D708" s="2193" t="s">
        <v>1028</v>
      </c>
    </row>
    <row r="709" spans="2:4">
      <c r="B709" s="2948" t="s">
        <v>3026</v>
      </c>
      <c r="C709" s="2194" t="s">
        <v>1706</v>
      </c>
      <c r="D709" s="2193" t="s">
        <v>1007</v>
      </c>
    </row>
    <row r="710" spans="2:4">
      <c r="B710" s="2948" t="s">
        <v>3025</v>
      </c>
      <c r="C710" s="2194" t="s">
        <v>1707</v>
      </c>
      <c r="D710" s="2193" t="s">
        <v>1044</v>
      </c>
    </row>
    <row r="711" spans="2:4">
      <c r="B711" s="2948" t="s">
        <v>2357</v>
      </c>
      <c r="C711" s="2194" t="s">
        <v>1708</v>
      </c>
      <c r="D711" s="2193" t="s">
        <v>1014</v>
      </c>
    </row>
    <row r="712" spans="2:4">
      <c r="B712" s="2948" t="s">
        <v>3024</v>
      </c>
      <c r="C712" s="2194" t="s">
        <v>1708</v>
      </c>
      <c r="D712" s="2193" t="s">
        <v>1007</v>
      </c>
    </row>
    <row r="713" spans="2:4">
      <c r="B713" s="2948" t="s">
        <v>2378</v>
      </c>
      <c r="C713" s="2194" t="s">
        <v>1709</v>
      </c>
      <c r="D713" s="2193" t="s">
        <v>1014</v>
      </c>
    </row>
    <row r="714" spans="2:4">
      <c r="B714" s="2948" t="s">
        <v>2339</v>
      </c>
      <c r="C714" s="2194" t="s">
        <v>1710</v>
      </c>
      <c r="D714" s="2193" t="s">
        <v>1014</v>
      </c>
    </row>
    <row r="715" spans="2:4">
      <c r="B715" s="2948" t="s">
        <v>3023</v>
      </c>
      <c r="C715" s="2194" t="s">
        <v>1711</v>
      </c>
      <c r="D715" s="2193" t="s">
        <v>1014</v>
      </c>
    </row>
    <row r="716" spans="2:4">
      <c r="B716" s="2948" t="s">
        <v>3022</v>
      </c>
      <c r="C716" s="2194" t="s">
        <v>1711</v>
      </c>
      <c r="D716" s="2193" t="s">
        <v>1028</v>
      </c>
    </row>
    <row r="717" spans="2:4">
      <c r="B717" s="2948" t="s">
        <v>3021</v>
      </c>
      <c r="C717" s="2194" t="s">
        <v>1712</v>
      </c>
      <c r="D717" s="2193" t="s">
        <v>1051</v>
      </c>
    </row>
    <row r="718" spans="2:4">
      <c r="B718" s="2948" t="s">
        <v>3020</v>
      </c>
      <c r="C718" s="2194" t="s">
        <v>1713</v>
      </c>
      <c r="D718" s="2193" t="s">
        <v>1068</v>
      </c>
    </row>
    <row r="719" spans="2:4">
      <c r="B719" s="2948" t="s">
        <v>3019</v>
      </c>
      <c r="C719" s="2194" t="s">
        <v>1714</v>
      </c>
      <c r="D719" s="2193" t="s">
        <v>1021</v>
      </c>
    </row>
    <row r="720" spans="2:4">
      <c r="B720" s="2948" t="s">
        <v>3018</v>
      </c>
      <c r="C720" s="2194" t="s">
        <v>1715</v>
      </c>
      <c r="D720" s="2193" t="s">
        <v>1021</v>
      </c>
    </row>
    <row r="721" spans="2:4">
      <c r="B721" s="2948" t="s">
        <v>3017</v>
      </c>
      <c r="C721" s="2194" t="s">
        <v>1716</v>
      </c>
      <c r="D721" s="2193" t="s">
        <v>4036</v>
      </c>
    </row>
    <row r="722" spans="2:4">
      <c r="B722" s="2948" t="s">
        <v>3016</v>
      </c>
      <c r="C722" s="2194" t="s">
        <v>1717</v>
      </c>
      <c r="D722" s="2193" t="s">
        <v>1005</v>
      </c>
    </row>
    <row r="723" spans="2:4">
      <c r="B723" s="2948" t="s">
        <v>3015</v>
      </c>
      <c r="C723" s="2194" t="s">
        <v>1718</v>
      </c>
      <c r="D723" s="2193" t="s">
        <v>1028</v>
      </c>
    </row>
    <row r="724" spans="2:4">
      <c r="B724" s="2948" t="s">
        <v>3014</v>
      </c>
      <c r="C724" s="2194" t="s">
        <v>1719</v>
      </c>
      <c r="D724" s="2193" t="s">
        <v>1014</v>
      </c>
    </row>
    <row r="725" spans="2:4">
      <c r="B725" s="2948" t="s">
        <v>3013</v>
      </c>
      <c r="C725" s="2194" t="s">
        <v>1720</v>
      </c>
      <c r="D725" s="2193" t="s">
        <v>1021</v>
      </c>
    </row>
    <row r="726" spans="2:4">
      <c r="B726" s="2948" t="s">
        <v>3012</v>
      </c>
      <c r="C726" s="2194" t="s">
        <v>1721</v>
      </c>
      <c r="D726" s="2193" t="s">
        <v>1007</v>
      </c>
    </row>
    <row r="727" spans="2:4">
      <c r="B727" s="2948" t="s">
        <v>2343</v>
      </c>
      <c r="C727" s="2194" t="s">
        <v>1722</v>
      </c>
      <c r="D727" s="2193" t="s">
        <v>1014</v>
      </c>
    </row>
    <row r="728" spans="2:4">
      <c r="B728" s="2948" t="s">
        <v>2367</v>
      </c>
      <c r="C728" s="2194" t="s">
        <v>1723</v>
      </c>
      <c r="D728" s="2193" t="s">
        <v>1014</v>
      </c>
    </row>
    <row r="729" spans="2:4">
      <c r="B729" s="2948" t="s">
        <v>3011</v>
      </c>
      <c r="C729" s="2194" t="s">
        <v>1723</v>
      </c>
      <c r="D729" s="2193" t="s">
        <v>4036</v>
      </c>
    </row>
    <row r="730" spans="2:4">
      <c r="B730" s="2948" t="s">
        <v>3010</v>
      </c>
      <c r="C730" s="2194" t="s">
        <v>1724</v>
      </c>
      <c r="D730" s="2193" t="s">
        <v>1005</v>
      </c>
    </row>
    <row r="731" spans="2:4">
      <c r="B731" s="2948" t="s">
        <v>3009</v>
      </c>
      <c r="C731" s="2194" t="s">
        <v>1725</v>
      </c>
      <c r="D731" s="2193" t="s">
        <v>1068</v>
      </c>
    </row>
    <row r="732" spans="2:4">
      <c r="B732" s="2948" t="s">
        <v>3008</v>
      </c>
      <c r="C732" s="2194" t="s">
        <v>1726</v>
      </c>
      <c r="D732" s="2193" t="s">
        <v>1007</v>
      </c>
    </row>
    <row r="733" spans="2:4">
      <c r="B733" s="2948" t="s">
        <v>3007</v>
      </c>
      <c r="C733" s="2194" t="s">
        <v>1727</v>
      </c>
      <c r="D733" s="2193" t="s">
        <v>1005</v>
      </c>
    </row>
    <row r="734" spans="2:4">
      <c r="B734" s="2948" t="s">
        <v>3006</v>
      </c>
      <c r="C734" s="2194" t="s">
        <v>1728</v>
      </c>
      <c r="D734" s="2193" t="s">
        <v>1051</v>
      </c>
    </row>
    <row r="735" spans="2:4">
      <c r="B735" s="2948" t="s">
        <v>3005</v>
      </c>
      <c r="C735" s="2194" t="s">
        <v>1729</v>
      </c>
      <c r="D735" s="2193" t="s">
        <v>1014</v>
      </c>
    </row>
    <row r="736" spans="2:4">
      <c r="B736" s="2948" t="s">
        <v>3004</v>
      </c>
      <c r="C736" s="2194" t="s">
        <v>1730</v>
      </c>
      <c r="D736" s="2193" t="s">
        <v>1007</v>
      </c>
    </row>
    <row r="737" spans="2:4">
      <c r="B737" s="2948" t="s">
        <v>3003</v>
      </c>
      <c r="C737" s="2194" t="s">
        <v>1731</v>
      </c>
      <c r="D737" s="2193" t="s">
        <v>1028</v>
      </c>
    </row>
    <row r="738" spans="2:4">
      <c r="B738" s="2948" t="s">
        <v>2379</v>
      </c>
      <c r="C738" s="2194" t="s">
        <v>1732</v>
      </c>
      <c r="D738" s="2193" t="s">
        <v>1014</v>
      </c>
    </row>
    <row r="739" spans="2:4">
      <c r="B739" s="2948" t="s">
        <v>3002</v>
      </c>
      <c r="C739" s="2194" t="s">
        <v>1733</v>
      </c>
      <c r="D739" s="2193" t="s">
        <v>1007</v>
      </c>
    </row>
    <row r="740" spans="2:4">
      <c r="B740" s="2948" t="s">
        <v>3001</v>
      </c>
      <c r="C740" s="2194" t="s">
        <v>1734</v>
      </c>
      <c r="D740" s="2193" t="s">
        <v>1019</v>
      </c>
    </row>
    <row r="741" spans="2:4">
      <c r="B741" s="2948" t="s">
        <v>2324</v>
      </c>
      <c r="C741" s="2194" t="s">
        <v>1735</v>
      </c>
      <c r="D741" s="2193" t="s">
        <v>4037</v>
      </c>
    </row>
    <row r="742" spans="2:4">
      <c r="B742" s="2948" t="s">
        <v>3000</v>
      </c>
      <c r="C742" s="2194" t="s">
        <v>1735</v>
      </c>
      <c r="D742" s="2193" t="s">
        <v>1007</v>
      </c>
    </row>
    <row r="743" spans="2:4">
      <c r="B743" s="2948" t="s">
        <v>2999</v>
      </c>
      <c r="C743" s="2194" t="s">
        <v>1736</v>
      </c>
      <c r="D743" s="2193" t="s">
        <v>1014</v>
      </c>
    </row>
    <row r="744" spans="2:4">
      <c r="B744" s="2948" t="s">
        <v>2998</v>
      </c>
      <c r="C744" s="2194" t="s">
        <v>1737</v>
      </c>
      <c r="D744" s="2193" t="s">
        <v>1005</v>
      </c>
    </row>
    <row r="745" spans="2:4">
      <c r="B745" s="2948" t="s">
        <v>2311</v>
      </c>
      <c r="C745" s="2194" t="s">
        <v>1738</v>
      </c>
      <c r="D745" s="2193" t="s">
        <v>4037</v>
      </c>
    </row>
    <row r="746" spans="2:4">
      <c r="B746" s="2948" t="s">
        <v>2997</v>
      </c>
      <c r="C746" s="2194" t="s">
        <v>1739</v>
      </c>
      <c r="D746" s="2193" t="s">
        <v>1068</v>
      </c>
    </row>
    <row r="747" spans="2:4">
      <c r="B747" s="2948" t="s">
        <v>2996</v>
      </c>
      <c r="C747" s="2194" t="s">
        <v>1740</v>
      </c>
      <c r="D747" s="2193" t="s">
        <v>1007</v>
      </c>
    </row>
    <row r="748" spans="2:4">
      <c r="B748" s="2948" t="s">
        <v>2995</v>
      </c>
      <c r="C748" s="2194" t="s">
        <v>1741</v>
      </c>
      <c r="D748" s="2193" t="s">
        <v>1019</v>
      </c>
    </row>
    <row r="749" spans="2:4">
      <c r="B749" s="2948" t="s">
        <v>2338</v>
      </c>
      <c r="C749" s="2194" t="s">
        <v>1742</v>
      </c>
      <c r="D749" s="2193" t="s">
        <v>1014</v>
      </c>
    </row>
    <row r="750" spans="2:4">
      <c r="B750" s="2948" t="s">
        <v>2994</v>
      </c>
      <c r="C750" s="2194" t="s">
        <v>1743</v>
      </c>
      <c r="D750" s="2193" t="s">
        <v>1007</v>
      </c>
    </row>
    <row r="751" spans="2:4">
      <c r="B751" s="2948" t="s">
        <v>2993</v>
      </c>
      <c r="C751" s="2194" t="s">
        <v>1744</v>
      </c>
      <c r="D751" s="2193" t="s">
        <v>1028</v>
      </c>
    </row>
    <row r="752" spans="2:4">
      <c r="B752" s="2948" t="s">
        <v>2992</v>
      </c>
      <c r="C752" s="2194" t="s">
        <v>1745</v>
      </c>
      <c r="D752" s="2193" t="s">
        <v>1005</v>
      </c>
    </row>
    <row r="753" spans="2:4">
      <c r="B753" s="2948" t="s">
        <v>2991</v>
      </c>
      <c r="C753" s="2194" t="s">
        <v>1746</v>
      </c>
      <c r="D753" s="2193" t="s">
        <v>1068</v>
      </c>
    </row>
    <row r="754" spans="2:4">
      <c r="B754" s="2948" t="s">
        <v>2990</v>
      </c>
      <c r="C754" s="2194" t="s">
        <v>1747</v>
      </c>
      <c r="D754" s="2193" t="s">
        <v>1005</v>
      </c>
    </row>
    <row r="755" spans="2:4">
      <c r="B755" s="2948" t="s">
        <v>2989</v>
      </c>
      <c r="C755" s="2194" t="s">
        <v>1748</v>
      </c>
      <c r="D755" s="2193" t="s">
        <v>1019</v>
      </c>
    </row>
    <row r="756" spans="2:4">
      <c r="B756" s="2948" t="s">
        <v>2988</v>
      </c>
      <c r="C756" s="2194" t="s">
        <v>1749</v>
      </c>
      <c r="D756" s="2193" t="s">
        <v>1005</v>
      </c>
    </row>
    <row r="757" spans="2:4">
      <c r="B757" s="2948" t="s">
        <v>2987</v>
      </c>
      <c r="C757" s="2194" t="s">
        <v>1750</v>
      </c>
      <c r="D757" s="2193" t="s">
        <v>1068</v>
      </c>
    </row>
    <row r="758" spans="2:4">
      <c r="B758" s="2948" t="s">
        <v>2986</v>
      </c>
      <c r="C758" s="2194" t="s">
        <v>1751</v>
      </c>
      <c r="D758" s="2193" t="s">
        <v>1016</v>
      </c>
    </row>
    <row r="759" spans="2:4">
      <c r="B759" s="2948" t="s">
        <v>2985</v>
      </c>
      <c r="C759" s="2194" t="s">
        <v>1752</v>
      </c>
      <c r="D759" s="2193" t="s">
        <v>1028</v>
      </c>
    </row>
    <row r="760" spans="2:4">
      <c r="B760" s="2948" t="s">
        <v>2984</v>
      </c>
      <c r="C760" s="2194" t="s">
        <v>1752</v>
      </c>
      <c r="D760" s="2193" t="s">
        <v>4036</v>
      </c>
    </row>
    <row r="761" spans="2:4">
      <c r="B761" s="2948" t="s">
        <v>2360</v>
      </c>
      <c r="C761" s="2194" t="s">
        <v>1753</v>
      </c>
      <c r="D761" s="2193" t="s">
        <v>1014</v>
      </c>
    </row>
    <row r="762" spans="2:4">
      <c r="B762" s="2948" t="s">
        <v>2983</v>
      </c>
      <c r="C762" s="2194" t="s">
        <v>1754</v>
      </c>
      <c r="D762" s="2193" t="s">
        <v>1007</v>
      </c>
    </row>
    <row r="763" spans="2:4">
      <c r="B763" s="2948" t="s">
        <v>2982</v>
      </c>
      <c r="C763" s="2194" t="s">
        <v>1754</v>
      </c>
      <c r="D763" s="2193" t="s">
        <v>1028</v>
      </c>
    </row>
    <row r="764" spans="2:4">
      <c r="B764" s="2948" t="s">
        <v>2981</v>
      </c>
      <c r="C764" s="2194" t="s">
        <v>1755</v>
      </c>
      <c r="D764" s="2193" t="s">
        <v>1044</v>
      </c>
    </row>
    <row r="765" spans="2:4">
      <c r="B765" s="2948" t="s">
        <v>2980</v>
      </c>
      <c r="C765" s="2194" t="s">
        <v>1756</v>
      </c>
      <c r="D765" s="2193" t="s">
        <v>1007</v>
      </c>
    </row>
    <row r="766" spans="2:4">
      <c r="B766" s="2948" t="s">
        <v>2979</v>
      </c>
      <c r="C766" s="2194" t="s">
        <v>1757</v>
      </c>
      <c r="D766" s="2193" t="s">
        <v>1014</v>
      </c>
    </row>
    <row r="767" spans="2:4">
      <c r="B767" s="2948" t="s">
        <v>2978</v>
      </c>
      <c r="C767" s="2194" t="s">
        <v>1758</v>
      </c>
      <c r="D767" s="2193" t="s">
        <v>1007</v>
      </c>
    </row>
    <row r="768" spans="2:4">
      <c r="B768" s="2948" t="s">
        <v>2977</v>
      </c>
      <c r="C768" s="2194" t="s">
        <v>1759</v>
      </c>
      <c r="D768" s="2193" t="s">
        <v>1014</v>
      </c>
    </row>
    <row r="769" spans="2:4">
      <c r="B769" s="2948" t="s">
        <v>2976</v>
      </c>
      <c r="C769" s="2194" t="s">
        <v>1760</v>
      </c>
      <c r="D769" s="2193" t="s">
        <v>1007</v>
      </c>
    </row>
    <row r="770" spans="2:4">
      <c r="B770" s="2948" t="s">
        <v>2975</v>
      </c>
      <c r="C770" s="2194" t="s">
        <v>1761</v>
      </c>
      <c r="D770" s="2193" t="s">
        <v>4036</v>
      </c>
    </row>
    <row r="771" spans="2:4">
      <c r="B771" s="2948" t="s">
        <v>2974</v>
      </c>
      <c r="C771" s="2194" t="s">
        <v>1762</v>
      </c>
      <c r="D771" s="2193" t="s">
        <v>1007</v>
      </c>
    </row>
    <row r="772" spans="2:4">
      <c r="B772" s="2948" t="s">
        <v>2973</v>
      </c>
      <c r="C772" s="2194" t="s">
        <v>1762</v>
      </c>
      <c r="D772" s="2193" t="s">
        <v>1003</v>
      </c>
    </row>
    <row r="773" spans="2:4">
      <c r="B773" s="2948" t="s">
        <v>2972</v>
      </c>
      <c r="C773" s="2194" t="s">
        <v>1763</v>
      </c>
      <c r="D773" s="2193" t="s">
        <v>1028</v>
      </c>
    </row>
    <row r="774" spans="2:4">
      <c r="B774" s="2948" t="s">
        <v>2971</v>
      </c>
      <c r="C774" s="2194" t="s">
        <v>1764</v>
      </c>
      <c r="D774" s="2193" t="s">
        <v>1019</v>
      </c>
    </row>
    <row r="775" spans="2:4">
      <c r="B775" s="2948" t="s">
        <v>2970</v>
      </c>
      <c r="C775" s="2194" t="s">
        <v>1765</v>
      </c>
      <c r="D775" s="2193" t="s">
        <v>1028</v>
      </c>
    </row>
    <row r="776" spans="2:4">
      <c r="B776" s="2948" t="s">
        <v>2969</v>
      </c>
      <c r="C776" s="2194" t="s">
        <v>1766</v>
      </c>
      <c r="D776" s="2193" t="s">
        <v>1028</v>
      </c>
    </row>
    <row r="777" spans="2:4">
      <c r="B777" s="2948" t="s">
        <v>2968</v>
      </c>
      <c r="C777" s="2194" t="s">
        <v>1767</v>
      </c>
      <c r="D777" s="2193" t="s">
        <v>1068</v>
      </c>
    </row>
    <row r="778" spans="2:4">
      <c r="B778" s="2948" t="s">
        <v>2967</v>
      </c>
      <c r="C778" s="2194" t="s">
        <v>1768</v>
      </c>
      <c r="D778" s="2193" t="s">
        <v>1051</v>
      </c>
    </row>
    <row r="779" spans="2:4">
      <c r="B779" s="2948" t="s">
        <v>2966</v>
      </c>
      <c r="C779" s="2194" t="s">
        <v>1769</v>
      </c>
      <c r="D779" s="2193" t="s">
        <v>1019</v>
      </c>
    </row>
    <row r="780" spans="2:4">
      <c r="B780" s="2948" t="s">
        <v>2304</v>
      </c>
      <c r="C780" s="2194" t="s">
        <v>1770</v>
      </c>
      <c r="D780" s="2193" t="s">
        <v>4037</v>
      </c>
    </row>
    <row r="781" spans="2:4">
      <c r="B781" s="2948" t="s">
        <v>2965</v>
      </c>
      <c r="C781" s="2194" t="s">
        <v>1771</v>
      </c>
      <c r="D781" s="2193" t="s">
        <v>1016</v>
      </c>
    </row>
    <row r="782" spans="2:4">
      <c r="B782" s="2948" t="s">
        <v>2964</v>
      </c>
      <c r="C782" s="2194" t="s">
        <v>1772</v>
      </c>
      <c r="D782" s="2193" t="s">
        <v>1005</v>
      </c>
    </row>
    <row r="783" spans="2:4">
      <c r="B783" s="2948" t="s">
        <v>2963</v>
      </c>
      <c r="C783" s="2194" t="s">
        <v>1773</v>
      </c>
      <c r="D783" s="2193" t="s">
        <v>1003</v>
      </c>
    </row>
    <row r="784" spans="2:4">
      <c r="B784" s="2948" t="s">
        <v>2962</v>
      </c>
      <c r="C784" s="2194" t="s">
        <v>1774</v>
      </c>
      <c r="D784" s="2193" t="s">
        <v>1051</v>
      </c>
    </row>
    <row r="785" spans="2:4">
      <c r="B785" s="2948" t="s">
        <v>2961</v>
      </c>
      <c r="C785" s="2194" t="s">
        <v>1775</v>
      </c>
      <c r="D785" s="2193" t="s">
        <v>1028</v>
      </c>
    </row>
    <row r="786" spans="2:4">
      <c r="B786" s="2948" t="s">
        <v>2960</v>
      </c>
      <c r="C786" s="2194" t="s">
        <v>1776</v>
      </c>
      <c r="D786" s="2193" t="s">
        <v>4036</v>
      </c>
    </row>
    <row r="787" spans="2:4">
      <c r="B787" s="2948" t="s">
        <v>2959</v>
      </c>
      <c r="C787" s="2194" t="s">
        <v>1777</v>
      </c>
      <c r="D787" s="2193" t="s">
        <v>1021</v>
      </c>
    </row>
    <row r="788" spans="2:4">
      <c r="B788" s="2948" t="s">
        <v>2958</v>
      </c>
      <c r="C788" s="2194" t="s">
        <v>1778</v>
      </c>
      <c r="D788" s="2193" t="s">
        <v>1014</v>
      </c>
    </row>
    <row r="789" spans="2:4">
      <c r="B789" s="2948" t="s">
        <v>2957</v>
      </c>
      <c r="C789" s="2194" t="s">
        <v>1779</v>
      </c>
      <c r="D789" s="2193" t="s">
        <v>1051</v>
      </c>
    </row>
    <row r="790" spans="2:4">
      <c r="B790" s="2948" t="s">
        <v>2956</v>
      </c>
      <c r="C790" s="2194" t="s">
        <v>1780</v>
      </c>
      <c r="D790" s="2193" t="s">
        <v>1014</v>
      </c>
    </row>
    <row r="791" spans="2:4">
      <c r="B791" s="2948" t="s">
        <v>2955</v>
      </c>
      <c r="C791" s="2194" t="s">
        <v>1781</v>
      </c>
      <c r="D791" s="2193" t="s">
        <v>1019</v>
      </c>
    </row>
    <row r="792" spans="2:4">
      <c r="B792" s="2948" t="s">
        <v>2954</v>
      </c>
      <c r="C792" s="2194" t="s">
        <v>1782</v>
      </c>
      <c r="D792" s="2193" t="s">
        <v>1005</v>
      </c>
    </row>
    <row r="793" spans="2:4">
      <c r="B793" s="2948" t="s">
        <v>2953</v>
      </c>
      <c r="C793" s="2194" t="s">
        <v>1783</v>
      </c>
      <c r="D793" s="2193" t="s">
        <v>1014</v>
      </c>
    </row>
    <row r="794" spans="2:4">
      <c r="B794" s="2948" t="s">
        <v>2952</v>
      </c>
      <c r="C794" s="2194" t="s">
        <v>1784</v>
      </c>
      <c r="D794" s="2193" t="s">
        <v>1007</v>
      </c>
    </row>
    <row r="795" spans="2:4">
      <c r="B795" s="2948" t="s">
        <v>2951</v>
      </c>
      <c r="C795" s="2194" t="s">
        <v>1785</v>
      </c>
      <c r="D795" s="2193" t="s">
        <v>4036</v>
      </c>
    </row>
    <row r="796" spans="2:4">
      <c r="B796" s="2948" t="s">
        <v>2950</v>
      </c>
      <c r="C796" s="2194" t="s">
        <v>1786</v>
      </c>
      <c r="D796" s="2193" t="s">
        <v>1028</v>
      </c>
    </row>
    <row r="797" spans="2:4">
      <c r="B797" s="2948" t="s">
        <v>2949</v>
      </c>
      <c r="C797" s="2194" t="s">
        <v>1787</v>
      </c>
      <c r="D797" s="2193" t="s">
        <v>1068</v>
      </c>
    </row>
    <row r="798" spans="2:4">
      <c r="B798" s="2948" t="s">
        <v>2948</v>
      </c>
      <c r="C798" s="2194" t="s">
        <v>1788</v>
      </c>
      <c r="D798" s="2193" t="s">
        <v>4036</v>
      </c>
    </row>
    <row r="799" spans="2:4">
      <c r="B799" s="2948" t="s">
        <v>2947</v>
      </c>
      <c r="C799" s="2194" t="s">
        <v>1789</v>
      </c>
      <c r="D799" s="2193" t="s">
        <v>1028</v>
      </c>
    </row>
    <row r="800" spans="2:4">
      <c r="B800" s="2948" t="s">
        <v>2946</v>
      </c>
      <c r="C800" s="2194" t="s">
        <v>1790</v>
      </c>
      <c r="D800" s="2193" t="s">
        <v>1044</v>
      </c>
    </row>
    <row r="801" spans="2:4">
      <c r="B801" s="2948" t="s">
        <v>2945</v>
      </c>
      <c r="C801" s="2194" t="s">
        <v>1791</v>
      </c>
      <c r="D801" s="2193" t="s">
        <v>1007</v>
      </c>
    </row>
    <row r="802" spans="2:4">
      <c r="B802" s="2948" t="s">
        <v>2944</v>
      </c>
      <c r="C802" s="2194" t="s">
        <v>1792</v>
      </c>
      <c r="D802" s="2193" t="s">
        <v>1007</v>
      </c>
    </row>
    <row r="803" spans="2:4">
      <c r="B803" s="2948" t="s">
        <v>2336</v>
      </c>
      <c r="C803" s="2194" t="s">
        <v>1793</v>
      </c>
      <c r="D803" s="2193" t="s">
        <v>4037</v>
      </c>
    </row>
    <row r="804" spans="2:4">
      <c r="B804" s="2948" t="s">
        <v>2842</v>
      </c>
      <c r="C804" s="2194" t="s">
        <v>1794</v>
      </c>
      <c r="D804" s="2193" t="s">
        <v>1007</v>
      </c>
    </row>
    <row r="805" spans="2:4">
      <c r="B805" s="2948" t="s">
        <v>2841</v>
      </c>
      <c r="C805" s="2194" t="s">
        <v>1795</v>
      </c>
      <c r="D805" s="2193" t="s">
        <v>1044</v>
      </c>
    </row>
    <row r="806" spans="2:4">
      <c r="B806" s="2948" t="s">
        <v>2840</v>
      </c>
      <c r="C806" s="2194" t="s">
        <v>1796</v>
      </c>
      <c r="D806" s="2193" t="s">
        <v>4036</v>
      </c>
    </row>
    <row r="807" spans="2:4">
      <c r="B807" s="2948" t="s">
        <v>2839</v>
      </c>
      <c r="C807" s="2194" t="s">
        <v>1797</v>
      </c>
      <c r="D807" s="2193" t="s">
        <v>1028</v>
      </c>
    </row>
    <row r="808" spans="2:4">
      <c r="B808" s="2948" t="s">
        <v>2838</v>
      </c>
      <c r="C808" s="2194" t="s">
        <v>1798</v>
      </c>
      <c r="D808" s="2193" t="s">
        <v>1003</v>
      </c>
    </row>
    <row r="809" spans="2:4">
      <c r="B809" s="2948" t="s">
        <v>2837</v>
      </c>
      <c r="C809" s="2194" t="s">
        <v>1799</v>
      </c>
      <c r="D809" s="2193" t="s">
        <v>1014</v>
      </c>
    </row>
    <row r="810" spans="2:4">
      <c r="B810" s="2948" t="s">
        <v>2836</v>
      </c>
      <c r="C810" s="2194" t="s">
        <v>1800</v>
      </c>
      <c r="D810" s="2193" t="s">
        <v>1007</v>
      </c>
    </row>
    <row r="811" spans="2:4">
      <c r="B811" s="2948" t="s">
        <v>2835</v>
      </c>
      <c r="C811" s="2194" t="s">
        <v>1801</v>
      </c>
      <c r="D811" s="2193" t="s">
        <v>4036</v>
      </c>
    </row>
    <row r="812" spans="2:4">
      <c r="B812" s="2948" t="s">
        <v>2834</v>
      </c>
      <c r="C812" s="2194" t="s">
        <v>1802</v>
      </c>
      <c r="D812" s="2193" t="s">
        <v>1068</v>
      </c>
    </row>
    <row r="813" spans="2:4">
      <c r="B813" s="2948" t="s">
        <v>2833</v>
      </c>
      <c r="C813" s="2194" t="s">
        <v>1803</v>
      </c>
      <c r="D813" s="2193" t="s">
        <v>1068</v>
      </c>
    </row>
    <row r="814" spans="2:4">
      <c r="B814" s="2948" t="s">
        <v>2368</v>
      </c>
      <c r="C814" s="2194" t="s">
        <v>1804</v>
      </c>
      <c r="D814" s="2193" t="s">
        <v>1014</v>
      </c>
    </row>
    <row r="815" spans="2:4">
      <c r="B815" s="2948" t="s">
        <v>2832</v>
      </c>
      <c r="C815" s="2194" t="s">
        <v>1805</v>
      </c>
      <c r="D815" s="2193" t="s">
        <v>1044</v>
      </c>
    </row>
    <row r="816" spans="2:4">
      <c r="B816" s="2948" t="s">
        <v>2831</v>
      </c>
      <c r="C816" s="2194" t="s">
        <v>1806</v>
      </c>
      <c r="D816" s="2193" t="s">
        <v>1014</v>
      </c>
    </row>
    <row r="817" spans="2:4">
      <c r="B817" s="2948" t="s">
        <v>2830</v>
      </c>
      <c r="C817" s="2194" t="s">
        <v>1807</v>
      </c>
      <c r="D817" s="2193" t="s">
        <v>4036</v>
      </c>
    </row>
    <row r="818" spans="2:4">
      <c r="B818" s="2948" t="s">
        <v>2829</v>
      </c>
      <c r="C818" s="2194" t="s">
        <v>1808</v>
      </c>
      <c r="D818" s="2193" t="s">
        <v>1007</v>
      </c>
    </row>
    <row r="819" spans="2:4">
      <c r="B819" s="2948" t="s">
        <v>2828</v>
      </c>
      <c r="C819" s="2194" t="s">
        <v>1809</v>
      </c>
      <c r="D819" s="2193" t="s">
        <v>1007</v>
      </c>
    </row>
    <row r="820" spans="2:4">
      <c r="B820" s="2948" t="s">
        <v>2827</v>
      </c>
      <c r="C820" s="2194" t="s">
        <v>1810</v>
      </c>
      <c r="D820" s="2193" t="s">
        <v>1003</v>
      </c>
    </row>
    <row r="821" spans="2:4">
      <c r="B821" s="2948" t="s">
        <v>2826</v>
      </c>
      <c r="C821" s="2194" t="s">
        <v>1811</v>
      </c>
      <c r="D821" s="2193" t="s">
        <v>1005</v>
      </c>
    </row>
    <row r="822" spans="2:4">
      <c r="B822" s="2948" t="s">
        <v>2825</v>
      </c>
      <c r="C822" s="2194" t="s">
        <v>1812</v>
      </c>
      <c r="D822" s="2193" t="s">
        <v>1028</v>
      </c>
    </row>
    <row r="823" spans="2:4">
      <c r="B823" s="2948" t="s">
        <v>2824</v>
      </c>
      <c r="C823" s="2194" t="s">
        <v>1813</v>
      </c>
      <c r="D823" s="2193" t="s">
        <v>1014</v>
      </c>
    </row>
    <row r="824" spans="2:4">
      <c r="B824" s="2948" t="s">
        <v>2823</v>
      </c>
      <c r="C824" s="2194" t="s">
        <v>1814</v>
      </c>
      <c r="D824" s="2193" t="s">
        <v>1007</v>
      </c>
    </row>
    <row r="825" spans="2:4">
      <c r="B825" s="2948" t="s">
        <v>2822</v>
      </c>
      <c r="C825" s="2194" t="s">
        <v>1815</v>
      </c>
      <c r="D825" s="2193" t="s">
        <v>1044</v>
      </c>
    </row>
    <row r="826" spans="2:4">
      <c r="B826" s="2948" t="s">
        <v>2821</v>
      </c>
      <c r="C826" s="2194" t="s">
        <v>1816</v>
      </c>
      <c r="D826" s="2193" t="s">
        <v>1007</v>
      </c>
    </row>
    <row r="827" spans="2:4">
      <c r="B827" s="2948" t="s">
        <v>2319</v>
      </c>
      <c r="C827" s="2194" t="s">
        <v>1817</v>
      </c>
      <c r="D827" s="2193" t="s">
        <v>4037</v>
      </c>
    </row>
    <row r="828" spans="2:4">
      <c r="B828" s="2948" t="s">
        <v>2820</v>
      </c>
      <c r="C828" s="2194" t="s">
        <v>1818</v>
      </c>
      <c r="D828" s="2193" t="s">
        <v>1028</v>
      </c>
    </row>
    <row r="829" spans="2:4">
      <c r="B829" s="2948" t="s">
        <v>2819</v>
      </c>
      <c r="C829" s="2194" t="s">
        <v>1819</v>
      </c>
      <c r="D829" s="2193" t="s">
        <v>1007</v>
      </c>
    </row>
    <row r="830" spans="2:4">
      <c r="B830" s="2948" t="s">
        <v>2818</v>
      </c>
      <c r="C830" s="2194" t="s">
        <v>1820</v>
      </c>
      <c r="D830" s="2193" t="s">
        <v>4036</v>
      </c>
    </row>
    <row r="831" spans="2:4">
      <c r="B831" s="2948" t="s">
        <v>2817</v>
      </c>
      <c r="C831" s="2194" t="s">
        <v>1821</v>
      </c>
      <c r="D831" s="2193" t="s">
        <v>1003</v>
      </c>
    </row>
    <row r="832" spans="2:4">
      <c r="B832" s="2948" t="s">
        <v>2816</v>
      </c>
      <c r="C832" s="2194" t="s">
        <v>1822</v>
      </c>
      <c r="D832" s="2193" t="s">
        <v>1007</v>
      </c>
    </row>
    <row r="833" spans="2:4">
      <c r="B833" s="2948" t="s">
        <v>2815</v>
      </c>
      <c r="C833" s="2194" t="s">
        <v>1823</v>
      </c>
      <c r="D833" s="2193" t="s">
        <v>1044</v>
      </c>
    </row>
    <row r="834" spans="2:4">
      <c r="B834" s="2948" t="s">
        <v>2814</v>
      </c>
      <c r="C834" s="2194" t="s">
        <v>1824</v>
      </c>
      <c r="D834" s="2193" t="s">
        <v>1019</v>
      </c>
    </row>
    <row r="835" spans="2:4">
      <c r="B835" s="2948" t="s">
        <v>2813</v>
      </c>
      <c r="C835" s="2194" t="s">
        <v>1825</v>
      </c>
      <c r="D835" s="2193" t="s">
        <v>4036</v>
      </c>
    </row>
    <row r="836" spans="2:4">
      <c r="B836" s="2948" t="s">
        <v>2812</v>
      </c>
      <c r="C836" s="2194" t="s">
        <v>1826</v>
      </c>
      <c r="D836" s="2193" t="s">
        <v>1007</v>
      </c>
    </row>
    <row r="837" spans="2:4">
      <c r="B837" s="2948" t="s">
        <v>2811</v>
      </c>
      <c r="C837" s="2194" t="s">
        <v>1827</v>
      </c>
      <c r="D837" s="2193" t="s">
        <v>1014</v>
      </c>
    </row>
    <row r="838" spans="2:4">
      <c r="B838" s="2948" t="s">
        <v>2810</v>
      </c>
      <c r="C838" s="2194" t="s">
        <v>1828</v>
      </c>
      <c r="D838" s="2193" t="s">
        <v>1014</v>
      </c>
    </row>
    <row r="839" spans="2:4">
      <c r="B839" s="2948" t="s">
        <v>2809</v>
      </c>
      <c r="C839" s="2194" t="s">
        <v>1829</v>
      </c>
      <c r="D839" s="2193" t="s">
        <v>1005</v>
      </c>
    </row>
    <row r="840" spans="2:4">
      <c r="B840" s="2948" t="s">
        <v>2808</v>
      </c>
      <c r="C840" s="2194" t="s">
        <v>1830</v>
      </c>
      <c r="D840" s="2193" t="s">
        <v>1005</v>
      </c>
    </row>
    <row r="841" spans="2:4">
      <c r="B841" s="2948" t="s">
        <v>2807</v>
      </c>
      <c r="C841" s="2194" t="s">
        <v>1831</v>
      </c>
      <c r="D841" s="2193" t="s">
        <v>1068</v>
      </c>
    </row>
    <row r="842" spans="2:4">
      <c r="B842" s="2948" t="s">
        <v>2806</v>
      </c>
      <c r="C842" s="2194" t="s">
        <v>1832</v>
      </c>
      <c r="D842" s="2193" t="s">
        <v>1003</v>
      </c>
    </row>
    <row r="843" spans="2:4">
      <c r="B843" s="2948" t="s">
        <v>2805</v>
      </c>
      <c r="C843" s="2194" t="s">
        <v>1833</v>
      </c>
      <c r="D843" s="2193" t="s">
        <v>1044</v>
      </c>
    </row>
    <row r="844" spans="2:4">
      <c r="B844" s="2948" t="s">
        <v>2804</v>
      </c>
      <c r="C844" s="2194" t="s">
        <v>1834</v>
      </c>
      <c r="D844" s="2193" t="s">
        <v>1007</v>
      </c>
    </row>
    <row r="845" spans="2:4">
      <c r="B845" s="2948" t="s">
        <v>2803</v>
      </c>
      <c r="C845" s="2194" t="s">
        <v>1834</v>
      </c>
      <c r="D845" s="2193" t="s">
        <v>1005</v>
      </c>
    </row>
    <row r="846" spans="2:4">
      <c r="B846" s="2948" t="s">
        <v>2802</v>
      </c>
      <c r="C846" s="2194" t="s">
        <v>1835</v>
      </c>
      <c r="D846" s="2193" t="s">
        <v>1003</v>
      </c>
    </row>
    <row r="847" spans="2:4">
      <c r="B847" s="2948" t="s">
        <v>2801</v>
      </c>
      <c r="C847" s="2194" t="s">
        <v>1836</v>
      </c>
      <c r="D847" s="2193" t="s">
        <v>1068</v>
      </c>
    </row>
    <row r="848" spans="2:4">
      <c r="B848" s="2948" t="s">
        <v>2800</v>
      </c>
      <c r="C848" s="2194" t="s">
        <v>1837</v>
      </c>
      <c r="D848" s="2193" t="s">
        <v>1007</v>
      </c>
    </row>
    <row r="849" spans="2:4">
      <c r="B849" s="2948" t="s">
        <v>2799</v>
      </c>
      <c r="C849" s="2194" t="s">
        <v>1839</v>
      </c>
      <c r="D849" s="2193" t="s">
        <v>1007</v>
      </c>
    </row>
    <row r="850" spans="2:4">
      <c r="B850" s="2948" t="s">
        <v>2798</v>
      </c>
      <c r="C850" s="2194" t="s">
        <v>1838</v>
      </c>
      <c r="D850" s="2193" t="s">
        <v>1005</v>
      </c>
    </row>
    <row r="851" spans="2:4">
      <c r="B851" s="2948" t="s">
        <v>2797</v>
      </c>
      <c r="C851" s="2194" t="s">
        <v>1840</v>
      </c>
      <c r="D851" s="2193" t="s">
        <v>1007</v>
      </c>
    </row>
    <row r="852" spans="2:4">
      <c r="B852" s="2948" t="s">
        <v>2796</v>
      </c>
      <c r="C852" s="2194" t="s">
        <v>1841</v>
      </c>
      <c r="D852" s="2193" t="s">
        <v>1005</v>
      </c>
    </row>
    <row r="853" spans="2:4">
      <c r="B853" s="2948" t="s">
        <v>2795</v>
      </c>
      <c r="C853" s="2194" t="s">
        <v>1842</v>
      </c>
      <c r="D853" s="2193" t="s">
        <v>1007</v>
      </c>
    </row>
    <row r="854" spans="2:4">
      <c r="B854" s="2948" t="s">
        <v>2355</v>
      </c>
      <c r="C854" s="2194" t="s">
        <v>1843</v>
      </c>
      <c r="D854" s="2193" t="s">
        <v>1014</v>
      </c>
    </row>
    <row r="855" spans="2:4">
      <c r="B855" s="2948" t="s">
        <v>2794</v>
      </c>
      <c r="C855" s="2194" t="s">
        <v>1844</v>
      </c>
      <c r="D855" s="2193" t="s">
        <v>1014</v>
      </c>
    </row>
    <row r="856" spans="2:4">
      <c r="B856" s="2948" t="s">
        <v>2793</v>
      </c>
      <c r="C856" s="2194" t="s">
        <v>1845</v>
      </c>
      <c r="D856" s="2193" t="s">
        <v>1014</v>
      </c>
    </row>
    <row r="857" spans="2:4">
      <c r="B857" s="2948" t="s">
        <v>2792</v>
      </c>
      <c r="C857" s="2194" t="s">
        <v>1846</v>
      </c>
      <c r="D857" s="2193" t="s">
        <v>1044</v>
      </c>
    </row>
    <row r="858" spans="2:4">
      <c r="B858" s="2948" t="s">
        <v>2791</v>
      </c>
      <c r="C858" s="2194" t="s">
        <v>1847</v>
      </c>
      <c r="D858" s="2193" t="s">
        <v>1068</v>
      </c>
    </row>
    <row r="859" spans="2:4">
      <c r="B859" s="2948" t="s">
        <v>2790</v>
      </c>
      <c r="C859" s="2194" t="s">
        <v>1848</v>
      </c>
      <c r="D859" s="2193" t="s">
        <v>1007</v>
      </c>
    </row>
    <row r="860" spans="2:4">
      <c r="B860" s="2948" t="s">
        <v>2789</v>
      </c>
      <c r="C860" s="2194" t="s">
        <v>1849</v>
      </c>
      <c r="D860" s="2193" t="s">
        <v>1005</v>
      </c>
    </row>
    <row r="861" spans="2:4">
      <c r="B861" s="2948" t="s">
        <v>2788</v>
      </c>
      <c r="C861" s="2194" t="s">
        <v>1850</v>
      </c>
      <c r="D861" s="2193" t="s">
        <v>1019</v>
      </c>
    </row>
    <row r="862" spans="2:4">
      <c r="B862" s="2948" t="s">
        <v>2787</v>
      </c>
      <c r="C862" s="2194" t="s">
        <v>1851</v>
      </c>
      <c r="D862" s="2193" t="s">
        <v>1044</v>
      </c>
    </row>
    <row r="863" spans="2:4">
      <c r="B863" s="2948" t="s">
        <v>2786</v>
      </c>
      <c r="C863" s="2194" t="s">
        <v>1852</v>
      </c>
      <c r="D863" s="2193" t="s">
        <v>1003</v>
      </c>
    </row>
    <row r="864" spans="2:4">
      <c r="B864" s="2948" t="s">
        <v>2785</v>
      </c>
      <c r="C864" s="2194" t="s">
        <v>1853</v>
      </c>
      <c r="D864" s="2193" t="s">
        <v>1007</v>
      </c>
    </row>
    <row r="865" spans="2:4">
      <c r="B865" s="2948" t="s">
        <v>2784</v>
      </c>
      <c r="C865" s="2194" t="s">
        <v>1854</v>
      </c>
      <c r="D865" s="2193" t="s">
        <v>1007</v>
      </c>
    </row>
    <row r="866" spans="2:4">
      <c r="B866" s="2948" t="s">
        <v>2783</v>
      </c>
      <c r="C866" s="2194" t="s">
        <v>1855</v>
      </c>
      <c r="D866" s="2193" t="s">
        <v>1014</v>
      </c>
    </row>
    <row r="867" spans="2:4">
      <c r="B867" s="2948" t="s">
        <v>2376</v>
      </c>
      <c r="C867" s="2194" t="s">
        <v>1856</v>
      </c>
      <c r="D867" s="2193" t="s">
        <v>1014</v>
      </c>
    </row>
    <row r="868" spans="2:4">
      <c r="B868" s="2948" t="s">
        <v>2782</v>
      </c>
      <c r="C868" s="2194" t="s">
        <v>1857</v>
      </c>
      <c r="D868" s="2193" t="s">
        <v>1007</v>
      </c>
    </row>
    <row r="869" spans="2:4">
      <c r="B869" s="2948" t="s">
        <v>2781</v>
      </c>
      <c r="C869" s="2194" t="s">
        <v>1858</v>
      </c>
      <c r="D869" s="2193" t="s">
        <v>1005</v>
      </c>
    </row>
    <row r="870" spans="2:4">
      <c r="B870" s="2948" t="s">
        <v>2780</v>
      </c>
      <c r="C870" s="2194" t="s">
        <v>1859</v>
      </c>
      <c r="D870" s="2193" t="s">
        <v>1019</v>
      </c>
    </row>
    <row r="871" spans="2:4">
      <c r="B871" s="2948" t="s">
        <v>2779</v>
      </c>
      <c r="C871" s="2194" t="s">
        <v>1860</v>
      </c>
      <c r="D871" s="2193" t="s">
        <v>1005</v>
      </c>
    </row>
    <row r="872" spans="2:4">
      <c r="B872" s="2948" t="s">
        <v>2778</v>
      </c>
      <c r="C872" s="2194" t="s">
        <v>1861</v>
      </c>
      <c r="D872" s="2193" t="s">
        <v>1007</v>
      </c>
    </row>
    <row r="873" spans="2:4">
      <c r="B873" s="2948" t="s">
        <v>2777</v>
      </c>
      <c r="C873" s="2194" t="s">
        <v>1862</v>
      </c>
      <c r="D873" s="2193" t="s">
        <v>1007</v>
      </c>
    </row>
    <row r="874" spans="2:4">
      <c r="B874" s="2948" t="s">
        <v>2776</v>
      </c>
      <c r="C874" s="2194" t="s">
        <v>1863</v>
      </c>
      <c r="D874" s="2193" t="s">
        <v>1007</v>
      </c>
    </row>
    <row r="875" spans="2:4">
      <c r="B875" s="2948" t="s">
        <v>2775</v>
      </c>
      <c r="C875" s="2194" t="s">
        <v>1864</v>
      </c>
      <c r="D875" s="2193" t="s">
        <v>1014</v>
      </c>
    </row>
    <row r="876" spans="2:4">
      <c r="B876" s="2948" t="s">
        <v>2774</v>
      </c>
      <c r="C876" s="2194" t="s">
        <v>1865</v>
      </c>
      <c r="D876" s="2193" t="s">
        <v>1051</v>
      </c>
    </row>
    <row r="877" spans="2:4">
      <c r="B877" s="2948" t="s">
        <v>2773</v>
      </c>
      <c r="C877" s="2194" t="s">
        <v>1866</v>
      </c>
      <c r="D877" s="2193" t="s">
        <v>1005</v>
      </c>
    </row>
    <row r="878" spans="2:4">
      <c r="B878" s="2948" t="s">
        <v>2772</v>
      </c>
      <c r="C878" s="2194" t="s">
        <v>1866</v>
      </c>
      <c r="D878" s="2193" t="s">
        <v>1021</v>
      </c>
    </row>
    <row r="879" spans="2:4">
      <c r="B879" s="2948" t="s">
        <v>2771</v>
      </c>
      <c r="C879" s="2194" t="s">
        <v>1867</v>
      </c>
      <c r="D879" s="2193" t="s">
        <v>1007</v>
      </c>
    </row>
    <row r="880" spans="2:4">
      <c r="B880" s="2948" t="s">
        <v>2770</v>
      </c>
      <c r="C880" s="2194" t="s">
        <v>1868</v>
      </c>
      <c r="D880" s="2193" t="s">
        <v>1044</v>
      </c>
    </row>
    <row r="881" spans="2:4">
      <c r="B881" s="2948" t="s">
        <v>2769</v>
      </c>
      <c r="C881" s="2194" t="s">
        <v>1869</v>
      </c>
      <c r="D881" s="2193" t="s">
        <v>1005</v>
      </c>
    </row>
    <row r="882" spans="2:4">
      <c r="B882" s="2948" t="s">
        <v>2768</v>
      </c>
      <c r="C882" s="2194" t="s">
        <v>1870</v>
      </c>
      <c r="D882" s="2193" t="s">
        <v>1007</v>
      </c>
    </row>
    <row r="883" spans="2:4">
      <c r="B883" s="2948" t="s">
        <v>2362</v>
      </c>
      <c r="C883" s="2194" t="s">
        <v>1871</v>
      </c>
      <c r="D883" s="2193" t="s">
        <v>1014</v>
      </c>
    </row>
    <row r="884" spans="2:4">
      <c r="B884" s="2948" t="s">
        <v>2767</v>
      </c>
      <c r="C884" s="2194" t="s">
        <v>1872</v>
      </c>
      <c r="D884" s="2193" t="s">
        <v>1028</v>
      </c>
    </row>
    <row r="885" spans="2:4">
      <c r="B885" s="2948" t="s">
        <v>2766</v>
      </c>
      <c r="C885" s="2194" t="s">
        <v>1873</v>
      </c>
      <c r="D885" s="2193" t="s">
        <v>1044</v>
      </c>
    </row>
    <row r="886" spans="2:4">
      <c r="B886" s="2948" t="s">
        <v>2765</v>
      </c>
      <c r="C886" s="2194" t="s">
        <v>1874</v>
      </c>
      <c r="D886" s="2193" t="s">
        <v>1007</v>
      </c>
    </row>
    <row r="887" spans="2:4">
      <c r="B887" s="2948" t="s">
        <v>2341</v>
      </c>
      <c r="C887" s="2194" t="s">
        <v>1875</v>
      </c>
      <c r="D887" s="2193" t="s">
        <v>1014</v>
      </c>
    </row>
    <row r="888" spans="2:4">
      <c r="B888" s="2948" t="s">
        <v>2764</v>
      </c>
      <c r="C888" s="2194" t="s">
        <v>1875</v>
      </c>
      <c r="D888" s="2193" t="s">
        <v>1051</v>
      </c>
    </row>
    <row r="889" spans="2:4">
      <c r="B889" s="2948" t="s">
        <v>2763</v>
      </c>
      <c r="C889" s="2194" t="s">
        <v>1876</v>
      </c>
      <c r="D889" s="2193" t="s">
        <v>1005</v>
      </c>
    </row>
    <row r="890" spans="2:4">
      <c r="B890" s="2948" t="s">
        <v>2762</v>
      </c>
      <c r="C890" s="2194" t="s">
        <v>1877</v>
      </c>
      <c r="D890" s="2193" t="s">
        <v>1068</v>
      </c>
    </row>
    <row r="891" spans="2:4">
      <c r="B891" s="2948" t="s">
        <v>2761</v>
      </c>
      <c r="C891" s="2194" t="s">
        <v>1878</v>
      </c>
      <c r="D891" s="2193" t="s">
        <v>1068</v>
      </c>
    </row>
    <row r="892" spans="2:4">
      <c r="B892" s="2948" t="s">
        <v>2760</v>
      </c>
      <c r="C892" s="2194" t="s">
        <v>1879</v>
      </c>
      <c r="D892" s="2193" t="s">
        <v>1005</v>
      </c>
    </row>
    <row r="893" spans="2:4">
      <c r="B893" s="2948" t="s">
        <v>2759</v>
      </c>
      <c r="C893" s="2194" t="s">
        <v>1881</v>
      </c>
      <c r="D893" s="2193" t="s">
        <v>1028</v>
      </c>
    </row>
    <row r="894" spans="2:4">
      <c r="B894" s="2948" t="s">
        <v>2758</v>
      </c>
      <c r="C894" s="2194" t="s">
        <v>1882</v>
      </c>
      <c r="D894" s="2193" t="s">
        <v>1007</v>
      </c>
    </row>
    <row r="895" spans="2:4">
      <c r="B895" s="2948" t="s">
        <v>2757</v>
      </c>
      <c r="C895" s="2194" t="s">
        <v>1882</v>
      </c>
      <c r="D895" s="2193" t="s">
        <v>1005</v>
      </c>
    </row>
    <row r="896" spans="2:4">
      <c r="B896" s="2948" t="s">
        <v>2756</v>
      </c>
      <c r="C896" s="2194" t="s">
        <v>1880</v>
      </c>
      <c r="D896" s="2193" t="s">
        <v>1044</v>
      </c>
    </row>
    <row r="897" spans="2:4">
      <c r="B897" s="2948" t="s">
        <v>2755</v>
      </c>
      <c r="C897" s="2194" t="s">
        <v>1883</v>
      </c>
      <c r="D897" s="2193" t="s">
        <v>1014</v>
      </c>
    </row>
    <row r="898" spans="2:4">
      <c r="B898" s="2948" t="s">
        <v>2754</v>
      </c>
      <c r="C898" s="2194" t="s">
        <v>1884</v>
      </c>
      <c r="D898" s="2193" t="s">
        <v>1007</v>
      </c>
    </row>
    <row r="899" spans="2:4">
      <c r="B899" s="2948" t="s">
        <v>2753</v>
      </c>
      <c r="C899" s="2194" t="s">
        <v>1885</v>
      </c>
      <c r="D899" s="2193" t="s">
        <v>1051</v>
      </c>
    </row>
    <row r="900" spans="2:4">
      <c r="B900" s="2948" t="s">
        <v>2752</v>
      </c>
      <c r="C900" s="2194" t="s">
        <v>1886</v>
      </c>
      <c r="D900" s="2193" t="s">
        <v>1028</v>
      </c>
    </row>
    <row r="901" spans="2:4">
      <c r="B901" s="2948" t="s">
        <v>2751</v>
      </c>
      <c r="C901" s="2194" t="s">
        <v>1887</v>
      </c>
      <c r="D901" s="2193" t="s">
        <v>1003</v>
      </c>
    </row>
    <row r="902" spans="2:4">
      <c r="B902" s="2948" t="s">
        <v>2750</v>
      </c>
      <c r="C902" s="2194" t="s">
        <v>1888</v>
      </c>
      <c r="D902" s="2193" t="s">
        <v>4036</v>
      </c>
    </row>
    <row r="903" spans="2:4">
      <c r="B903" s="2948" t="s">
        <v>2749</v>
      </c>
      <c r="C903" s="2194" t="s">
        <v>1889</v>
      </c>
      <c r="D903" s="2193" t="s">
        <v>1007</v>
      </c>
    </row>
    <row r="904" spans="2:4">
      <c r="B904" s="2948" t="s">
        <v>2748</v>
      </c>
      <c r="C904" s="2194" t="s">
        <v>1890</v>
      </c>
      <c r="D904" s="2193" t="s">
        <v>1028</v>
      </c>
    </row>
    <row r="905" spans="2:4">
      <c r="B905" s="2948" t="s">
        <v>2747</v>
      </c>
      <c r="C905" s="2194" t="s">
        <v>1891</v>
      </c>
      <c r="D905" s="2193" t="s">
        <v>1007</v>
      </c>
    </row>
    <row r="906" spans="2:4">
      <c r="B906" s="2948" t="s">
        <v>2746</v>
      </c>
      <c r="C906" s="2194" t="s">
        <v>1892</v>
      </c>
      <c r="D906" s="2193" t="s">
        <v>1003</v>
      </c>
    </row>
    <row r="907" spans="2:4">
      <c r="B907" s="2948" t="s">
        <v>2745</v>
      </c>
      <c r="C907" s="2194" t="s">
        <v>1893</v>
      </c>
      <c r="D907" s="2193" t="s">
        <v>1021</v>
      </c>
    </row>
    <row r="908" spans="2:4">
      <c r="B908" s="2948" t="s">
        <v>2744</v>
      </c>
      <c r="C908" s="2194" t="s">
        <v>1894</v>
      </c>
      <c r="D908" s="2193" t="s">
        <v>1044</v>
      </c>
    </row>
    <row r="909" spans="2:4">
      <c r="B909" s="2948" t="s">
        <v>2743</v>
      </c>
      <c r="C909" s="2194" t="s">
        <v>1895</v>
      </c>
      <c r="D909" s="2193" t="s">
        <v>1014</v>
      </c>
    </row>
    <row r="910" spans="2:4">
      <c r="B910" s="2948" t="s">
        <v>2742</v>
      </c>
      <c r="C910" s="2194" t="s">
        <v>1896</v>
      </c>
      <c r="D910" s="2193" t="s">
        <v>1007</v>
      </c>
    </row>
    <row r="911" spans="2:4">
      <c r="B911" s="2948" t="s">
        <v>2741</v>
      </c>
      <c r="C911" s="2194" t="s">
        <v>1897</v>
      </c>
      <c r="D911" s="2193" t="s">
        <v>1005</v>
      </c>
    </row>
    <row r="912" spans="2:4">
      <c r="B912" s="2948" t="s">
        <v>2740</v>
      </c>
      <c r="C912" s="2194" t="s">
        <v>1898</v>
      </c>
      <c r="D912" s="2193" t="s">
        <v>1014</v>
      </c>
    </row>
    <row r="913" spans="2:4">
      <c r="B913" s="2948" t="s">
        <v>2739</v>
      </c>
      <c r="C913" s="2194" t="s">
        <v>1899</v>
      </c>
      <c r="D913" s="2193" t="s">
        <v>1005</v>
      </c>
    </row>
    <row r="914" spans="2:4">
      <c r="B914" s="2948" t="s">
        <v>2738</v>
      </c>
      <c r="C914" s="2194" t="s">
        <v>1900</v>
      </c>
      <c r="D914" s="2193" t="s">
        <v>1007</v>
      </c>
    </row>
    <row r="915" spans="2:4">
      <c r="B915" s="2948" t="s">
        <v>2737</v>
      </c>
      <c r="C915" s="2194" t="s">
        <v>1901</v>
      </c>
      <c r="D915" s="2193" t="s">
        <v>1005</v>
      </c>
    </row>
    <row r="916" spans="2:4">
      <c r="B916" s="2948" t="s">
        <v>2736</v>
      </c>
      <c r="C916" s="2194" t="s">
        <v>1902</v>
      </c>
      <c r="D916" s="2193" t="s">
        <v>1005</v>
      </c>
    </row>
    <row r="917" spans="2:4">
      <c r="B917" s="2948" t="s">
        <v>2735</v>
      </c>
      <c r="C917" s="2194" t="s">
        <v>1903</v>
      </c>
      <c r="D917" s="2193" t="s">
        <v>1005</v>
      </c>
    </row>
    <row r="918" spans="2:4">
      <c r="B918" s="2948" t="s">
        <v>2734</v>
      </c>
      <c r="C918" s="2194" t="s">
        <v>1904</v>
      </c>
      <c r="D918" s="2193" t="s">
        <v>1014</v>
      </c>
    </row>
    <row r="919" spans="2:4">
      <c r="B919" s="2948" t="s">
        <v>2733</v>
      </c>
      <c r="C919" s="2194" t="s">
        <v>1905</v>
      </c>
      <c r="D919" s="2193" t="s">
        <v>1021</v>
      </c>
    </row>
    <row r="920" spans="2:4">
      <c r="B920" s="2948" t="s">
        <v>2732</v>
      </c>
      <c r="C920" s="2194" t="s">
        <v>1906</v>
      </c>
      <c r="D920" s="2193" t="s">
        <v>1051</v>
      </c>
    </row>
    <row r="921" spans="2:4">
      <c r="B921" s="2948" t="s">
        <v>2731</v>
      </c>
      <c r="C921" s="2194" t="s">
        <v>1907</v>
      </c>
      <c r="D921" s="2193" t="s">
        <v>1051</v>
      </c>
    </row>
    <row r="922" spans="2:4">
      <c r="B922" s="2948" t="s">
        <v>2312</v>
      </c>
      <c r="C922" s="2194" t="s">
        <v>1908</v>
      </c>
      <c r="D922" s="2193" t="s">
        <v>4037</v>
      </c>
    </row>
    <row r="923" spans="2:4">
      <c r="B923" s="2948" t="s">
        <v>2727</v>
      </c>
      <c r="C923" s="2194" t="s">
        <v>1909</v>
      </c>
      <c r="D923" s="2193" t="s">
        <v>1014</v>
      </c>
    </row>
    <row r="924" spans="2:4">
      <c r="B924" s="2948" t="s">
        <v>2728</v>
      </c>
      <c r="C924" s="2194" t="s">
        <v>1910</v>
      </c>
      <c r="D924" s="2193" t="s">
        <v>1005</v>
      </c>
    </row>
    <row r="925" spans="2:4">
      <c r="B925" s="2948" t="s">
        <v>2729</v>
      </c>
      <c r="C925" s="2194" t="s">
        <v>1911</v>
      </c>
      <c r="D925" s="2193" t="s">
        <v>1007</v>
      </c>
    </row>
    <row r="926" spans="2:4">
      <c r="B926" s="2948" t="s">
        <v>2730</v>
      </c>
      <c r="C926" s="2194" t="s">
        <v>1912</v>
      </c>
      <c r="D926" s="2193" t="s">
        <v>1068</v>
      </c>
    </row>
    <row r="927" spans="2:4">
      <c r="B927" s="2948" t="s">
        <v>2679</v>
      </c>
      <c r="C927" s="2194" t="s">
        <v>1913</v>
      </c>
      <c r="D927" s="2193" t="s">
        <v>1014</v>
      </c>
    </row>
    <row r="928" spans="2:4">
      <c r="B928" s="2948" t="s">
        <v>2678</v>
      </c>
      <c r="C928" s="2194" t="s">
        <v>1914</v>
      </c>
      <c r="D928" s="2193" t="s">
        <v>1014</v>
      </c>
    </row>
    <row r="929" spans="2:4">
      <c r="B929" s="2948" t="s">
        <v>2351</v>
      </c>
      <c r="C929" s="2194" t="s">
        <v>1915</v>
      </c>
      <c r="D929" s="2193" t="s">
        <v>1014</v>
      </c>
    </row>
    <row r="930" spans="2:4">
      <c r="B930" s="2948" t="s">
        <v>2677</v>
      </c>
      <c r="C930" s="2194" t="s">
        <v>1916</v>
      </c>
      <c r="D930" s="2193" t="s">
        <v>1051</v>
      </c>
    </row>
    <row r="931" spans="2:4">
      <c r="B931" s="2948" t="s">
        <v>2676</v>
      </c>
      <c r="C931" s="2194" t="s">
        <v>1917</v>
      </c>
      <c r="D931" s="2193" t="s">
        <v>1007</v>
      </c>
    </row>
    <row r="932" spans="2:4">
      <c r="B932" s="2948" t="s">
        <v>2675</v>
      </c>
      <c r="C932" s="2194" t="s">
        <v>1918</v>
      </c>
      <c r="D932" s="2193" t="s">
        <v>1014</v>
      </c>
    </row>
    <row r="933" spans="2:4">
      <c r="B933" s="2948" t="s">
        <v>2674</v>
      </c>
      <c r="C933" s="2194" t="s">
        <v>1919</v>
      </c>
      <c r="D933" s="2193" t="s">
        <v>4036</v>
      </c>
    </row>
    <row r="934" spans="2:4">
      <c r="B934" s="2948" t="s">
        <v>2673</v>
      </c>
      <c r="C934" s="2194" t="s">
        <v>1920</v>
      </c>
      <c r="D934" s="2193" t="s">
        <v>1005</v>
      </c>
    </row>
    <row r="935" spans="2:4">
      <c r="B935" s="2948" t="s">
        <v>2672</v>
      </c>
      <c r="C935" s="2194" t="s">
        <v>1921</v>
      </c>
      <c r="D935" s="2193" t="s">
        <v>1007</v>
      </c>
    </row>
    <row r="936" spans="2:4">
      <c r="B936" s="2948" t="s">
        <v>2671</v>
      </c>
      <c r="C936" s="2194" t="s">
        <v>1922</v>
      </c>
      <c r="D936" s="2193" t="s">
        <v>1007</v>
      </c>
    </row>
    <row r="937" spans="2:4">
      <c r="B937" s="2948" t="s">
        <v>2352</v>
      </c>
      <c r="C937" s="2194" t="s">
        <v>1923</v>
      </c>
      <c r="D937" s="2193" t="s">
        <v>1014</v>
      </c>
    </row>
    <row r="938" spans="2:4">
      <c r="B938" s="2948" t="s">
        <v>2670</v>
      </c>
      <c r="C938" s="2194" t="s">
        <v>1924</v>
      </c>
      <c r="D938" s="2193" t="s">
        <v>1068</v>
      </c>
    </row>
    <row r="939" spans="2:4">
      <c r="B939" s="2948" t="s">
        <v>2669</v>
      </c>
      <c r="C939" s="2194" t="s">
        <v>1925</v>
      </c>
      <c r="D939" s="2193" t="s">
        <v>1028</v>
      </c>
    </row>
    <row r="940" spans="2:4">
      <c r="B940" s="2948" t="s">
        <v>2373</v>
      </c>
      <c r="C940" s="2194" t="s">
        <v>1926</v>
      </c>
      <c r="D940" s="2193" t="s">
        <v>1014</v>
      </c>
    </row>
    <row r="941" spans="2:4">
      <c r="B941" s="2948" t="s">
        <v>2668</v>
      </c>
      <c r="C941" s="2194" t="s">
        <v>1927</v>
      </c>
      <c r="D941" s="2193" t="s">
        <v>1007</v>
      </c>
    </row>
    <row r="942" spans="2:4">
      <c r="B942" s="2948" t="s">
        <v>2667</v>
      </c>
      <c r="C942" s="2194" t="s">
        <v>1928</v>
      </c>
      <c r="D942" s="2193" t="s">
        <v>1007</v>
      </c>
    </row>
    <row r="943" spans="2:4">
      <c r="B943" s="2948" t="s">
        <v>2666</v>
      </c>
      <c r="C943" s="2194" t="s">
        <v>1929</v>
      </c>
      <c r="D943" s="2193" t="s">
        <v>1005</v>
      </c>
    </row>
    <row r="944" spans="2:4">
      <c r="B944" s="2948" t="s">
        <v>2665</v>
      </c>
      <c r="C944" s="2194" t="s">
        <v>1930</v>
      </c>
      <c r="D944" s="2193" t="s">
        <v>1014</v>
      </c>
    </row>
    <row r="945" spans="2:4">
      <c r="B945" s="2948" t="s">
        <v>2664</v>
      </c>
      <c r="C945" s="2194" t="s">
        <v>1931</v>
      </c>
      <c r="D945" s="2193" t="s">
        <v>1007</v>
      </c>
    </row>
    <row r="946" spans="2:4">
      <c r="B946" s="2948" t="s">
        <v>2663</v>
      </c>
      <c r="C946" s="2194" t="s">
        <v>1932</v>
      </c>
      <c r="D946" s="2193" t="s">
        <v>1014</v>
      </c>
    </row>
    <row r="947" spans="2:4">
      <c r="B947" s="2948" t="s">
        <v>2662</v>
      </c>
      <c r="C947" s="2194" t="s">
        <v>1933</v>
      </c>
      <c r="D947" s="2193" t="s">
        <v>1007</v>
      </c>
    </row>
    <row r="948" spans="2:4">
      <c r="B948" s="2948" t="s">
        <v>2661</v>
      </c>
      <c r="C948" s="2194" t="s">
        <v>1934</v>
      </c>
      <c r="D948" s="2193" t="s">
        <v>1005</v>
      </c>
    </row>
    <row r="949" spans="2:4">
      <c r="B949" s="2948" t="s">
        <v>2660</v>
      </c>
      <c r="C949" s="2194" t="s">
        <v>1935</v>
      </c>
      <c r="D949" s="2193" t="s">
        <v>1068</v>
      </c>
    </row>
    <row r="950" spans="2:4">
      <c r="B950" s="2948" t="s">
        <v>2659</v>
      </c>
      <c r="C950" s="2194" t="s">
        <v>1936</v>
      </c>
      <c r="D950" s="2193" t="s">
        <v>1005</v>
      </c>
    </row>
    <row r="951" spans="2:4">
      <c r="B951" s="2948" t="s">
        <v>2658</v>
      </c>
      <c r="C951" s="2194" t="s">
        <v>1937</v>
      </c>
      <c r="D951" s="2193" t="s">
        <v>1014</v>
      </c>
    </row>
    <row r="952" spans="2:4">
      <c r="B952" s="2948" t="s">
        <v>2657</v>
      </c>
      <c r="C952" s="2194" t="s">
        <v>1938</v>
      </c>
      <c r="D952" s="2193" t="s">
        <v>1005</v>
      </c>
    </row>
    <row r="953" spans="2:4">
      <c r="B953" s="2948" t="s">
        <v>2656</v>
      </c>
      <c r="C953" s="2194" t="s">
        <v>1939</v>
      </c>
      <c r="D953" s="2193" t="s">
        <v>1007</v>
      </c>
    </row>
    <row r="954" spans="2:4">
      <c r="B954" s="2948" t="s">
        <v>2655</v>
      </c>
      <c r="C954" s="2194" t="s">
        <v>1940</v>
      </c>
      <c r="D954" s="2193" t="s">
        <v>1051</v>
      </c>
    </row>
    <row r="955" spans="2:4">
      <c r="B955" s="2948" t="s">
        <v>2654</v>
      </c>
      <c r="C955" s="2194" t="s">
        <v>1941</v>
      </c>
      <c r="D955" s="2193" t="s">
        <v>1007</v>
      </c>
    </row>
    <row r="956" spans="2:4">
      <c r="B956" s="2948" t="s">
        <v>2653</v>
      </c>
      <c r="C956" s="2194" t="s">
        <v>1942</v>
      </c>
      <c r="D956" s="2193" t="s">
        <v>1007</v>
      </c>
    </row>
    <row r="957" spans="2:4">
      <c r="B957" s="2948" t="s">
        <v>2652</v>
      </c>
      <c r="C957" s="2194" t="s">
        <v>1943</v>
      </c>
      <c r="D957" s="2193" t="s">
        <v>1005</v>
      </c>
    </row>
    <row r="958" spans="2:4">
      <c r="B958" s="2948" t="s">
        <v>2651</v>
      </c>
      <c r="C958" s="2194" t="s">
        <v>1944</v>
      </c>
      <c r="D958" s="2193" t="s">
        <v>1014</v>
      </c>
    </row>
    <row r="959" spans="2:4">
      <c r="B959" s="2948" t="s">
        <v>2650</v>
      </c>
      <c r="C959" s="2194" t="s">
        <v>1945</v>
      </c>
      <c r="D959" s="2193" t="s">
        <v>1005</v>
      </c>
    </row>
    <row r="960" spans="2:4">
      <c r="B960" s="2948" t="s">
        <v>2649</v>
      </c>
      <c r="C960" s="2194" t="s">
        <v>1946</v>
      </c>
      <c r="D960" s="2193" t="s">
        <v>1028</v>
      </c>
    </row>
    <row r="961" spans="2:4">
      <c r="B961" s="2948" t="s">
        <v>2648</v>
      </c>
      <c r="C961" s="2194" t="s">
        <v>1947</v>
      </c>
      <c r="D961" s="2193" t="s">
        <v>1068</v>
      </c>
    </row>
    <row r="962" spans="2:4">
      <c r="B962" s="2948" t="s">
        <v>2647</v>
      </c>
      <c r="C962" s="2194" t="s">
        <v>1948</v>
      </c>
      <c r="D962" s="2193" t="s">
        <v>1028</v>
      </c>
    </row>
    <row r="963" spans="2:4">
      <c r="B963" s="2948" t="s">
        <v>2646</v>
      </c>
      <c r="C963" s="2194" t="s">
        <v>1949</v>
      </c>
      <c r="D963" s="2193" t="s">
        <v>1007</v>
      </c>
    </row>
    <row r="964" spans="2:4">
      <c r="B964" s="2948" t="s">
        <v>2645</v>
      </c>
      <c r="C964" s="2194" t="s">
        <v>1950</v>
      </c>
      <c r="D964" s="2193" t="s">
        <v>1014</v>
      </c>
    </row>
    <row r="965" spans="2:4">
      <c r="B965" s="2948" t="s">
        <v>2644</v>
      </c>
      <c r="C965" s="2194" t="s">
        <v>1953</v>
      </c>
      <c r="D965" s="2193" t="s">
        <v>1007</v>
      </c>
    </row>
    <row r="966" spans="2:4">
      <c r="B966" s="2948" t="s">
        <v>2643</v>
      </c>
      <c r="C966" s="2194" t="s">
        <v>1951</v>
      </c>
      <c r="D966" s="2193" t="s">
        <v>1044</v>
      </c>
    </row>
    <row r="967" spans="2:4">
      <c r="B967" s="2948" t="s">
        <v>2642</v>
      </c>
      <c r="C967" s="2194" t="s">
        <v>1952</v>
      </c>
      <c r="D967" s="2193" t="s">
        <v>1028</v>
      </c>
    </row>
    <row r="968" spans="2:4">
      <c r="B968" s="2948" t="s">
        <v>2641</v>
      </c>
      <c r="C968" s="2194" t="s">
        <v>1954</v>
      </c>
      <c r="D968" s="2193" t="s">
        <v>1019</v>
      </c>
    </row>
    <row r="969" spans="2:4">
      <c r="B969" s="2948" t="s">
        <v>2640</v>
      </c>
      <c r="C969" s="2194" t="s">
        <v>1955</v>
      </c>
      <c r="D969" s="2193" t="s">
        <v>1005</v>
      </c>
    </row>
    <row r="970" spans="2:4">
      <c r="B970" s="2948" t="s">
        <v>2639</v>
      </c>
      <c r="C970" s="2194" t="s">
        <v>1956</v>
      </c>
      <c r="D970" s="2193" t="s">
        <v>4036</v>
      </c>
    </row>
    <row r="971" spans="2:4">
      <c r="B971" s="2948" t="s">
        <v>2638</v>
      </c>
      <c r="C971" s="2194" t="s">
        <v>1957</v>
      </c>
      <c r="D971" s="2193" t="s">
        <v>1007</v>
      </c>
    </row>
    <row r="972" spans="2:4">
      <c r="B972" s="2948" t="s">
        <v>2637</v>
      </c>
      <c r="C972" s="2194" t="s">
        <v>1958</v>
      </c>
      <c r="D972" s="2193" t="s">
        <v>1051</v>
      </c>
    </row>
    <row r="973" spans="2:4">
      <c r="B973" s="2948" t="s">
        <v>2636</v>
      </c>
      <c r="C973" s="2194" t="s">
        <v>1959</v>
      </c>
      <c r="D973" s="2193" t="s">
        <v>1007</v>
      </c>
    </row>
    <row r="974" spans="2:4">
      <c r="B974" s="2948" t="s">
        <v>2635</v>
      </c>
      <c r="C974" s="2194" t="s">
        <v>1960</v>
      </c>
      <c r="D974" s="2193" t="s">
        <v>1044</v>
      </c>
    </row>
    <row r="975" spans="2:4">
      <c r="B975" s="2948" t="s">
        <v>2634</v>
      </c>
      <c r="C975" s="2194" t="s">
        <v>1961</v>
      </c>
      <c r="D975" s="2193" t="s">
        <v>1005</v>
      </c>
    </row>
    <row r="976" spans="2:4">
      <c r="B976" s="2948" t="s">
        <v>2633</v>
      </c>
      <c r="C976" s="2194" t="s">
        <v>1962</v>
      </c>
      <c r="D976" s="2193" t="s">
        <v>1028</v>
      </c>
    </row>
    <row r="977" spans="2:4">
      <c r="B977" s="2948" t="s">
        <v>2632</v>
      </c>
      <c r="C977" s="2194" t="s">
        <v>1963</v>
      </c>
      <c r="D977" s="2193" t="s">
        <v>1007</v>
      </c>
    </row>
    <row r="978" spans="2:4">
      <c r="B978" s="2948" t="s">
        <v>2359</v>
      </c>
      <c r="C978" s="2194" t="s">
        <v>1964</v>
      </c>
      <c r="D978" s="2193" t="s">
        <v>1014</v>
      </c>
    </row>
    <row r="979" spans="2:4">
      <c r="B979" s="2948" t="s">
        <v>2631</v>
      </c>
      <c r="C979" s="2194" t="s">
        <v>1965</v>
      </c>
      <c r="D979" s="2193" t="s">
        <v>1005</v>
      </c>
    </row>
    <row r="980" spans="2:4">
      <c r="B980" s="2948" t="s">
        <v>2630</v>
      </c>
      <c r="C980" s="2194" t="s">
        <v>1966</v>
      </c>
      <c r="D980" s="2193" t="s">
        <v>1003</v>
      </c>
    </row>
    <row r="981" spans="2:4">
      <c r="B981" s="2948" t="s">
        <v>2629</v>
      </c>
      <c r="C981" s="2194" t="s">
        <v>1967</v>
      </c>
      <c r="D981" s="2193" t="s">
        <v>1068</v>
      </c>
    </row>
    <row r="982" spans="2:4">
      <c r="B982" s="2948" t="s">
        <v>2628</v>
      </c>
      <c r="C982" s="2194" t="s">
        <v>1968</v>
      </c>
      <c r="D982" s="2193" t="s">
        <v>1051</v>
      </c>
    </row>
    <row r="983" spans="2:4">
      <c r="B983" s="2948" t="s">
        <v>2627</v>
      </c>
      <c r="C983" s="2194" t="s">
        <v>1969</v>
      </c>
      <c r="D983" s="2193" t="s">
        <v>1005</v>
      </c>
    </row>
    <row r="984" spans="2:4">
      <c r="B984" s="2948" t="s">
        <v>2626</v>
      </c>
      <c r="C984" s="2194" t="s">
        <v>1970</v>
      </c>
      <c r="D984" s="2193" t="s">
        <v>1007</v>
      </c>
    </row>
    <row r="985" spans="2:4">
      <c r="B985" s="2948" t="s">
        <v>2625</v>
      </c>
      <c r="C985" s="2194" t="s">
        <v>1971</v>
      </c>
      <c r="D985" s="2193" t="s">
        <v>1068</v>
      </c>
    </row>
    <row r="986" spans="2:4">
      <c r="B986" s="2948" t="s">
        <v>2624</v>
      </c>
      <c r="C986" s="2194" t="s">
        <v>1972</v>
      </c>
      <c r="D986" s="2193" t="s">
        <v>1003</v>
      </c>
    </row>
    <row r="987" spans="2:4">
      <c r="B987" s="2948" t="s">
        <v>2623</v>
      </c>
      <c r="C987" s="2194" t="s">
        <v>1973</v>
      </c>
      <c r="D987" s="2193" t="s">
        <v>1028</v>
      </c>
    </row>
    <row r="988" spans="2:4">
      <c r="B988" s="2948" t="s">
        <v>2622</v>
      </c>
      <c r="C988" s="2194" t="s">
        <v>1974</v>
      </c>
      <c r="D988" s="2193" t="s">
        <v>1028</v>
      </c>
    </row>
    <row r="989" spans="2:4">
      <c r="B989" s="2948" t="s">
        <v>2621</v>
      </c>
      <c r="C989" s="2194" t="s">
        <v>1975</v>
      </c>
      <c r="D989" s="2193" t="s">
        <v>1007</v>
      </c>
    </row>
    <row r="990" spans="2:4">
      <c r="B990" s="2948" t="s">
        <v>2620</v>
      </c>
      <c r="C990" s="2194" t="s">
        <v>1976</v>
      </c>
      <c r="D990" s="2193" t="s">
        <v>1019</v>
      </c>
    </row>
    <row r="991" spans="2:4">
      <c r="B991" s="2948" t="s">
        <v>2619</v>
      </c>
      <c r="C991" s="2194" t="s">
        <v>1977</v>
      </c>
      <c r="D991" s="2193" t="s">
        <v>1003</v>
      </c>
    </row>
    <row r="992" spans="2:4">
      <c r="B992" s="2948" t="s">
        <v>2618</v>
      </c>
      <c r="C992" s="2194" t="s">
        <v>1977</v>
      </c>
      <c r="D992" s="2193" t="s">
        <v>1005</v>
      </c>
    </row>
    <row r="993" spans="2:4">
      <c r="B993" s="2948" t="s">
        <v>2617</v>
      </c>
      <c r="C993" s="2194" t="s">
        <v>1978</v>
      </c>
      <c r="D993" s="2193" t="s">
        <v>1051</v>
      </c>
    </row>
    <row r="994" spans="2:4">
      <c r="B994" s="2948" t="s">
        <v>2616</v>
      </c>
      <c r="C994" s="2194" t="s">
        <v>1979</v>
      </c>
      <c r="D994" s="2193" t="s">
        <v>1007</v>
      </c>
    </row>
    <row r="995" spans="2:4">
      <c r="B995" s="2948" t="s">
        <v>2615</v>
      </c>
      <c r="C995" s="2194" t="s">
        <v>1979</v>
      </c>
      <c r="D995" s="2193" t="s">
        <v>1051</v>
      </c>
    </row>
    <row r="996" spans="2:4">
      <c r="B996" s="2948" t="s">
        <v>2325</v>
      </c>
      <c r="C996" s="2194" t="s">
        <v>1980</v>
      </c>
      <c r="D996" s="2193" t="s">
        <v>4037</v>
      </c>
    </row>
    <row r="997" spans="2:4">
      <c r="B997" s="2948" t="s">
        <v>2614</v>
      </c>
      <c r="C997" s="2194" t="s">
        <v>1980</v>
      </c>
      <c r="D997" s="2193" t="s">
        <v>1044</v>
      </c>
    </row>
    <row r="998" spans="2:4">
      <c r="B998" s="2948" t="s">
        <v>2613</v>
      </c>
      <c r="C998" s="2194" t="s">
        <v>1981</v>
      </c>
      <c r="D998" s="2193" t="s">
        <v>1005</v>
      </c>
    </row>
    <row r="999" spans="2:4">
      <c r="B999" s="2948" t="s">
        <v>2612</v>
      </c>
      <c r="C999" s="2194" t="s">
        <v>1982</v>
      </c>
      <c r="D999" s="2193" t="s">
        <v>1014</v>
      </c>
    </row>
    <row r="1000" spans="2:4">
      <c r="B1000" s="2948" t="s">
        <v>2611</v>
      </c>
      <c r="C1000" s="2194" t="s">
        <v>1983</v>
      </c>
      <c r="D1000" s="2193" t="s">
        <v>1007</v>
      </c>
    </row>
    <row r="1001" spans="2:4">
      <c r="B1001" s="2948" t="s">
        <v>2610</v>
      </c>
      <c r="C1001" s="2194" t="s">
        <v>1984</v>
      </c>
      <c r="D1001" s="2193" t="s">
        <v>1016</v>
      </c>
    </row>
    <row r="1002" spans="2:4">
      <c r="B1002" s="2948" t="s">
        <v>2609</v>
      </c>
      <c r="C1002" s="2194" t="s">
        <v>1985</v>
      </c>
      <c r="D1002" s="2193" t="s">
        <v>1028</v>
      </c>
    </row>
    <row r="1003" spans="2:4">
      <c r="B1003" s="2948" t="s">
        <v>2608</v>
      </c>
      <c r="C1003" s="2194" t="s">
        <v>1986</v>
      </c>
      <c r="D1003" s="2193" t="s">
        <v>1051</v>
      </c>
    </row>
    <row r="1004" spans="2:4">
      <c r="B1004" s="2948" t="s">
        <v>2607</v>
      </c>
      <c r="C1004" s="2194" t="s">
        <v>1986</v>
      </c>
      <c r="D1004" s="2193" t="s">
        <v>4036</v>
      </c>
    </row>
    <row r="1005" spans="2:4">
      <c r="B1005" s="2948" t="s">
        <v>2606</v>
      </c>
      <c r="C1005" s="2194" t="s">
        <v>1987</v>
      </c>
      <c r="D1005" s="2193" t="s">
        <v>1005</v>
      </c>
    </row>
    <row r="1006" spans="2:4">
      <c r="B1006" s="2948" t="s">
        <v>2605</v>
      </c>
      <c r="C1006" s="2194" t="s">
        <v>1988</v>
      </c>
      <c r="D1006" s="2193" t="s">
        <v>1068</v>
      </c>
    </row>
    <row r="1007" spans="2:4">
      <c r="B1007" s="2948" t="s">
        <v>2604</v>
      </c>
      <c r="C1007" s="2194" t="s">
        <v>1989</v>
      </c>
      <c r="D1007" s="2193" t="s">
        <v>1028</v>
      </c>
    </row>
    <row r="1008" spans="2:4">
      <c r="B1008" s="2948" t="s">
        <v>2603</v>
      </c>
      <c r="C1008" s="2194" t="s">
        <v>1990</v>
      </c>
      <c r="D1008" s="2193" t="s">
        <v>1007</v>
      </c>
    </row>
    <row r="1009" spans="2:4">
      <c r="B1009" s="2948" t="s">
        <v>2602</v>
      </c>
      <c r="C1009" s="2194" t="s">
        <v>1991</v>
      </c>
      <c r="D1009" s="2193" t="s">
        <v>1005</v>
      </c>
    </row>
    <row r="1010" spans="2:4">
      <c r="B1010" s="2948" t="s">
        <v>2346</v>
      </c>
      <c r="C1010" s="2194" t="s">
        <v>1992</v>
      </c>
      <c r="D1010" s="2193" t="s">
        <v>1014</v>
      </c>
    </row>
    <row r="1011" spans="2:4">
      <c r="B1011" s="2948" t="s">
        <v>2601</v>
      </c>
      <c r="C1011" s="2194" t="s">
        <v>1993</v>
      </c>
      <c r="D1011" s="2193" t="s">
        <v>1005</v>
      </c>
    </row>
    <row r="1012" spans="2:4">
      <c r="B1012" s="2948" t="s">
        <v>2600</v>
      </c>
      <c r="C1012" s="2194" t="s">
        <v>1994</v>
      </c>
      <c r="D1012" s="2193" t="s">
        <v>1007</v>
      </c>
    </row>
    <row r="1013" spans="2:4">
      <c r="B1013" s="2948" t="s">
        <v>2599</v>
      </c>
      <c r="C1013" s="2194" t="s">
        <v>1995</v>
      </c>
      <c r="D1013" s="2193" t="s">
        <v>1068</v>
      </c>
    </row>
    <row r="1014" spans="2:4">
      <c r="B1014" s="2948" t="s">
        <v>2598</v>
      </c>
      <c r="C1014" s="2194" t="s">
        <v>1996</v>
      </c>
      <c r="D1014" s="2193" t="s">
        <v>4036</v>
      </c>
    </row>
    <row r="1015" spans="2:4">
      <c r="B1015" s="2948" t="s">
        <v>2597</v>
      </c>
      <c r="C1015" s="2194" t="s">
        <v>1997</v>
      </c>
      <c r="D1015" s="2193" t="s">
        <v>1044</v>
      </c>
    </row>
    <row r="1016" spans="2:4">
      <c r="B1016" s="2948" t="s">
        <v>2596</v>
      </c>
      <c r="C1016" s="2194" t="s">
        <v>1998</v>
      </c>
      <c r="D1016" s="2193" t="s">
        <v>1051</v>
      </c>
    </row>
    <row r="1017" spans="2:4">
      <c r="B1017" s="2948" t="s">
        <v>2595</v>
      </c>
      <c r="C1017" s="2194" t="s">
        <v>1999</v>
      </c>
      <c r="D1017" s="2193" t="s">
        <v>1044</v>
      </c>
    </row>
    <row r="1018" spans="2:4">
      <c r="B1018" s="2948" t="s">
        <v>2594</v>
      </c>
      <c r="C1018" s="2194" t="s">
        <v>2000</v>
      </c>
      <c r="D1018" s="2193" t="s">
        <v>1044</v>
      </c>
    </row>
    <row r="1019" spans="2:4">
      <c r="B1019" s="2948" t="s">
        <v>2363</v>
      </c>
      <c r="C1019" s="2194" t="s">
        <v>2001</v>
      </c>
      <c r="D1019" s="2193" t="s">
        <v>1014</v>
      </c>
    </row>
    <row r="1020" spans="2:4">
      <c r="B1020" s="2948" t="s">
        <v>2593</v>
      </c>
      <c r="C1020" s="2194" t="s">
        <v>2002</v>
      </c>
      <c r="D1020" s="2193" t="s">
        <v>1044</v>
      </c>
    </row>
    <row r="1021" spans="2:4">
      <c r="B1021" s="2948" t="s">
        <v>2592</v>
      </c>
      <c r="C1021" s="2194" t="s">
        <v>2003</v>
      </c>
      <c r="D1021" s="2193" t="s">
        <v>1005</v>
      </c>
    </row>
    <row r="1022" spans="2:4">
      <c r="B1022" s="2948" t="s">
        <v>2591</v>
      </c>
      <c r="C1022" s="2194" t="s">
        <v>2004</v>
      </c>
      <c r="D1022" s="2193" t="s">
        <v>1005</v>
      </c>
    </row>
    <row r="1023" spans="2:4">
      <c r="B1023" s="2948" t="s">
        <v>2590</v>
      </c>
      <c r="C1023" s="2194" t="s">
        <v>2005</v>
      </c>
      <c r="D1023" s="2193" t="s">
        <v>1028</v>
      </c>
    </row>
    <row r="1024" spans="2:4">
      <c r="B1024" s="2948" t="s">
        <v>2589</v>
      </c>
      <c r="C1024" s="2194" t="s">
        <v>2006</v>
      </c>
      <c r="D1024" s="2193" t="s">
        <v>1014</v>
      </c>
    </row>
    <row r="1025" spans="2:4">
      <c r="B1025" s="2948" t="s">
        <v>2588</v>
      </c>
      <c r="C1025" s="2194" t="s">
        <v>2007</v>
      </c>
      <c r="D1025" s="2193" t="s">
        <v>1005</v>
      </c>
    </row>
    <row r="1026" spans="2:4">
      <c r="B1026" s="2948" t="s">
        <v>2587</v>
      </c>
      <c r="C1026" s="2194" t="s">
        <v>2008</v>
      </c>
      <c r="D1026" s="2193" t="s">
        <v>1007</v>
      </c>
    </row>
    <row r="1027" spans="2:4">
      <c r="B1027" s="2948" t="s">
        <v>2586</v>
      </c>
      <c r="C1027" s="2194" t="s">
        <v>2009</v>
      </c>
      <c r="D1027" s="2193" t="s">
        <v>1003</v>
      </c>
    </row>
    <row r="1028" spans="2:4">
      <c r="B1028" s="2948" t="s">
        <v>2347</v>
      </c>
      <c r="C1028" s="2194" t="s">
        <v>2010</v>
      </c>
      <c r="D1028" s="2193" t="s">
        <v>1014</v>
      </c>
    </row>
    <row r="1029" spans="2:4">
      <c r="B1029" s="2948" t="s">
        <v>2585</v>
      </c>
      <c r="C1029" s="2194" t="s">
        <v>2011</v>
      </c>
      <c r="D1029" s="2193" t="s">
        <v>1007</v>
      </c>
    </row>
    <row r="1030" spans="2:4">
      <c r="B1030" s="2948" t="s">
        <v>2584</v>
      </c>
      <c r="C1030" s="2194" t="s">
        <v>2012</v>
      </c>
      <c r="D1030" s="2193" t="s">
        <v>1028</v>
      </c>
    </row>
    <row r="1031" spans="2:4">
      <c r="B1031" s="2948" t="s">
        <v>2583</v>
      </c>
      <c r="C1031" s="2194" t="s">
        <v>2013</v>
      </c>
      <c r="D1031" s="2193" t="s">
        <v>1007</v>
      </c>
    </row>
    <row r="1032" spans="2:4">
      <c r="B1032" s="2948" t="s">
        <v>2582</v>
      </c>
      <c r="C1032" s="2194" t="s">
        <v>2014</v>
      </c>
      <c r="D1032" s="2193" t="s">
        <v>1068</v>
      </c>
    </row>
    <row r="1033" spans="2:4">
      <c r="B1033" s="2948" t="s">
        <v>2342</v>
      </c>
      <c r="C1033" s="2194" t="s">
        <v>2015</v>
      </c>
      <c r="D1033" s="2193" t="s">
        <v>1014</v>
      </c>
    </row>
    <row r="1034" spans="2:4">
      <c r="B1034" s="2948" t="s">
        <v>2581</v>
      </c>
      <c r="C1034" s="2194" t="s">
        <v>2016</v>
      </c>
      <c r="D1034" s="2193" t="s">
        <v>1028</v>
      </c>
    </row>
    <row r="1035" spans="2:4">
      <c r="B1035" s="2948" t="s">
        <v>2580</v>
      </c>
      <c r="C1035" s="2194" t="s">
        <v>2017</v>
      </c>
      <c r="D1035" s="2193" t="s">
        <v>1005</v>
      </c>
    </row>
    <row r="1036" spans="2:4">
      <c r="B1036" s="2948" t="s">
        <v>2579</v>
      </c>
      <c r="C1036" s="2194" t="s">
        <v>2018</v>
      </c>
      <c r="D1036" s="2193" t="s">
        <v>1005</v>
      </c>
    </row>
    <row r="1037" spans="2:4">
      <c r="B1037" s="2948" t="s">
        <v>2578</v>
      </c>
      <c r="C1037" s="2194" t="s">
        <v>2019</v>
      </c>
      <c r="D1037" s="2193" t="s">
        <v>1011</v>
      </c>
    </row>
    <row r="1038" spans="2:4">
      <c r="B1038" s="2948" t="s">
        <v>2349</v>
      </c>
      <c r="C1038" s="2194" t="s">
        <v>2020</v>
      </c>
      <c r="D1038" s="2193" t="s">
        <v>1014</v>
      </c>
    </row>
    <row r="1039" spans="2:4">
      <c r="B1039" s="2948" t="s">
        <v>2577</v>
      </c>
      <c r="C1039" s="2194" t="s">
        <v>2021</v>
      </c>
      <c r="D1039" s="2193" t="s">
        <v>1009</v>
      </c>
    </row>
    <row r="1040" spans="2:4">
      <c r="B1040" s="2948" t="s">
        <v>2576</v>
      </c>
      <c r="C1040" s="2194" t="s">
        <v>2022</v>
      </c>
      <c r="D1040" s="2193" t="s">
        <v>1003</v>
      </c>
    </row>
    <row r="1041" spans="2:4">
      <c r="B1041" s="2948" t="s">
        <v>2575</v>
      </c>
      <c r="C1041" s="2194" t="s">
        <v>2023</v>
      </c>
      <c r="D1041" s="2193" t="s">
        <v>1007</v>
      </c>
    </row>
    <row r="1042" spans="2:4">
      <c r="B1042" s="2948" t="s">
        <v>2574</v>
      </c>
      <c r="C1042" s="2194" t="s">
        <v>2024</v>
      </c>
      <c r="D1042" s="2193" t="s">
        <v>1021</v>
      </c>
    </row>
    <row r="1043" spans="2:4">
      <c r="B1043" s="2948" t="s">
        <v>2573</v>
      </c>
      <c r="C1043" s="2194" t="s">
        <v>2024</v>
      </c>
      <c r="D1043" s="2193" t="s">
        <v>1021</v>
      </c>
    </row>
    <row r="1044" spans="2:4">
      <c r="B1044" s="2948" t="s">
        <v>2572</v>
      </c>
      <c r="C1044" s="2194" t="s">
        <v>2025</v>
      </c>
      <c r="D1044" s="2193" t="s">
        <v>1041</v>
      </c>
    </row>
    <row r="1045" spans="2:4">
      <c r="B1045" s="2948" t="s">
        <v>2571</v>
      </c>
      <c r="C1045" s="2194" t="s">
        <v>2026</v>
      </c>
      <c r="D1045" s="2193" t="s">
        <v>1009</v>
      </c>
    </row>
    <row r="1046" spans="2:4">
      <c r="B1046" s="2948" t="s">
        <v>2570</v>
      </c>
      <c r="C1046" s="2194" t="s">
        <v>2027</v>
      </c>
      <c r="D1046" s="2193" t="s">
        <v>1044</v>
      </c>
    </row>
    <row r="1047" spans="2:4">
      <c r="B1047" s="2948" t="s">
        <v>2569</v>
      </c>
      <c r="C1047" s="2194" t="s">
        <v>2028</v>
      </c>
      <c r="D1047" s="2193" t="s">
        <v>1051</v>
      </c>
    </row>
    <row r="1048" spans="2:4">
      <c r="B1048" s="2948" t="s">
        <v>2568</v>
      </c>
      <c r="C1048" s="2194" t="s">
        <v>2029</v>
      </c>
      <c r="D1048" s="2193" t="s">
        <v>1016</v>
      </c>
    </row>
    <row r="1049" spans="2:4">
      <c r="B1049" s="2948" t="s">
        <v>2567</v>
      </c>
      <c r="C1049" s="2194" t="s">
        <v>2030</v>
      </c>
      <c r="D1049" s="2193" t="s">
        <v>1016</v>
      </c>
    </row>
    <row r="1050" spans="2:4">
      <c r="B1050" s="2948" t="s">
        <v>2566</v>
      </c>
      <c r="C1050" s="2194" t="s">
        <v>2031</v>
      </c>
      <c r="D1050" s="2193" t="s">
        <v>1003</v>
      </c>
    </row>
    <row r="1051" spans="2:4">
      <c r="B1051" s="2948" t="s">
        <v>2565</v>
      </c>
      <c r="C1051" s="2194" t="s">
        <v>2032</v>
      </c>
      <c r="D1051" s="2193" t="s">
        <v>1003</v>
      </c>
    </row>
    <row r="1052" spans="2:4">
      <c r="B1052" s="2948" t="s">
        <v>2318</v>
      </c>
      <c r="C1052" s="2194" t="s">
        <v>2033</v>
      </c>
      <c r="D1052" s="2193" t="s">
        <v>4037</v>
      </c>
    </row>
    <row r="1053" spans="2:4">
      <c r="B1053" s="2948" t="s">
        <v>2564</v>
      </c>
      <c r="C1053" s="2194" t="s">
        <v>2034</v>
      </c>
      <c r="D1053" s="2193" t="s">
        <v>1005</v>
      </c>
    </row>
    <row r="1054" spans="2:4">
      <c r="B1054" s="2948" t="s">
        <v>2563</v>
      </c>
      <c r="C1054" s="2194" t="s">
        <v>2035</v>
      </c>
      <c r="D1054" s="2193" t="s">
        <v>1003</v>
      </c>
    </row>
    <row r="1055" spans="2:4">
      <c r="B1055" s="2948" t="s">
        <v>2562</v>
      </c>
      <c r="C1055" s="2194" t="s">
        <v>2036</v>
      </c>
      <c r="D1055" s="2193" t="s">
        <v>1003</v>
      </c>
    </row>
    <row r="1056" spans="2:4">
      <c r="B1056" s="2948" t="s">
        <v>2561</v>
      </c>
      <c r="C1056" s="2194" t="s">
        <v>2037</v>
      </c>
      <c r="D1056" s="2193" t="s">
        <v>1003</v>
      </c>
    </row>
    <row r="1057" spans="2:4">
      <c r="B1057" s="2948" t="s">
        <v>2560</v>
      </c>
      <c r="C1057" s="2194" t="s">
        <v>2037</v>
      </c>
      <c r="D1057" s="2193" t="s">
        <v>1003</v>
      </c>
    </row>
    <row r="1058" spans="2:4">
      <c r="B1058" s="2948" t="s">
        <v>2559</v>
      </c>
      <c r="C1058" s="2194" t="s">
        <v>2038</v>
      </c>
      <c r="D1058" s="2193" t="s">
        <v>1003</v>
      </c>
    </row>
    <row r="1059" spans="2:4">
      <c r="B1059" s="2948" t="s">
        <v>2558</v>
      </c>
      <c r="C1059" s="2194" t="s">
        <v>2040</v>
      </c>
      <c r="D1059" s="2193" t="s">
        <v>1003</v>
      </c>
    </row>
    <row r="1060" spans="2:4">
      <c r="B1060" s="2948" t="s">
        <v>2557</v>
      </c>
      <c r="C1060" s="2194" t="s">
        <v>2041</v>
      </c>
      <c r="D1060" s="2193" t="s">
        <v>1044</v>
      </c>
    </row>
    <row r="1061" spans="2:4">
      <c r="B1061" s="2948" t="s">
        <v>2556</v>
      </c>
      <c r="C1061" s="2194" t="s">
        <v>2042</v>
      </c>
      <c r="D1061" s="2193" t="s">
        <v>1003</v>
      </c>
    </row>
    <row r="1062" spans="2:4">
      <c r="B1062" s="2948" t="s">
        <v>2555</v>
      </c>
      <c r="C1062" s="2194" t="s">
        <v>2043</v>
      </c>
      <c r="D1062" s="2193" t="s">
        <v>1003</v>
      </c>
    </row>
    <row r="1063" spans="2:4">
      <c r="B1063" s="2948" t="s">
        <v>2554</v>
      </c>
      <c r="C1063" s="2194" t="s">
        <v>2044</v>
      </c>
      <c r="D1063" s="2193" t="s">
        <v>1003</v>
      </c>
    </row>
    <row r="1064" spans="2:4">
      <c r="B1064" s="2948" t="s">
        <v>2553</v>
      </c>
      <c r="C1064" s="2194" t="s">
        <v>2045</v>
      </c>
      <c r="D1064" s="2193" t="s">
        <v>1003</v>
      </c>
    </row>
    <row r="1065" spans="2:4">
      <c r="B1065" s="2948" t="s">
        <v>2552</v>
      </c>
      <c r="C1065" s="2194" t="s">
        <v>2046</v>
      </c>
      <c r="D1065" s="2193" t="s">
        <v>1009</v>
      </c>
    </row>
    <row r="1066" spans="2:4">
      <c r="B1066" s="2948" t="s">
        <v>2551</v>
      </c>
      <c r="C1066" s="2194" t="s">
        <v>2047</v>
      </c>
      <c r="D1066" s="2193" t="s">
        <v>1021</v>
      </c>
    </row>
    <row r="1067" spans="2:4">
      <c r="B1067" s="2948" t="s">
        <v>2550</v>
      </c>
      <c r="C1067" s="2194" t="s">
        <v>2048</v>
      </c>
      <c r="D1067" s="2193" t="s">
        <v>1011</v>
      </c>
    </row>
    <row r="1068" spans="2:4">
      <c r="B1068" s="2948" t="s">
        <v>2549</v>
      </c>
      <c r="C1068" s="2194" t="s">
        <v>2049</v>
      </c>
      <c r="D1068" s="2193" t="s">
        <v>1021</v>
      </c>
    </row>
    <row r="1069" spans="2:4">
      <c r="B1069" s="2948" t="s">
        <v>2548</v>
      </c>
      <c r="C1069" s="2194" t="s">
        <v>2050</v>
      </c>
      <c r="D1069" s="2193" t="s">
        <v>1014</v>
      </c>
    </row>
    <row r="1070" spans="2:4">
      <c r="B1070" s="2948" t="s">
        <v>2547</v>
      </c>
      <c r="C1070" s="2194" t="s">
        <v>2051</v>
      </c>
      <c r="D1070" s="2193" t="s">
        <v>1005</v>
      </c>
    </row>
    <row r="1071" spans="2:4">
      <c r="B1071" s="2948" t="s">
        <v>2546</v>
      </c>
      <c r="C1071" s="2194" t="s">
        <v>2052</v>
      </c>
      <c r="D1071" s="2193" t="s">
        <v>1068</v>
      </c>
    </row>
    <row r="1072" spans="2:4">
      <c r="B1072" s="2948" t="s">
        <v>2545</v>
      </c>
      <c r="C1072" s="2194" t="s">
        <v>2053</v>
      </c>
      <c r="D1072" s="2193" t="s">
        <v>1007</v>
      </c>
    </row>
    <row r="1073" spans="2:4">
      <c r="B1073" s="2948" t="s">
        <v>2544</v>
      </c>
      <c r="C1073" s="2194" t="s">
        <v>2054</v>
      </c>
      <c r="D1073" s="2193" t="s">
        <v>1016</v>
      </c>
    </row>
    <row r="1074" spans="2:4">
      <c r="B1074" s="2948" t="s">
        <v>2543</v>
      </c>
      <c r="C1074" s="2194" t="s">
        <v>2055</v>
      </c>
      <c r="D1074" s="2193" t="s">
        <v>1016</v>
      </c>
    </row>
    <row r="1075" spans="2:4">
      <c r="B1075" s="2948" t="s">
        <v>2542</v>
      </c>
      <c r="C1075" s="2194" t="s">
        <v>2056</v>
      </c>
      <c r="D1075" s="2193" t="s">
        <v>1028</v>
      </c>
    </row>
    <row r="1076" spans="2:4">
      <c r="B1076" s="2948" t="s">
        <v>2541</v>
      </c>
      <c r="C1076" s="2194" t="s">
        <v>2057</v>
      </c>
      <c r="D1076" s="2193" t="s">
        <v>1007</v>
      </c>
    </row>
    <row r="1077" spans="2:4">
      <c r="B1077" s="2948" t="s">
        <v>2540</v>
      </c>
      <c r="C1077" s="2194" t="s">
        <v>2058</v>
      </c>
      <c r="D1077" s="2193" t="s">
        <v>1021</v>
      </c>
    </row>
    <row r="1078" spans="2:4">
      <c r="B1078" s="2948" t="s">
        <v>2539</v>
      </c>
      <c r="C1078" s="2194" t="s">
        <v>2059</v>
      </c>
      <c r="D1078" s="2193" t="s">
        <v>1005</v>
      </c>
    </row>
    <row r="1079" spans="2:4">
      <c r="B1079" s="2948" t="s">
        <v>2538</v>
      </c>
      <c r="C1079" s="2194" t="s">
        <v>2060</v>
      </c>
      <c r="D1079" s="2193" t="s">
        <v>1005</v>
      </c>
    </row>
    <row r="1080" spans="2:4">
      <c r="B1080" s="2948" t="s">
        <v>2537</v>
      </c>
      <c r="C1080" s="2194" t="s">
        <v>2061</v>
      </c>
      <c r="D1080" s="2193" t="s">
        <v>1007</v>
      </c>
    </row>
    <row r="1081" spans="2:4">
      <c r="B1081" s="2948" t="s">
        <v>2536</v>
      </c>
      <c r="C1081" s="2194" t="s">
        <v>2062</v>
      </c>
      <c r="D1081" s="2193" t="s">
        <v>1014</v>
      </c>
    </row>
    <row r="1082" spans="2:4">
      <c r="B1082" s="2948" t="s">
        <v>2535</v>
      </c>
      <c r="C1082" s="2194" t="s">
        <v>2063</v>
      </c>
      <c r="D1082" s="2193" t="s">
        <v>1051</v>
      </c>
    </row>
    <row r="1083" spans="2:4">
      <c r="B1083" s="2948" t="s">
        <v>2534</v>
      </c>
      <c r="C1083" s="2194" t="s">
        <v>2064</v>
      </c>
      <c r="D1083" s="2193" t="s">
        <v>1051</v>
      </c>
    </row>
    <row r="1084" spans="2:4">
      <c r="B1084" s="2948" t="s">
        <v>2533</v>
      </c>
      <c r="C1084" s="2194" t="s">
        <v>2065</v>
      </c>
      <c r="D1084" s="2193" t="s">
        <v>1003</v>
      </c>
    </row>
    <row r="1085" spans="2:4">
      <c r="B1085" s="2948" t="s">
        <v>2532</v>
      </c>
      <c r="C1085" s="2194" t="s">
        <v>2066</v>
      </c>
      <c r="D1085" s="2193" t="s">
        <v>1011</v>
      </c>
    </row>
    <row r="1086" spans="2:4">
      <c r="B1086" s="2948" t="s">
        <v>2531</v>
      </c>
      <c r="C1086" s="2194" t="s">
        <v>2067</v>
      </c>
      <c r="D1086" s="2193" t="s">
        <v>1005</v>
      </c>
    </row>
    <row r="1087" spans="2:4">
      <c r="B1087" s="2948" t="s">
        <v>2530</v>
      </c>
      <c r="C1087" s="2194" t="s">
        <v>2068</v>
      </c>
      <c r="D1087" s="2193" t="s">
        <v>1007</v>
      </c>
    </row>
    <row r="1088" spans="2:4">
      <c r="B1088" s="2948" t="s">
        <v>2348</v>
      </c>
      <c r="C1088" s="2194" t="s">
        <v>2069</v>
      </c>
      <c r="D1088" s="2193" t="s">
        <v>1014</v>
      </c>
    </row>
    <row r="1089" spans="2:4">
      <c r="B1089" s="2948" t="s">
        <v>2529</v>
      </c>
      <c r="C1089" s="2194" t="s">
        <v>2070</v>
      </c>
      <c r="D1089" s="2193" t="s">
        <v>1003</v>
      </c>
    </row>
    <row r="1090" spans="2:4">
      <c r="B1090" s="2948" t="s">
        <v>2528</v>
      </c>
      <c r="C1090" s="2194" t="s">
        <v>2070</v>
      </c>
      <c r="D1090" s="2193" t="s">
        <v>1003</v>
      </c>
    </row>
    <row r="1091" spans="2:4">
      <c r="B1091" s="2948" t="s">
        <v>2527</v>
      </c>
      <c r="C1091" s="2194" t="s">
        <v>2071</v>
      </c>
      <c r="D1091" s="2193" t="s">
        <v>1019</v>
      </c>
    </row>
    <row r="1092" spans="2:4">
      <c r="B1092" s="2948" t="s">
        <v>2526</v>
      </c>
      <c r="C1092" s="2194" t="s">
        <v>2072</v>
      </c>
      <c r="D1092" s="2193" t="s">
        <v>1016</v>
      </c>
    </row>
    <row r="1093" spans="2:4">
      <c r="B1093" s="2948" t="s">
        <v>2525</v>
      </c>
      <c r="C1093" s="2194" t="s">
        <v>2073</v>
      </c>
      <c r="D1093" s="2193" t="s">
        <v>1019</v>
      </c>
    </row>
    <row r="1094" spans="2:4">
      <c r="B1094" s="2948" t="s">
        <v>2524</v>
      </c>
      <c r="C1094" s="2194" t="s">
        <v>2074</v>
      </c>
      <c r="D1094" s="2193" t="s">
        <v>1016</v>
      </c>
    </row>
    <row r="1095" spans="2:4">
      <c r="B1095" s="2948" t="s">
        <v>2523</v>
      </c>
      <c r="C1095" s="2194" t="s">
        <v>2075</v>
      </c>
      <c r="D1095" s="2193" t="s">
        <v>1003</v>
      </c>
    </row>
    <row r="1096" spans="2:4">
      <c r="B1096" s="2948" t="s">
        <v>2522</v>
      </c>
      <c r="C1096" s="2194" t="s">
        <v>2076</v>
      </c>
      <c r="D1096" s="2193" t="s">
        <v>1021</v>
      </c>
    </row>
    <row r="1097" spans="2:4">
      <c r="B1097" s="2948" t="s">
        <v>2521</v>
      </c>
      <c r="C1097" s="2194" t="s">
        <v>2077</v>
      </c>
      <c r="D1097" s="2193" t="s">
        <v>1003</v>
      </c>
    </row>
    <row r="1098" spans="2:4">
      <c r="B1098" s="2948" t="s">
        <v>2520</v>
      </c>
      <c r="C1098" s="2194" t="s">
        <v>2078</v>
      </c>
      <c r="D1098" s="2193" t="s">
        <v>1007</v>
      </c>
    </row>
    <row r="1099" spans="2:4">
      <c r="B1099" s="2948" t="s">
        <v>2519</v>
      </c>
      <c r="C1099" s="2194" t="s">
        <v>2079</v>
      </c>
      <c r="D1099" s="2193" t="s">
        <v>1019</v>
      </c>
    </row>
    <row r="1100" spans="2:4">
      <c r="B1100" s="2948" t="s">
        <v>2518</v>
      </c>
      <c r="C1100" s="2194" t="s">
        <v>2080</v>
      </c>
      <c r="D1100" s="2193" t="s">
        <v>1003</v>
      </c>
    </row>
    <row r="1101" spans="2:4">
      <c r="B1101" s="2948" t="s">
        <v>2517</v>
      </c>
      <c r="C1101" s="2194" t="s">
        <v>2081</v>
      </c>
      <c r="D1101" s="2193" t="s">
        <v>1021</v>
      </c>
    </row>
    <row r="1102" spans="2:4">
      <c r="B1102" s="2948" t="s">
        <v>2516</v>
      </c>
      <c r="C1102" s="2194" t="s">
        <v>2082</v>
      </c>
      <c r="D1102" s="2193" t="s">
        <v>1005</v>
      </c>
    </row>
    <row r="1103" spans="2:4">
      <c r="B1103" s="2948" t="s">
        <v>2515</v>
      </c>
      <c r="C1103" s="2194" t="s">
        <v>2083</v>
      </c>
      <c r="D1103" s="2193" t="s">
        <v>1005</v>
      </c>
    </row>
    <row r="1104" spans="2:4">
      <c r="B1104" s="2948" t="s">
        <v>2453</v>
      </c>
      <c r="C1104" s="2194" t="s">
        <v>2084</v>
      </c>
      <c r="D1104" s="2193" t="s">
        <v>1005</v>
      </c>
    </row>
    <row r="1105" spans="2:4">
      <c r="B1105" s="2948" t="s">
        <v>2452</v>
      </c>
      <c r="C1105" s="2194" t="s">
        <v>2085</v>
      </c>
      <c r="D1105" s="2193" t="s">
        <v>1005</v>
      </c>
    </row>
    <row r="1106" spans="2:4">
      <c r="B1106" s="2948" t="s">
        <v>2451</v>
      </c>
      <c r="C1106" s="2194" t="s">
        <v>2086</v>
      </c>
      <c r="D1106" s="2193" t="s">
        <v>1005</v>
      </c>
    </row>
    <row r="1107" spans="2:4">
      <c r="B1107" s="2948" t="s">
        <v>2450</v>
      </c>
      <c r="C1107" s="2194" t="s">
        <v>2087</v>
      </c>
      <c r="D1107" s="2193" t="s">
        <v>1028</v>
      </c>
    </row>
    <row r="1108" spans="2:4">
      <c r="B1108" s="2948" t="s">
        <v>2449</v>
      </c>
      <c r="C1108" s="2194" t="s">
        <v>2088</v>
      </c>
      <c r="D1108" s="2193" t="s">
        <v>1021</v>
      </c>
    </row>
    <row r="1109" spans="2:4">
      <c r="B1109" s="2948" t="s">
        <v>2448</v>
      </c>
      <c r="C1109" s="2194" t="s">
        <v>2089</v>
      </c>
      <c r="D1109" s="2193" t="s">
        <v>1028</v>
      </c>
    </row>
    <row r="1110" spans="2:4">
      <c r="B1110" s="2948" t="s">
        <v>2447</v>
      </c>
      <c r="C1110" s="2194" t="s">
        <v>2090</v>
      </c>
      <c r="D1110" s="2193" t="s">
        <v>1016</v>
      </c>
    </row>
    <row r="1111" spans="2:4">
      <c r="B1111" s="2948" t="s">
        <v>2446</v>
      </c>
      <c r="C1111" s="2194" t="s">
        <v>2091</v>
      </c>
      <c r="D1111" s="2193" t="s">
        <v>1003</v>
      </c>
    </row>
    <row r="1112" spans="2:4">
      <c r="B1112" s="2948" t="s">
        <v>2445</v>
      </c>
      <c r="C1112" s="2194" t="s">
        <v>2092</v>
      </c>
      <c r="D1112" s="2193" t="s">
        <v>1028</v>
      </c>
    </row>
    <row r="1113" spans="2:4">
      <c r="B1113" s="2948" t="s">
        <v>2444</v>
      </c>
      <c r="C1113" s="2194" t="s">
        <v>2093</v>
      </c>
      <c r="D1113" s="2193" t="s">
        <v>1011</v>
      </c>
    </row>
    <row r="1114" spans="2:4">
      <c r="B1114" s="2948" t="s">
        <v>2443</v>
      </c>
      <c r="C1114" s="2194" t="s">
        <v>2094</v>
      </c>
      <c r="D1114" s="2193" t="s">
        <v>1011</v>
      </c>
    </row>
    <row r="1115" spans="2:4">
      <c r="B1115" s="2948" t="s">
        <v>2442</v>
      </c>
      <c r="C1115" s="2194" t="s">
        <v>2095</v>
      </c>
      <c r="D1115" s="2193" t="s">
        <v>1003</v>
      </c>
    </row>
    <row r="1116" spans="2:4">
      <c r="B1116" s="2948" t="s">
        <v>2438</v>
      </c>
      <c r="C1116" s="2194" t="s">
        <v>2096</v>
      </c>
      <c r="D1116" s="2193" t="s">
        <v>1003</v>
      </c>
    </row>
    <row r="1117" spans="2:4">
      <c r="B1117" s="2948" t="s">
        <v>2437</v>
      </c>
      <c r="C1117" s="2194" t="s">
        <v>2097</v>
      </c>
      <c r="D1117" s="2193" t="s">
        <v>1003</v>
      </c>
    </row>
    <row r="1118" spans="2:4">
      <c r="B1118" s="2948" t="s">
        <v>2436</v>
      </c>
      <c r="C1118" s="2194" t="s">
        <v>2098</v>
      </c>
      <c r="D1118" s="2193" t="s">
        <v>1011</v>
      </c>
    </row>
    <row r="1119" spans="2:4">
      <c r="B1119" s="2948" t="s">
        <v>2435</v>
      </c>
      <c r="C1119" s="2194" t="s">
        <v>2099</v>
      </c>
      <c r="D1119" s="2193" t="s">
        <v>1019</v>
      </c>
    </row>
    <row r="1120" spans="2:4">
      <c r="B1120" s="2948" t="s">
        <v>2434</v>
      </c>
      <c r="C1120" s="2194" t="s">
        <v>2100</v>
      </c>
      <c r="D1120" s="2193" t="s">
        <v>1019</v>
      </c>
    </row>
    <row r="1121" spans="2:4">
      <c r="B1121" s="2948" t="s">
        <v>2433</v>
      </c>
      <c r="C1121" s="2194" t="s">
        <v>2101</v>
      </c>
      <c r="D1121" s="2193" t="s">
        <v>1003</v>
      </c>
    </row>
    <row r="1122" spans="2:4">
      <c r="B1122" s="2948" t="s">
        <v>2432</v>
      </c>
      <c r="C1122" s="2194" t="s">
        <v>2102</v>
      </c>
      <c r="D1122" s="2193" t="s">
        <v>1041</v>
      </c>
    </row>
    <row r="1123" spans="2:4">
      <c r="B1123" s="2948" t="s">
        <v>2428</v>
      </c>
      <c r="C1123" s="2194" t="s">
        <v>2103</v>
      </c>
      <c r="D1123" s="2193" t="s">
        <v>1011</v>
      </c>
    </row>
    <row r="1124" spans="2:4">
      <c r="B1124" s="2948" t="s">
        <v>2431</v>
      </c>
      <c r="C1124" s="2194" t="s">
        <v>2104</v>
      </c>
      <c r="D1124" s="2193" t="s">
        <v>1028</v>
      </c>
    </row>
    <row r="1125" spans="2:4">
      <c r="B1125" s="2948" t="s">
        <v>2427</v>
      </c>
      <c r="C1125" s="2194" t="s">
        <v>2105</v>
      </c>
      <c r="D1125" s="2193" t="s">
        <v>1003</v>
      </c>
    </row>
    <row r="1126" spans="2:4">
      <c r="B1126" s="2948" t="s">
        <v>2426</v>
      </c>
      <c r="C1126" s="2194" t="s">
        <v>2106</v>
      </c>
      <c r="D1126" s="2193" t="s">
        <v>1003</v>
      </c>
    </row>
    <row r="1127" spans="2:4">
      <c r="B1127" s="2948" t="s">
        <v>2425</v>
      </c>
      <c r="C1127" s="2194" t="s">
        <v>2107</v>
      </c>
      <c r="D1127" s="2193" t="s">
        <v>1051</v>
      </c>
    </row>
    <row r="1128" spans="2:4">
      <c r="B1128" s="2948" t="s">
        <v>2424</v>
      </c>
      <c r="C1128" s="2194" t="s">
        <v>2108</v>
      </c>
      <c r="D1128" s="2193" t="s">
        <v>1005</v>
      </c>
    </row>
    <row r="1129" spans="2:4" s="1" customFormat="1"/>
    <row r="1130" spans="2:4" s="1" customFormat="1"/>
    <row r="1131" spans="2:4" s="1" customFormat="1"/>
    <row r="1132" spans="2:4" s="1" customFormat="1"/>
    <row r="1133" spans="2:4" s="1" customFormat="1"/>
    <row r="1134" spans="2:4" s="1" customFormat="1"/>
    <row r="1135" spans="2:4" s="1" customFormat="1"/>
    <row r="1136" spans="2:4"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sheetData>
  <sheetProtection algorithmName="SHA-512" hashValue="+XDEJqeCAsDyIyViOgqSR+2tuSW8A/CiCnIsxCnb+eiRxLSSssjRPTbrpNSOkFAllvmyN6/qC26KQ+jLdUx8CA==" saltValue="NLQK/1+gg3SZ9NUKiswoNg==" spinCount="100000" sheet="1" objects="1" scenarios="1"/>
  <pageMargins left="0.70866141732283472" right="0.70866141732283472" top="0.74803149606299213" bottom="0.74803149606299213" header="0.31496062992125984" footer="0.31496062992125984"/>
  <pageSetup scale="62" fitToHeight="0" orientation="portrait" r:id="rId1"/>
  <headerFooter>
    <oddFooter>&amp;L&amp;10Version 1.0    © CERIU, 2023&amp;R&amp;10Onglet Liste municipalités
Page &amp;P de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EF8B47"/>
    <pageSetUpPr fitToPage="1"/>
  </sheetPr>
  <dimension ref="A1:AZ1826"/>
  <sheetViews>
    <sheetView zoomScaleNormal="100" workbookViewId="0">
      <selection activeCell="F19" sqref="F19"/>
    </sheetView>
  </sheetViews>
  <sheetFormatPr baseColWidth="10" defaultColWidth="11.44140625" defaultRowHeight="14.4"/>
  <cols>
    <col min="1" max="1" width="4" style="1" customWidth="1"/>
    <col min="2" max="2" width="39.6640625" customWidth="1"/>
    <col min="3" max="3" width="95.6640625" bestFit="1" customWidth="1"/>
    <col min="4" max="4" width="38.109375" customWidth="1"/>
    <col min="5" max="52" width="11.44140625" style="1"/>
  </cols>
  <sheetData>
    <row r="1" spans="1:52" s="1" customFormat="1" ht="15.75" customHeight="1"/>
    <row r="2" spans="1:52" ht="33.75" customHeight="1">
      <c r="B2" s="2191" t="s">
        <v>3959</v>
      </c>
      <c r="C2" s="2192"/>
      <c r="D2" s="2192"/>
    </row>
    <row r="3" spans="1:52" s="1" customFormat="1" ht="27" customHeight="1">
      <c r="B3" s="2397" t="s">
        <v>4033</v>
      </c>
      <c r="C3" s="2251"/>
      <c r="D3" s="2957" t="s">
        <v>4041</v>
      </c>
      <c r="K3" s="2250"/>
      <c r="L3" s="2250"/>
      <c r="M3" s="2250"/>
      <c r="N3" s="2250"/>
      <c r="O3" s="2250"/>
      <c r="P3" s="2250"/>
      <c r="Q3" s="2250"/>
      <c r="R3" s="2249"/>
    </row>
    <row r="4" spans="1:52" s="216" customFormat="1" ht="32.25" customHeight="1">
      <c r="A4" s="2190"/>
      <c r="B4" s="2195" t="s">
        <v>3960</v>
      </c>
      <c r="C4" s="2195" t="s">
        <v>285</v>
      </c>
      <c r="D4" s="2195" t="s">
        <v>1001</v>
      </c>
      <c r="E4" s="2190"/>
      <c r="F4" s="2190"/>
      <c r="G4" s="2190"/>
      <c r="H4" s="2190"/>
      <c r="I4" s="2190"/>
      <c r="J4" s="2190"/>
      <c r="K4" s="2190"/>
      <c r="L4" s="2190"/>
      <c r="M4" s="2190"/>
      <c r="N4" s="2190"/>
      <c r="O4" s="2190"/>
      <c r="P4" s="2190"/>
      <c r="Q4" s="2190"/>
      <c r="R4" s="2190"/>
      <c r="S4" s="2190"/>
      <c r="T4" s="2190"/>
      <c r="U4" s="2190"/>
      <c r="V4" s="2190"/>
      <c r="W4" s="2190"/>
      <c r="X4" s="2190"/>
      <c r="Y4" s="2190"/>
      <c r="Z4" s="2190"/>
      <c r="AA4" s="2190"/>
      <c r="AB4" s="2190"/>
      <c r="AC4" s="2190"/>
      <c r="AD4" s="2190"/>
      <c r="AE4" s="2190"/>
      <c r="AF4" s="2190"/>
      <c r="AG4" s="2190"/>
      <c r="AH4" s="2190"/>
      <c r="AI4" s="2190"/>
      <c r="AJ4" s="2190"/>
      <c r="AK4" s="2190"/>
      <c r="AL4" s="2190"/>
      <c r="AM4" s="2190"/>
      <c r="AN4" s="2190"/>
      <c r="AO4" s="2190"/>
      <c r="AP4" s="2190"/>
      <c r="AQ4" s="2190"/>
      <c r="AR4" s="2190"/>
      <c r="AS4" s="2190"/>
      <c r="AT4" s="2190"/>
      <c r="AU4" s="2190"/>
      <c r="AV4" s="2190"/>
      <c r="AW4" s="2190"/>
      <c r="AX4" s="2190"/>
      <c r="AY4" s="2190"/>
      <c r="AZ4" s="2190"/>
    </row>
    <row r="5" spans="1:52">
      <c r="B5" s="2948" t="s">
        <v>3961</v>
      </c>
      <c r="C5" s="2194" t="s">
        <v>3995</v>
      </c>
      <c r="D5" s="2193" t="s">
        <v>1005</v>
      </c>
    </row>
    <row r="6" spans="1:52">
      <c r="B6" s="2948" t="s">
        <v>3962</v>
      </c>
      <c r="C6" s="2194" t="s">
        <v>3996</v>
      </c>
      <c r="D6" s="2193" t="s">
        <v>1005</v>
      </c>
    </row>
    <row r="7" spans="1:52">
      <c r="B7" s="2948" t="s">
        <v>3963</v>
      </c>
      <c r="C7" s="2194" t="s">
        <v>3997</v>
      </c>
      <c r="D7" s="2193" t="s">
        <v>1005</v>
      </c>
    </row>
    <row r="8" spans="1:52">
      <c r="B8" s="2948" t="s">
        <v>3964</v>
      </c>
      <c r="C8" s="2194" t="s">
        <v>3998</v>
      </c>
      <c r="D8" s="2193" t="s">
        <v>1005</v>
      </c>
    </row>
    <row r="9" spans="1:52">
      <c r="B9" s="2948" t="s">
        <v>3965</v>
      </c>
      <c r="C9" s="2194" t="s">
        <v>3999</v>
      </c>
      <c r="D9" s="2193" t="s">
        <v>1005</v>
      </c>
    </row>
    <row r="10" spans="1:52">
      <c r="B10" s="2948" t="s">
        <v>3966</v>
      </c>
      <c r="C10" s="2194" t="s">
        <v>4000</v>
      </c>
      <c r="D10" s="2193" t="s">
        <v>1005</v>
      </c>
    </row>
    <row r="11" spans="1:52">
      <c r="B11" s="2948" t="s">
        <v>3967</v>
      </c>
      <c r="C11" s="2194" t="s">
        <v>4001</v>
      </c>
      <c r="D11" s="2193" t="s">
        <v>1005</v>
      </c>
    </row>
    <row r="12" spans="1:52">
      <c r="B12" s="2948" t="s">
        <v>3968</v>
      </c>
      <c r="C12" s="2194" t="s">
        <v>4002</v>
      </c>
      <c r="D12" s="2193" t="s">
        <v>1028</v>
      </c>
    </row>
    <row r="13" spans="1:52">
      <c r="B13" s="2948" t="s">
        <v>3969</v>
      </c>
      <c r="C13" s="2194" t="s">
        <v>4003</v>
      </c>
      <c r="D13" s="2193" t="s">
        <v>1068</v>
      </c>
    </row>
    <row r="14" spans="1:52">
      <c r="B14" s="2948" t="s">
        <v>3970</v>
      </c>
      <c r="C14" s="2194" t="s">
        <v>4004</v>
      </c>
      <c r="D14" s="2193" t="s">
        <v>1005</v>
      </c>
    </row>
    <row r="15" spans="1:52">
      <c r="B15" s="2948" t="s">
        <v>3971</v>
      </c>
      <c r="C15" s="2194" t="s">
        <v>4005</v>
      </c>
      <c r="D15" s="2193" t="s">
        <v>1051</v>
      </c>
    </row>
    <row r="16" spans="1:52">
      <c r="B16" s="2948" t="s">
        <v>3972</v>
      </c>
      <c r="C16" s="2194" t="s">
        <v>4006</v>
      </c>
      <c r="D16" s="2193" t="s">
        <v>1005</v>
      </c>
    </row>
    <row r="17" spans="2:4">
      <c r="B17" s="2948" t="s">
        <v>3973</v>
      </c>
      <c r="C17" s="2194" t="s">
        <v>4007</v>
      </c>
      <c r="D17" s="2193" t="s">
        <v>1003</v>
      </c>
    </row>
    <row r="18" spans="2:4">
      <c r="B18" s="2948" t="s">
        <v>3974</v>
      </c>
      <c r="C18" s="2194" t="s">
        <v>4008</v>
      </c>
      <c r="D18" s="2193" t="s">
        <v>1007</v>
      </c>
    </row>
    <row r="19" spans="2:4">
      <c r="B19" s="2948" t="s">
        <v>3975</v>
      </c>
      <c r="C19" s="2194" t="s">
        <v>4009</v>
      </c>
      <c r="D19" s="2193" t="s">
        <v>1005</v>
      </c>
    </row>
    <row r="20" spans="2:4">
      <c r="B20" s="2948" t="s">
        <v>3976</v>
      </c>
      <c r="C20" s="2194" t="s">
        <v>4010</v>
      </c>
      <c r="D20" s="2193" t="s">
        <v>1007</v>
      </c>
    </row>
    <row r="21" spans="2:4">
      <c r="B21" s="2948" t="s">
        <v>3977</v>
      </c>
      <c r="C21" s="2194" t="s">
        <v>4011</v>
      </c>
      <c r="D21" s="2193" t="s">
        <v>1005</v>
      </c>
    </row>
    <row r="22" spans="2:4">
      <c r="B22" s="2948" t="s">
        <v>3978</v>
      </c>
      <c r="C22" s="2194" t="s">
        <v>4012</v>
      </c>
      <c r="D22" s="2193" t="s">
        <v>1005</v>
      </c>
    </row>
    <row r="23" spans="2:4">
      <c r="B23" s="2948" t="s">
        <v>3979</v>
      </c>
      <c r="C23" s="2194" t="s">
        <v>4013</v>
      </c>
      <c r="D23" s="2193" t="s">
        <v>1044</v>
      </c>
    </row>
    <row r="24" spans="2:4">
      <c r="B24" s="2948" t="s">
        <v>3980</v>
      </c>
      <c r="C24" s="2194" t="s">
        <v>4014</v>
      </c>
      <c r="D24" s="2193" t="s">
        <v>1019</v>
      </c>
    </row>
    <row r="25" spans="2:4">
      <c r="B25" s="2948" t="s">
        <v>3981</v>
      </c>
      <c r="C25" s="2194" t="s">
        <v>4015</v>
      </c>
      <c r="D25" s="2193" t="s">
        <v>1005</v>
      </c>
    </row>
    <row r="26" spans="2:4">
      <c r="B26" s="2948" t="s">
        <v>3982</v>
      </c>
      <c r="C26" s="2194" t="s">
        <v>4016</v>
      </c>
      <c r="D26" s="2193" t="s">
        <v>1005</v>
      </c>
    </row>
    <row r="27" spans="2:4">
      <c r="B27" s="2948" t="s">
        <v>3983</v>
      </c>
      <c r="C27" s="2194" t="s">
        <v>4017</v>
      </c>
      <c r="D27" s="2193" t="s">
        <v>1068</v>
      </c>
    </row>
    <row r="28" spans="2:4">
      <c r="B28" s="2948" t="s">
        <v>3984</v>
      </c>
      <c r="C28" s="2194" t="s">
        <v>4018</v>
      </c>
      <c r="D28" s="2193" t="s">
        <v>1019</v>
      </c>
    </row>
    <row r="29" spans="2:4">
      <c r="B29" s="2948" t="s">
        <v>3985</v>
      </c>
      <c r="C29" s="2194" t="s">
        <v>4019</v>
      </c>
      <c r="D29" s="2193" t="s">
        <v>1019</v>
      </c>
    </row>
    <row r="30" spans="2:4">
      <c r="B30" s="2948" t="s">
        <v>3986</v>
      </c>
      <c r="C30" s="2194" t="s">
        <v>4020</v>
      </c>
      <c r="D30" s="2193" t="s">
        <v>1019</v>
      </c>
    </row>
    <row r="31" spans="2:4">
      <c r="B31" s="2948" t="s">
        <v>3987</v>
      </c>
      <c r="C31" s="2194" t="s">
        <v>4021</v>
      </c>
      <c r="D31" s="2193" t="s">
        <v>1005</v>
      </c>
    </row>
    <row r="32" spans="2:4">
      <c r="B32" s="2948" t="s">
        <v>3988</v>
      </c>
      <c r="C32" s="2194" t="s">
        <v>4022</v>
      </c>
      <c r="D32" s="2193" t="s">
        <v>1019</v>
      </c>
    </row>
    <row r="33" spans="2:4">
      <c r="B33" s="2948" t="s">
        <v>3989</v>
      </c>
      <c r="C33" s="2194" t="s">
        <v>4023</v>
      </c>
      <c r="D33" s="2193" t="s">
        <v>1005</v>
      </c>
    </row>
    <row r="34" spans="2:4">
      <c r="B34" s="2948" t="s">
        <v>3990</v>
      </c>
      <c r="C34" s="2194" t="s">
        <v>4024</v>
      </c>
      <c r="D34" s="2193" t="s">
        <v>1068</v>
      </c>
    </row>
    <row r="35" spans="2:4">
      <c r="B35" s="2948" t="s">
        <v>3991</v>
      </c>
      <c r="C35" s="2194" t="s">
        <v>4025</v>
      </c>
      <c r="D35" s="2193" t="s">
        <v>4036</v>
      </c>
    </row>
    <row r="36" spans="2:4">
      <c r="B36" s="2948" t="s">
        <v>3992</v>
      </c>
      <c r="C36" s="2194" t="s">
        <v>4026</v>
      </c>
      <c r="D36" s="2193" t="s">
        <v>1014</v>
      </c>
    </row>
    <row r="37" spans="2:4">
      <c r="B37" s="2948" t="s">
        <v>3993</v>
      </c>
      <c r="C37" s="2194" t="s">
        <v>4027</v>
      </c>
      <c r="D37" s="2193" t="s">
        <v>1014</v>
      </c>
    </row>
    <row r="38" spans="2:4">
      <c r="B38" s="2948" t="s">
        <v>3994</v>
      </c>
      <c r="C38" s="2194" t="s">
        <v>4028</v>
      </c>
      <c r="D38" s="2193" t="s">
        <v>1005</v>
      </c>
    </row>
    <row r="39" spans="2:4" s="1" customFormat="1"/>
    <row r="40" spans="2:4" s="1" customFormat="1"/>
    <row r="41" spans="2:4" s="1" customFormat="1"/>
    <row r="42" spans="2:4" s="1" customFormat="1"/>
    <row r="43" spans="2:4" s="1" customFormat="1"/>
    <row r="44" spans="2:4" s="1" customFormat="1"/>
    <row r="45" spans="2:4" s="1" customFormat="1"/>
    <row r="46" spans="2:4" s="1" customFormat="1"/>
    <row r="47" spans="2:4" s="1" customFormat="1"/>
    <row r="48" spans="2:4"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row r="360" s="1" customFormat="1"/>
    <row r="361" s="1" customFormat="1"/>
    <row r="362" s="1" customFormat="1"/>
    <row r="363" s="1" customFormat="1"/>
    <row r="364" s="1" customFormat="1"/>
    <row r="365" s="1" customFormat="1"/>
    <row r="366" s="1" customFormat="1"/>
    <row r="367" s="1" customFormat="1"/>
    <row r="368" s="1" customFormat="1"/>
    <row r="369" s="1" customFormat="1"/>
    <row r="370" s="1" customFormat="1"/>
    <row r="371" s="1" customFormat="1"/>
    <row r="372" s="1" customFormat="1"/>
    <row r="373" s="1" customFormat="1"/>
    <row r="374" s="1" customFormat="1"/>
    <row r="375" s="1" customFormat="1"/>
    <row r="376" s="1" customFormat="1"/>
    <row r="377" s="1" customFormat="1"/>
    <row r="378" s="1" customFormat="1"/>
    <row r="379" s="1" customFormat="1"/>
    <row r="380" s="1" customFormat="1"/>
    <row r="381" s="1" customFormat="1"/>
    <row r="382" s="1" customFormat="1"/>
    <row r="383" s="1" customFormat="1"/>
    <row r="384" s="1" customFormat="1"/>
    <row r="385" s="1" customFormat="1"/>
    <row r="386" s="1" customFormat="1"/>
    <row r="387" s="1" customFormat="1"/>
    <row r="388" s="1" customFormat="1"/>
    <row r="389" s="1" customFormat="1"/>
    <row r="390" s="1" customFormat="1"/>
    <row r="391" s="1" customFormat="1"/>
    <row r="392" s="1" customFormat="1"/>
    <row r="393" s="1" customFormat="1"/>
    <row r="394" s="1" customFormat="1"/>
    <row r="395" s="1" customFormat="1"/>
    <row r="396" s="1" customFormat="1"/>
    <row r="397" s="1" customFormat="1"/>
    <row r="398" s="1" customFormat="1"/>
    <row r="399" s="1" customFormat="1"/>
    <row r="400" s="1" customFormat="1"/>
    <row r="401" s="1" customFormat="1"/>
    <row r="402" s="1" customFormat="1"/>
    <row r="403" s="1" customFormat="1"/>
    <row r="404" s="1" customFormat="1"/>
    <row r="405" s="1" customFormat="1"/>
    <row r="406" s="1" customFormat="1"/>
    <row r="407" s="1" customFormat="1"/>
    <row r="408" s="1" customFormat="1"/>
    <row r="409" s="1" customFormat="1"/>
    <row r="410" s="1" customFormat="1"/>
    <row r="411" s="1" customFormat="1"/>
    <row r="412" s="1" customFormat="1"/>
    <row r="413" s="1" customFormat="1"/>
    <row r="414" s="1" customFormat="1"/>
    <row r="415" s="1" customFormat="1"/>
    <row r="416" s="1" customFormat="1"/>
    <row r="417" s="1" customFormat="1"/>
    <row r="418" s="1" customFormat="1"/>
    <row r="419" s="1" customFormat="1"/>
    <row r="420" s="1" customFormat="1"/>
    <row r="421" s="1" customFormat="1"/>
    <row r="422" s="1" customFormat="1"/>
    <row r="423" s="1" customFormat="1"/>
    <row r="424" s="1" customFormat="1"/>
    <row r="425" s="1" customFormat="1"/>
    <row r="426" s="1" customFormat="1"/>
    <row r="427" s="1" customFormat="1"/>
    <row r="428" s="1" customFormat="1"/>
    <row r="429" s="1" customFormat="1"/>
    <row r="430" s="1" customFormat="1"/>
    <row r="431" s="1" customFormat="1"/>
    <row r="432" s="1" customFormat="1"/>
    <row r="433" s="1" customFormat="1"/>
    <row r="434" s="1" customFormat="1"/>
    <row r="435" s="1" customFormat="1"/>
    <row r="436" s="1" customFormat="1"/>
    <row r="437" s="1" customFormat="1"/>
    <row r="438" s="1" customFormat="1"/>
    <row r="439" s="1" customFormat="1"/>
    <row r="440" s="1" customFormat="1"/>
    <row r="441" s="1" customFormat="1"/>
    <row r="442" s="1" customFormat="1"/>
    <row r="443" s="1" customFormat="1"/>
    <row r="444" s="1" customFormat="1"/>
    <row r="445" s="1" customFormat="1"/>
    <row r="446" s="1" customFormat="1"/>
    <row r="447" s="1" customFormat="1"/>
    <row r="448" s="1" customFormat="1"/>
    <row r="449" s="1" customFormat="1"/>
    <row r="450" s="1" customFormat="1"/>
    <row r="451" s="1" customFormat="1"/>
    <row r="452" s="1" customFormat="1"/>
    <row r="453" s="1" customFormat="1"/>
    <row r="454" s="1" customFormat="1"/>
    <row r="455" s="1" customFormat="1"/>
    <row r="456" s="1" customFormat="1"/>
    <row r="457" s="1" customFormat="1"/>
    <row r="458" s="1" customFormat="1"/>
    <row r="459" s="1" customFormat="1"/>
    <row r="460" s="1" customFormat="1"/>
    <row r="461" s="1" customFormat="1"/>
    <row r="462" s="1" customFormat="1"/>
    <row r="463" s="1" customFormat="1"/>
    <row r="464" s="1" customFormat="1"/>
    <row r="465" s="1" customFormat="1"/>
    <row r="466" s="1" customFormat="1"/>
    <row r="467" s="1" customFormat="1"/>
    <row r="468" s="1" customFormat="1"/>
    <row r="469" s="1" customFormat="1"/>
    <row r="470" s="1" customFormat="1"/>
    <row r="471" s="1" customFormat="1"/>
    <row r="472" s="1" customFormat="1"/>
    <row r="473" s="1" customFormat="1"/>
    <row r="474" s="1" customFormat="1"/>
    <row r="475" s="1" customFormat="1"/>
    <row r="476" s="1" customFormat="1"/>
    <row r="477" s="1" customFormat="1"/>
    <row r="478" s="1" customFormat="1"/>
    <row r="479" s="1" customFormat="1"/>
    <row r="480" s="1" customFormat="1"/>
    <row r="481" s="1" customFormat="1"/>
    <row r="482" s="1" customFormat="1"/>
    <row r="483" s="1" customFormat="1"/>
    <row r="484" s="1" customFormat="1"/>
    <row r="485" s="1" customFormat="1"/>
    <row r="486" s="1" customFormat="1"/>
    <row r="487" s="1" customFormat="1"/>
    <row r="488" s="1" customFormat="1"/>
    <row r="489" s="1" customFormat="1"/>
    <row r="490" s="1" customFormat="1"/>
    <row r="491" s="1" customFormat="1"/>
    <row r="492" s="1" customFormat="1"/>
    <row r="493" s="1" customFormat="1"/>
    <row r="494" s="1" customFormat="1"/>
    <row r="495" s="1" customFormat="1"/>
    <row r="496" s="1" customFormat="1"/>
    <row r="497" s="1" customFormat="1"/>
    <row r="498" s="1" customFormat="1"/>
    <row r="499" s="1" customFormat="1"/>
    <row r="500" s="1" customFormat="1"/>
    <row r="501" s="1" customFormat="1"/>
    <row r="502" s="1" customFormat="1"/>
    <row r="503" s="1" customFormat="1"/>
    <row r="504" s="1" customFormat="1"/>
    <row r="505" s="1" customFormat="1"/>
    <row r="506" s="1" customFormat="1"/>
    <row r="507" s="1" customFormat="1"/>
    <row r="508" s="1" customFormat="1"/>
    <row r="509" s="1" customFormat="1"/>
    <row r="510" s="1" customFormat="1"/>
    <row r="511" s="1" customFormat="1"/>
    <row r="512" s="1" customFormat="1"/>
    <row r="513" s="1" customFormat="1"/>
    <row r="514" s="1" customFormat="1"/>
    <row r="515" s="1" customFormat="1"/>
    <row r="516" s="1" customFormat="1"/>
    <row r="517" s="1" customFormat="1"/>
    <row r="518" s="1" customFormat="1"/>
    <row r="519" s="1" customFormat="1"/>
    <row r="520" s="1" customFormat="1"/>
    <row r="521" s="1" customFormat="1"/>
    <row r="522" s="1" customFormat="1"/>
    <row r="523" s="1" customFormat="1"/>
    <row r="524" s="1" customFormat="1"/>
    <row r="525" s="1" customFormat="1"/>
    <row r="526" s="1" customFormat="1"/>
    <row r="527" s="1" customFormat="1"/>
    <row r="528" s="1" customFormat="1"/>
    <row r="529" s="1" customFormat="1"/>
    <row r="530" s="1" customFormat="1"/>
    <row r="531" s="1" customFormat="1"/>
    <row r="532" s="1" customFormat="1"/>
    <row r="533" s="1" customFormat="1"/>
    <row r="534" s="1" customFormat="1"/>
    <row r="535" s="1" customFormat="1"/>
    <row r="536" s="1" customFormat="1"/>
    <row r="537" s="1" customFormat="1"/>
    <row r="538" s="1" customFormat="1"/>
    <row r="539" s="1" customFormat="1"/>
    <row r="540" s="1" customFormat="1"/>
    <row r="541" s="1" customFormat="1"/>
    <row r="542" s="1" customFormat="1"/>
    <row r="543" s="1" customFormat="1"/>
    <row r="544" s="1" customFormat="1"/>
    <row r="545" s="1" customFormat="1"/>
    <row r="546" s="1" customFormat="1"/>
    <row r="547" s="1" customFormat="1"/>
    <row r="548" s="1" customFormat="1"/>
    <row r="549" s="1" customFormat="1"/>
    <row r="550" s="1" customFormat="1"/>
    <row r="551" s="1" customFormat="1"/>
    <row r="552" s="1" customFormat="1"/>
    <row r="553" s="1" customFormat="1"/>
    <row r="554" s="1" customFormat="1"/>
    <row r="555" s="1" customFormat="1"/>
    <row r="556" s="1" customFormat="1"/>
    <row r="557" s="1" customFormat="1"/>
    <row r="558" s="1" customFormat="1"/>
    <row r="559" s="1" customFormat="1"/>
    <row r="560" s="1" customFormat="1"/>
    <row r="561" s="1" customFormat="1"/>
    <row r="562" s="1" customFormat="1"/>
    <row r="563" s="1" customFormat="1"/>
    <row r="564" s="1" customFormat="1"/>
    <row r="565" s="1" customFormat="1"/>
    <row r="566" s="1" customFormat="1"/>
    <row r="567" s="1" customFormat="1"/>
    <row r="568" s="1" customFormat="1"/>
    <row r="569" s="1" customFormat="1"/>
    <row r="570" s="1" customFormat="1"/>
    <row r="571" s="1" customFormat="1"/>
    <row r="572" s="1" customFormat="1"/>
    <row r="573" s="1" customFormat="1"/>
    <row r="574" s="1" customFormat="1"/>
    <row r="575" s="1" customFormat="1"/>
    <row r="576"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pans="2:4" s="1" customFormat="1"/>
    <row r="1106" spans="2:4">
      <c r="B1106" s="2948"/>
      <c r="C1106" s="2194"/>
      <c r="D1106" s="2193"/>
    </row>
    <row r="1107" spans="2:4">
      <c r="B1107" s="2948"/>
      <c r="C1107" s="2194"/>
      <c r="D1107" s="2193"/>
    </row>
    <row r="1108" spans="2:4">
      <c r="B1108" s="2948"/>
      <c r="C1108" s="2194"/>
      <c r="D1108" s="2193"/>
    </row>
    <row r="1109" spans="2:4">
      <c r="B1109" s="2948"/>
      <c r="C1109" s="2194"/>
      <c r="D1109" s="2193"/>
    </row>
    <row r="1110" spans="2:4">
      <c r="B1110" s="2948"/>
      <c r="C1110" s="2194"/>
      <c r="D1110" s="2193"/>
    </row>
    <row r="1111" spans="2:4">
      <c r="B1111" s="2948"/>
      <c r="C1111" s="2194"/>
      <c r="D1111" s="2193"/>
    </row>
    <row r="1112" spans="2:4">
      <c r="B1112" s="2948"/>
      <c r="C1112" s="2194"/>
      <c r="D1112" s="2193"/>
    </row>
    <row r="1113" spans="2:4">
      <c r="B1113" s="2948"/>
      <c r="C1113" s="2194"/>
      <c r="D1113" s="2193"/>
    </row>
    <row r="1114" spans="2:4">
      <c r="B1114" s="2948"/>
      <c r="C1114" s="2194"/>
      <c r="D1114" s="2193"/>
    </row>
    <row r="1115" spans="2:4">
      <c r="B1115" s="2948"/>
      <c r="C1115" s="2194"/>
      <c r="D1115" s="2193"/>
    </row>
    <row r="1116" spans="2:4">
      <c r="B1116" s="2948"/>
      <c r="C1116" s="2194"/>
      <c r="D1116" s="2193"/>
    </row>
    <row r="1117" spans="2:4">
      <c r="B1117" s="2948"/>
      <c r="C1117" s="2194"/>
      <c r="D1117" s="2193"/>
    </row>
    <row r="1118" spans="2:4">
      <c r="B1118" s="2948"/>
      <c r="C1118" s="2194"/>
      <c r="D1118" s="2193"/>
    </row>
    <row r="1119" spans="2:4">
      <c r="B1119" s="2948"/>
      <c r="C1119" s="2194"/>
      <c r="D1119" s="2193"/>
    </row>
    <row r="1120" spans="2:4">
      <c r="B1120" s="2948"/>
      <c r="C1120" s="2194"/>
      <c r="D1120" s="2193"/>
    </row>
    <row r="1121" spans="2:4">
      <c r="B1121" s="2948"/>
      <c r="C1121" s="2194"/>
      <c r="D1121" s="2193"/>
    </row>
    <row r="1122" spans="2:4">
      <c r="B1122" s="2948"/>
      <c r="C1122" s="2194"/>
      <c r="D1122" s="2193"/>
    </row>
    <row r="1123" spans="2:4">
      <c r="B1123" s="2948"/>
      <c r="C1123" s="2194"/>
      <c r="D1123" s="2193"/>
    </row>
    <row r="1124" spans="2:4">
      <c r="B1124" s="2948"/>
      <c r="C1124" s="2194"/>
      <c r="D1124" s="2193"/>
    </row>
    <row r="1125" spans="2:4">
      <c r="B1125" s="2948"/>
      <c r="C1125" s="2194"/>
      <c r="D1125" s="2193"/>
    </row>
    <row r="1126" spans="2:4">
      <c r="B1126" s="2948"/>
      <c r="C1126" s="2194"/>
      <c r="D1126" s="2193"/>
    </row>
    <row r="1127" spans="2:4">
      <c r="B1127" s="2948"/>
      <c r="C1127" s="2194"/>
      <c r="D1127" s="2193"/>
    </row>
    <row r="1128" spans="2:4">
      <c r="B1128" s="2948"/>
      <c r="C1128" s="2194"/>
      <c r="D1128" s="2193"/>
    </row>
    <row r="1129" spans="2:4">
      <c r="B1129" s="2948"/>
      <c r="C1129" s="2194"/>
      <c r="D1129" s="2193"/>
    </row>
    <row r="1130" spans="2:4">
      <c r="B1130" s="2948"/>
      <c r="C1130" s="2194"/>
      <c r="D1130" s="2193"/>
    </row>
    <row r="1131" spans="2:4">
      <c r="B1131" s="2948"/>
      <c r="C1131" s="2194"/>
      <c r="D1131" s="2193"/>
    </row>
    <row r="1132" spans="2:4">
      <c r="B1132" s="2948"/>
      <c r="C1132" s="2194"/>
      <c r="D1132" s="2193"/>
    </row>
    <row r="1133" spans="2:4">
      <c r="B1133" s="2948"/>
      <c r="C1133" s="2194"/>
      <c r="D1133" s="2193"/>
    </row>
    <row r="1134" spans="2:4">
      <c r="B1134" s="2948"/>
      <c r="C1134" s="2194"/>
      <c r="D1134" s="2193"/>
    </row>
    <row r="1135" spans="2:4" s="1" customFormat="1"/>
    <row r="1136" spans="2:4"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row r="1826" s="1" customFormat="1"/>
  </sheetData>
  <sheetProtection algorithmName="SHA-512" hashValue="Qs9kghPFat5X7cRt0cepG8RQfJxIKS4pjUVEYxR3L2TwMx92HsXhQ6A6k7j+HUFCnwcyaDVnV+7wH4jxNkHnnA==" saltValue="GdPDlqFc0JLFJpotck/xtg==" spinCount="100000" sheet="1" objects="1" scenarios="1"/>
  <pageMargins left="0.70866141732283472" right="0.70866141732283472" top="0.74803149606299213" bottom="0.74803149606299213" header="0.31496062992125984" footer="0.31496062992125984"/>
  <pageSetup scale="62" fitToHeight="0" orientation="portrait" r:id="rId1"/>
  <headerFooter>
    <oddFooter>&amp;L&amp;10Version 1.0    © CERIU, 2023&amp;R&amp;10Onglet Liste municipalités
Page &amp;P de &amp;N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78"/>
  <sheetViews>
    <sheetView zoomScale="115" zoomScaleNormal="115" workbookViewId="0">
      <selection activeCell="A30" sqref="A30"/>
    </sheetView>
  </sheetViews>
  <sheetFormatPr baseColWidth="10" defaultColWidth="25" defaultRowHeight="14.4"/>
  <cols>
    <col min="2" max="2" width="27.6640625" customWidth="1"/>
    <col min="3" max="3" width="25.6640625" customWidth="1"/>
    <col min="5" max="5" width="27.109375" customWidth="1"/>
    <col min="6" max="6" width="25.33203125" customWidth="1"/>
    <col min="8" max="8" width="28.6640625" customWidth="1"/>
  </cols>
  <sheetData>
    <row r="1" spans="1:10" ht="21">
      <c r="A1" s="2958" t="s">
        <v>3935</v>
      </c>
    </row>
    <row r="3" spans="1:10">
      <c r="A3" t="s">
        <v>3496</v>
      </c>
      <c r="B3" t="s">
        <v>4</v>
      </c>
    </row>
    <row r="4" spans="1:10">
      <c r="A4" t="s">
        <v>3498</v>
      </c>
      <c r="B4" t="s">
        <v>99</v>
      </c>
    </row>
    <row r="5" spans="1:10">
      <c r="A5" t="s">
        <v>3499</v>
      </c>
      <c r="B5" t="s">
        <v>3936</v>
      </c>
    </row>
    <row r="6" spans="1:10">
      <c r="A6" t="s">
        <v>3511</v>
      </c>
    </row>
    <row r="7" spans="1:10">
      <c r="A7" s="1121" t="s">
        <v>3533</v>
      </c>
      <c r="B7" s="1121" t="s">
        <v>3937</v>
      </c>
      <c r="C7" s="1121" t="s">
        <v>3938</v>
      </c>
      <c r="D7" s="1121" t="s">
        <v>3939</v>
      </c>
      <c r="E7" s="1121" t="s">
        <v>100</v>
      </c>
      <c r="F7" s="1121" t="s">
        <v>101</v>
      </c>
      <c r="G7" s="1121" t="s">
        <v>102</v>
      </c>
      <c r="H7" s="1121" t="s">
        <v>103</v>
      </c>
      <c r="I7" s="1121" t="s">
        <v>104</v>
      </c>
      <c r="J7" s="1121" t="s">
        <v>105</v>
      </c>
    </row>
    <row r="8" spans="1:10">
      <c r="A8" s="2960" t="s">
        <v>3544</v>
      </c>
      <c r="B8" t="s">
        <v>3550</v>
      </c>
      <c r="C8" t="str">
        <f t="shared" ref="C8:J10" si="0">B8</f>
        <v>p5</v>
      </c>
      <c r="D8" t="str">
        <f t="shared" si="0"/>
        <v>p5</v>
      </c>
      <c r="E8" t="str">
        <f t="shared" si="0"/>
        <v>p5</v>
      </c>
      <c r="F8" t="str">
        <f t="shared" si="0"/>
        <v>p5</v>
      </c>
      <c r="G8" t="str">
        <f t="shared" si="0"/>
        <v>p5</v>
      </c>
      <c r="H8" t="str">
        <f t="shared" si="0"/>
        <v>p5</v>
      </c>
      <c r="I8" t="str">
        <f t="shared" si="0"/>
        <v>p5</v>
      </c>
      <c r="J8" t="str">
        <f t="shared" si="0"/>
        <v>p5</v>
      </c>
    </row>
    <row r="9" spans="1:10">
      <c r="A9" s="2960" t="s">
        <v>3553</v>
      </c>
      <c r="B9" t="s">
        <v>3558</v>
      </c>
      <c r="C9" t="str">
        <f t="shared" si="0"/>
        <v>pv3</v>
      </c>
      <c r="D9" t="str">
        <f t="shared" si="0"/>
        <v>pv3</v>
      </c>
      <c r="E9" t="str">
        <f t="shared" si="0"/>
        <v>pv3</v>
      </c>
      <c r="F9" t="str">
        <f t="shared" si="0"/>
        <v>pv3</v>
      </c>
      <c r="G9" t="str">
        <f t="shared" si="0"/>
        <v>pv3</v>
      </c>
      <c r="H9" t="str">
        <f t="shared" si="0"/>
        <v>pv3</v>
      </c>
      <c r="I9" t="str">
        <f t="shared" si="0"/>
        <v>pv3</v>
      </c>
      <c r="J9" t="str">
        <f t="shared" si="0"/>
        <v>pv3</v>
      </c>
    </row>
    <row r="10" spans="1:10">
      <c r="A10" s="2960" t="s">
        <v>3562</v>
      </c>
      <c r="B10" t="s">
        <v>3940</v>
      </c>
      <c r="C10" t="str">
        <f>B10</f>
        <v>cout</v>
      </c>
      <c r="D10" t="str">
        <f t="shared" si="0"/>
        <v>cout</v>
      </c>
      <c r="E10" t="str">
        <f t="shared" si="0"/>
        <v>cout</v>
      </c>
      <c r="F10" t="str">
        <f t="shared" si="0"/>
        <v>cout</v>
      </c>
      <c r="G10" t="str">
        <f t="shared" si="0"/>
        <v>cout</v>
      </c>
      <c r="H10" t="str">
        <f t="shared" si="0"/>
        <v>cout</v>
      </c>
      <c r="I10" t="str">
        <f t="shared" si="0"/>
        <v>cout</v>
      </c>
      <c r="J10" t="str">
        <f t="shared" si="0"/>
        <v>cout</v>
      </c>
    </row>
    <row r="11" spans="1:10">
      <c r="A11" s="2960" t="s">
        <v>3579</v>
      </c>
    </row>
    <row r="12" spans="1:10">
      <c r="A12" s="2964" t="s">
        <v>3619</v>
      </c>
      <c r="B12" s="1121" t="s">
        <v>3620</v>
      </c>
      <c r="C12" s="1121" t="s">
        <v>3941</v>
      </c>
      <c r="D12" s="1121" t="s">
        <v>3942</v>
      </c>
      <c r="E12" s="1121" t="s">
        <v>3943</v>
      </c>
      <c r="F12" s="1121" t="s">
        <v>3944</v>
      </c>
      <c r="G12" s="1121" t="s">
        <v>3945</v>
      </c>
      <c r="H12" s="1121" t="s">
        <v>3946</v>
      </c>
      <c r="I12" s="1121" t="s">
        <v>3947</v>
      </c>
      <c r="J12" s="1121" t="s">
        <v>3948</v>
      </c>
    </row>
    <row r="13" spans="1:10">
      <c r="A13" s="2960" t="s">
        <v>3671</v>
      </c>
      <c r="B13" t="str">
        <f>_xlfn.CONCAT(IF(B8="","",B8),IF(B9="","","_"),IF(B9="","",B9),IF(B10="","","_"),IF(B10="","",B10),IF(B11="","","_"),IF(B11="","",B11),IF(B12="","","_"),IF(B12="","",B12))</f>
        <v>p5_pv3_cout_type_infra_eau</v>
      </c>
      <c r="C13" t="str">
        <f t="shared" ref="C13:J13" si="1">_xlfn.CONCAT(IF(C8="","",C8),IF(C9="","","_"),IF(C9="","",C9),IF(C10="","","_"),IF(C10="","",C10),IF(C11="","","_"),IF(C11="","",C11),IF(C12="","","_"),IF(C12="","",C12))</f>
        <v>p5_pv3_cout_sous_service</v>
      </c>
      <c r="D13" t="str">
        <f t="shared" si="1"/>
        <v>p5_pv3_cout_annee</v>
      </c>
      <c r="E13" t="str">
        <f t="shared" si="1"/>
        <v>p5_pv3_cout_budget_actuel</v>
      </c>
      <c r="F13" t="str">
        <f t="shared" si="1"/>
        <v>p5_pv3_cout_exploitation</v>
      </c>
      <c r="G13" t="str">
        <f t="shared" si="1"/>
        <v>p5_pv3_cout_entretien</v>
      </c>
      <c r="H13" t="str">
        <f t="shared" si="1"/>
        <v>p5_pv3_cout_renouvellement</v>
      </c>
      <c r="I13" t="str">
        <f t="shared" si="1"/>
        <v>p5_pv3_cout_acquisition</v>
      </c>
      <c r="J13" t="str">
        <f t="shared" si="1"/>
        <v>p5_pv3_cout_disposition</v>
      </c>
    </row>
    <row r="14" spans="1:10">
      <c r="A14" t="s">
        <v>3672</v>
      </c>
      <c r="B14">
        <f t="shared" ref="B14:J14" si="2">COUNTIF($A$18:$J$18,B18)</f>
        <v>1</v>
      </c>
      <c r="C14">
        <f t="shared" si="2"/>
        <v>1</v>
      </c>
      <c r="D14">
        <f t="shared" si="2"/>
        <v>1</v>
      </c>
      <c r="E14">
        <f t="shared" si="2"/>
        <v>1</v>
      </c>
      <c r="F14">
        <f t="shared" si="2"/>
        <v>1</v>
      </c>
      <c r="G14">
        <f t="shared" si="2"/>
        <v>1</v>
      </c>
      <c r="H14">
        <f t="shared" si="2"/>
        <v>1</v>
      </c>
      <c r="I14">
        <f t="shared" si="2"/>
        <v>1</v>
      </c>
      <c r="J14">
        <f t="shared" si="2"/>
        <v>1</v>
      </c>
    </row>
    <row r="15" spans="1:10">
      <c r="A15" s="2960" t="s">
        <v>3673</v>
      </c>
      <c r="B15" s="2977" t="b">
        <f>B13=T_cout[[#Headers],[p5_pv3_cout_type_infra_eau]]</f>
        <v>1</v>
      </c>
      <c r="C15" s="2977" t="b">
        <f>C13=T_cout[[#Headers],[p5_pv3_cout_sous_service]]</f>
        <v>1</v>
      </c>
      <c r="D15" s="2977" t="b">
        <f>D13=T_cout[[#Headers],[p5_pv3_cout_annee]]</f>
        <v>1</v>
      </c>
      <c r="E15" s="2977" t="b">
        <f>E13=T_cout[[#Headers],[p5_pv3_cout_budget_actuel]]</f>
        <v>1</v>
      </c>
      <c r="F15" s="2977" t="b">
        <f>F13=T_cout[[#Headers],[p5_pv3_cout_exploitation]]</f>
        <v>1</v>
      </c>
      <c r="G15" s="2977" t="b">
        <f>G13=T_cout[[#Headers],[p5_pv3_cout_entretien]]</f>
        <v>1</v>
      </c>
      <c r="H15" s="2977" t="b">
        <f>H13=T_cout[[#Headers],[p5_pv3_cout_renouvellement]]</f>
        <v>1</v>
      </c>
      <c r="I15" s="2977" t="b">
        <f>I13=T_cout[[#Headers],[p5_pv3_cout_acquisition]]</f>
        <v>1</v>
      </c>
      <c r="J15" s="2977" t="b">
        <f>J13=T_cout[[#Headers],[p5_pv3_cout_disposition]]</f>
        <v>1</v>
      </c>
    </row>
    <row r="16" spans="1:10">
      <c r="A16" s="2960" t="s">
        <v>3674</v>
      </c>
      <c r="B16" t="s">
        <v>3675</v>
      </c>
      <c r="C16" t="s">
        <v>3675</v>
      </c>
      <c r="D16" t="s">
        <v>3675</v>
      </c>
      <c r="E16" t="s">
        <v>3677</v>
      </c>
      <c r="F16" t="s">
        <v>3677</v>
      </c>
      <c r="G16" t="s">
        <v>3677</v>
      </c>
      <c r="H16" t="s">
        <v>3677</v>
      </c>
      <c r="I16" t="s">
        <v>3677</v>
      </c>
      <c r="J16" t="s">
        <v>3677</v>
      </c>
    </row>
    <row r="18" spans="1:10">
      <c r="A18" t="s">
        <v>3682</v>
      </c>
      <c r="B18" t="s">
        <v>3949</v>
      </c>
      <c r="C18" t="s">
        <v>3950</v>
      </c>
      <c r="D18" t="s">
        <v>3951</v>
      </c>
      <c r="E18" t="s">
        <v>3952</v>
      </c>
      <c r="F18" t="s">
        <v>3953</v>
      </c>
      <c r="G18" t="s">
        <v>3954</v>
      </c>
      <c r="H18" t="s">
        <v>3955</v>
      </c>
      <c r="I18" t="s">
        <v>3956</v>
      </c>
      <c r="J18" t="s">
        <v>3957</v>
      </c>
    </row>
    <row r="19" spans="1:10">
      <c r="A19" s="2990" t="str">
        <f>MAMH_BD_MUN!$A$19</f>
        <v>ERREUR</v>
      </c>
      <c r="B19" t="s">
        <v>96</v>
      </c>
      <c r="C19" t="s">
        <v>3958</v>
      </c>
      <c r="D19" s="2049">
        <f>'CALCULS Eau potable'!$E$191</f>
        <v>0</v>
      </c>
      <c r="E19" s="2969">
        <f>'CALCULS Eau potable'!$E$192</f>
        <v>0</v>
      </c>
      <c r="F19" s="2969">
        <f>'CALCULS Eau potable'!$E$193</f>
        <v>0</v>
      </c>
      <c r="G19" s="2969">
        <f>'CALCULS Eau potable'!$E$194</f>
        <v>0</v>
      </c>
      <c r="H19" s="2969">
        <f>'CALCULS Eau potable'!$E$195</f>
        <v>0</v>
      </c>
      <c r="I19" s="2969">
        <f>'CALCULS Eau potable'!$E$196</f>
        <v>0</v>
      </c>
      <c r="J19" s="2969">
        <f>'CALCULS Eau potable'!$E$197</f>
        <v>0</v>
      </c>
    </row>
    <row r="20" spans="1:10">
      <c r="A20" s="2990" t="str">
        <f>MAMH_BD_MUN!$A$19</f>
        <v>ERREUR</v>
      </c>
      <c r="B20" t="s">
        <v>96</v>
      </c>
      <c r="C20" t="s">
        <v>3958</v>
      </c>
      <c r="D20" s="2049">
        <f>'CALCULS Eau potable'!$F$191</f>
        <v>1</v>
      </c>
      <c r="E20" s="2969">
        <f>'CALCULS Eau potable'!$F$192</f>
        <v>0</v>
      </c>
      <c r="F20" s="2969">
        <f>'CALCULS Eau potable'!$F$193</f>
        <v>0</v>
      </c>
      <c r="G20" s="2969">
        <f>'CALCULS Eau potable'!$F$194</f>
        <v>0</v>
      </c>
      <c r="H20" s="2969">
        <f>'CALCULS Eau potable'!$F$195</f>
        <v>0</v>
      </c>
      <c r="I20" s="2969">
        <f>'CALCULS Eau potable'!$F$196</f>
        <v>0</v>
      </c>
      <c r="J20" s="2969">
        <f>'CALCULS Eau potable'!$F$197</f>
        <v>0</v>
      </c>
    </row>
    <row r="21" spans="1:10">
      <c r="A21" s="2990" t="str">
        <f>MAMH_BD_MUN!$A$19</f>
        <v>ERREUR</v>
      </c>
      <c r="B21" t="s">
        <v>96</v>
      </c>
      <c r="C21" t="s">
        <v>3958</v>
      </c>
      <c r="D21" s="2049">
        <f>'CALCULS Eau potable'!$G$191</f>
        <v>2</v>
      </c>
      <c r="E21" s="2969">
        <f>'CALCULS Eau potable'!$G$192</f>
        <v>0</v>
      </c>
      <c r="F21" s="2969">
        <f>'CALCULS Eau potable'!$G$193</f>
        <v>0</v>
      </c>
      <c r="G21" s="2969">
        <f>'CALCULS Eau potable'!$G$194</f>
        <v>0</v>
      </c>
      <c r="H21" s="2969">
        <f>'CALCULS Eau potable'!$G$195</f>
        <v>0</v>
      </c>
      <c r="I21" s="2969">
        <f>'CALCULS Eau potable'!$G$196</f>
        <v>0</v>
      </c>
      <c r="J21" s="2969">
        <f>'CALCULS Eau potable'!$G$197</f>
        <v>0</v>
      </c>
    </row>
    <row r="22" spans="1:10">
      <c r="A22" s="2990" t="str">
        <f>MAMH_BD_MUN!$A$19</f>
        <v>ERREUR</v>
      </c>
      <c r="B22" t="s">
        <v>96</v>
      </c>
      <c r="C22" t="s">
        <v>3958</v>
      </c>
      <c r="D22" s="2049">
        <f>'CALCULS Eau potable'!$H$191</f>
        <v>3</v>
      </c>
      <c r="E22" s="2969">
        <f>'CALCULS Eau potable'!$H$192</f>
        <v>0</v>
      </c>
      <c r="F22" s="2969">
        <f>'CALCULS Eau potable'!$H$193</f>
        <v>0</v>
      </c>
      <c r="G22" s="2969">
        <f>'CALCULS Eau potable'!$H$194</f>
        <v>0</v>
      </c>
      <c r="H22" s="2969">
        <f>'CALCULS Eau potable'!$H$195</f>
        <v>0</v>
      </c>
      <c r="I22" s="2969">
        <f>'CALCULS Eau potable'!$H$196</f>
        <v>0</v>
      </c>
      <c r="J22" s="2969">
        <f>'CALCULS Eau potable'!$H$197</f>
        <v>0</v>
      </c>
    </row>
    <row r="23" spans="1:10">
      <c r="A23" s="2990" t="str">
        <f>MAMH_BD_MUN!$A$19</f>
        <v>ERREUR</v>
      </c>
      <c r="B23" t="s">
        <v>96</v>
      </c>
      <c r="C23" t="s">
        <v>3958</v>
      </c>
      <c r="D23" s="2049">
        <f>'CALCULS Eau potable'!$I$191</f>
        <v>4</v>
      </c>
      <c r="E23" s="2969">
        <f>'CALCULS Eau potable'!$I$192</f>
        <v>0</v>
      </c>
      <c r="F23" s="2969">
        <f>'CALCULS Eau potable'!$I$193</f>
        <v>0</v>
      </c>
      <c r="G23" s="2969">
        <f>'CALCULS Eau potable'!$I$194</f>
        <v>0</v>
      </c>
      <c r="H23" s="2969">
        <f>'CALCULS Eau potable'!$I$195</f>
        <v>0</v>
      </c>
      <c r="I23" s="2969">
        <f>'CALCULS Eau potable'!$I$196</f>
        <v>0</v>
      </c>
      <c r="J23" s="2969">
        <f>'CALCULS Eau potable'!$I$197</f>
        <v>0</v>
      </c>
    </row>
    <row r="24" spans="1:10">
      <c r="A24" s="2990" t="str">
        <f>MAMH_BD_MUN!$A$19</f>
        <v>ERREUR</v>
      </c>
      <c r="B24" t="s">
        <v>96</v>
      </c>
      <c r="C24" t="s">
        <v>3958</v>
      </c>
      <c r="D24" s="2049">
        <f>'CALCULS Eau potable'!$J$191</f>
        <v>5</v>
      </c>
      <c r="E24" s="2969">
        <f>'CALCULS Eau potable'!$J$192</f>
        <v>0</v>
      </c>
      <c r="F24" s="2969">
        <f>'CALCULS Eau potable'!$J$193</f>
        <v>0</v>
      </c>
      <c r="G24" s="2969">
        <f>'CALCULS Eau potable'!$J$194</f>
        <v>0</v>
      </c>
      <c r="H24" s="2969">
        <f>'CALCULS Eau potable'!$J$195</f>
        <v>0</v>
      </c>
      <c r="I24" s="2969">
        <f>'CALCULS Eau potable'!$J$196</f>
        <v>0</v>
      </c>
      <c r="J24" s="2969">
        <f>'CALCULS Eau potable'!$J$197</f>
        <v>0</v>
      </c>
    </row>
    <row r="25" spans="1:10">
      <c r="A25" s="2990" t="str">
        <f>MAMH_BD_MUN!$A$19</f>
        <v>ERREUR</v>
      </c>
      <c r="B25" t="s">
        <v>96</v>
      </c>
      <c r="C25" t="s">
        <v>3958</v>
      </c>
      <c r="D25" s="2049">
        <f>'CALCULS Eau potable'!$K$191</f>
        <v>6</v>
      </c>
      <c r="E25" s="2969">
        <f>'CALCULS Eau potable'!$K$192</f>
        <v>0</v>
      </c>
      <c r="F25" s="2969">
        <f>'CALCULS Eau potable'!$K$193</f>
        <v>0</v>
      </c>
      <c r="G25" s="2969">
        <f>'CALCULS Eau potable'!$K$194</f>
        <v>0</v>
      </c>
      <c r="H25" s="2969">
        <f>'CALCULS Eau potable'!$K$195</f>
        <v>0</v>
      </c>
      <c r="I25" s="2969">
        <f>'CALCULS Eau potable'!$K$196</f>
        <v>0</v>
      </c>
      <c r="J25" s="2969">
        <f>'CALCULS Eau potable'!$K$197</f>
        <v>0</v>
      </c>
    </row>
    <row r="26" spans="1:10">
      <c r="A26" s="2990" t="str">
        <f>MAMH_BD_MUN!$A$19</f>
        <v>ERREUR</v>
      </c>
      <c r="B26" t="s">
        <v>96</v>
      </c>
      <c r="C26" t="s">
        <v>3958</v>
      </c>
      <c r="D26" s="2049">
        <f>'CALCULS Eau potable'!$L$191</f>
        <v>7</v>
      </c>
      <c r="E26" s="2969">
        <f>'CALCULS Eau potable'!$L$192</f>
        <v>0</v>
      </c>
      <c r="F26" s="2969">
        <f>'CALCULS Eau potable'!$L$193</f>
        <v>0</v>
      </c>
      <c r="G26" s="2969">
        <f>'CALCULS Eau potable'!$L$194</f>
        <v>0</v>
      </c>
      <c r="H26" s="2969">
        <f>'CALCULS Eau potable'!$L$195</f>
        <v>0</v>
      </c>
      <c r="I26" s="2969">
        <f>'CALCULS Eau potable'!$L$196</f>
        <v>0</v>
      </c>
      <c r="J26" s="2969">
        <f>'CALCULS Eau potable'!$L$197</f>
        <v>0</v>
      </c>
    </row>
    <row r="27" spans="1:10">
      <c r="A27" s="2990" t="str">
        <f>MAMH_BD_MUN!$A$19</f>
        <v>ERREUR</v>
      </c>
      <c r="B27" t="s">
        <v>96</v>
      </c>
      <c r="C27" t="s">
        <v>3958</v>
      </c>
      <c r="D27" s="2049">
        <f>'CALCULS Eau potable'!$M$191</f>
        <v>8</v>
      </c>
      <c r="E27" s="2969">
        <f>'CALCULS Eau potable'!$M$192</f>
        <v>0</v>
      </c>
      <c r="F27" s="2969">
        <f>'CALCULS Eau potable'!$M$193</f>
        <v>0</v>
      </c>
      <c r="G27" s="2969">
        <f>'CALCULS Eau potable'!$M$194</f>
        <v>0</v>
      </c>
      <c r="H27" s="2969">
        <f>'CALCULS Eau potable'!$M$195</f>
        <v>0</v>
      </c>
      <c r="I27" s="2969">
        <f>'CALCULS Eau potable'!$M$196</f>
        <v>0</v>
      </c>
      <c r="J27" s="2969">
        <f>'CALCULS Eau potable'!$M$197</f>
        <v>0</v>
      </c>
    </row>
    <row r="28" spans="1:10">
      <c r="A28" s="2990" t="str">
        <f>MAMH_BD_MUN!$A$19</f>
        <v>ERREUR</v>
      </c>
      <c r="B28" t="s">
        <v>96</v>
      </c>
      <c r="C28" t="s">
        <v>3958</v>
      </c>
      <c r="D28" s="2049">
        <f>'CALCULS Eau potable'!$N$191</f>
        <v>9</v>
      </c>
      <c r="E28" s="2969">
        <f>'CALCULS Eau potable'!$N$192</f>
        <v>0</v>
      </c>
      <c r="F28" s="2969">
        <f>'CALCULS Eau potable'!$N$193</f>
        <v>0</v>
      </c>
      <c r="G28" s="2969">
        <f>'CALCULS Eau potable'!$N$194</f>
        <v>0</v>
      </c>
      <c r="H28" s="2969">
        <f>'CALCULS Eau potable'!$N$195</f>
        <v>0</v>
      </c>
      <c r="I28" s="2969">
        <f>'CALCULS Eau potable'!$N$196</f>
        <v>0</v>
      </c>
      <c r="J28" s="2969">
        <f>'CALCULS Eau potable'!$N$197</f>
        <v>0</v>
      </c>
    </row>
    <row r="29" spans="1:10">
      <c r="A29" s="2990" t="str">
        <f>MAMH_BD_MUN!$A$19</f>
        <v>ERREUR</v>
      </c>
      <c r="B29" t="s">
        <v>96</v>
      </c>
      <c r="C29" t="s">
        <v>106</v>
      </c>
      <c r="D29" s="2049">
        <f>'CALCULS Eau potable'!$E$208</f>
        <v>0</v>
      </c>
      <c r="E29" s="2969">
        <f>'CALCULS Eau potable'!$E$209</f>
        <v>0</v>
      </c>
      <c r="F29" s="2969">
        <f>'CALCULS Eau potable'!$E$210</f>
        <v>0</v>
      </c>
      <c r="G29" s="2969">
        <f>'CALCULS Eau potable'!$E$211</f>
        <v>0</v>
      </c>
      <c r="H29" s="2969">
        <f>'CALCULS Eau potable'!$E$212</f>
        <v>0</v>
      </c>
      <c r="I29" s="2969">
        <f>'CALCULS Eau potable'!$E$213</f>
        <v>0</v>
      </c>
      <c r="J29" s="2969">
        <f>'CALCULS Eau potable'!$E$214</f>
        <v>0</v>
      </c>
    </row>
    <row r="30" spans="1:10">
      <c r="A30" s="2990" t="str">
        <f>MAMH_BD_MUN!$A$19</f>
        <v>ERREUR</v>
      </c>
      <c r="B30" t="s">
        <v>96</v>
      </c>
      <c r="C30" t="s">
        <v>106</v>
      </c>
      <c r="D30" s="2049">
        <f>'CALCULS Eau potable'!$F$208</f>
        <v>1</v>
      </c>
      <c r="E30" s="2969">
        <f>'CALCULS Eau potable'!$F$209</f>
        <v>0</v>
      </c>
      <c r="F30" s="2969">
        <f>'CALCULS Eau potable'!$F$210</f>
        <v>0</v>
      </c>
      <c r="G30" s="2969">
        <f>'CALCULS Eau potable'!$F$211</f>
        <v>0</v>
      </c>
      <c r="H30" s="2969">
        <f>'CALCULS Eau potable'!$F$212</f>
        <v>0</v>
      </c>
      <c r="I30" s="2969">
        <f>'CALCULS Eau potable'!$F$213</f>
        <v>0</v>
      </c>
      <c r="J30" s="2969">
        <f>'CALCULS Eau potable'!$F$214</f>
        <v>0</v>
      </c>
    </row>
    <row r="31" spans="1:10">
      <c r="A31" s="2990" t="str">
        <f>MAMH_BD_MUN!$A$19</f>
        <v>ERREUR</v>
      </c>
      <c r="B31" t="s">
        <v>96</v>
      </c>
      <c r="C31" t="s">
        <v>106</v>
      </c>
      <c r="D31" s="2049">
        <f>'CALCULS Eau potable'!$G$208</f>
        <v>2</v>
      </c>
      <c r="E31" s="2969">
        <f>'CALCULS Eau potable'!$G$209</f>
        <v>0</v>
      </c>
      <c r="F31" s="2969">
        <f>'CALCULS Eau potable'!$G$210</f>
        <v>0</v>
      </c>
      <c r="G31" s="2969">
        <f>'CALCULS Eau potable'!$G$211</f>
        <v>0</v>
      </c>
      <c r="H31" s="2969">
        <f>'CALCULS Eau potable'!$G$212</f>
        <v>0</v>
      </c>
      <c r="I31" s="2969">
        <f>'CALCULS Eau potable'!$G$213</f>
        <v>0</v>
      </c>
      <c r="J31" s="2969">
        <f>'CALCULS Eau potable'!$G$214</f>
        <v>0</v>
      </c>
    </row>
    <row r="32" spans="1:10">
      <c r="A32" s="2990" t="str">
        <f>MAMH_BD_MUN!$A$19</f>
        <v>ERREUR</v>
      </c>
      <c r="B32" t="s">
        <v>96</v>
      </c>
      <c r="C32" t="s">
        <v>106</v>
      </c>
      <c r="D32" s="2049">
        <f>'CALCULS Eau potable'!$H$208</f>
        <v>3</v>
      </c>
      <c r="E32" s="2969">
        <f>'CALCULS Eau potable'!$H$209</f>
        <v>0</v>
      </c>
      <c r="F32" s="2969">
        <f>'CALCULS Eau potable'!$H$210</f>
        <v>0</v>
      </c>
      <c r="G32" s="2969">
        <f>'CALCULS Eau potable'!$H$211</f>
        <v>0</v>
      </c>
      <c r="H32" s="2969">
        <f>'CALCULS Eau potable'!$H$212</f>
        <v>0</v>
      </c>
      <c r="I32" s="2969">
        <f>'CALCULS Eau potable'!$H$213</f>
        <v>0</v>
      </c>
      <c r="J32" s="2969">
        <f>'CALCULS Eau potable'!$H$214</f>
        <v>0</v>
      </c>
    </row>
    <row r="33" spans="1:10">
      <c r="A33" s="2990" t="str">
        <f>MAMH_BD_MUN!$A$19</f>
        <v>ERREUR</v>
      </c>
      <c r="B33" t="s">
        <v>96</v>
      </c>
      <c r="C33" t="s">
        <v>106</v>
      </c>
      <c r="D33" s="2049">
        <f>'CALCULS Eau potable'!$I$208</f>
        <v>4</v>
      </c>
      <c r="E33" s="2969">
        <f>'CALCULS Eau potable'!$I$209</f>
        <v>0</v>
      </c>
      <c r="F33" s="2969">
        <f>'CALCULS Eau potable'!$I$210</f>
        <v>0</v>
      </c>
      <c r="G33" s="2969">
        <f>'CALCULS Eau potable'!$I$211</f>
        <v>0</v>
      </c>
      <c r="H33" s="2969">
        <f>'CALCULS Eau potable'!$I$212</f>
        <v>0</v>
      </c>
      <c r="I33" s="2969">
        <f>'CALCULS Eau potable'!$I$213</f>
        <v>0</v>
      </c>
      <c r="J33" s="2969">
        <f>'CALCULS Eau potable'!$I$214</f>
        <v>0</v>
      </c>
    </row>
    <row r="34" spans="1:10">
      <c r="A34" s="2990" t="str">
        <f>MAMH_BD_MUN!$A$19</f>
        <v>ERREUR</v>
      </c>
      <c r="B34" t="s">
        <v>96</v>
      </c>
      <c r="C34" t="s">
        <v>106</v>
      </c>
      <c r="D34" s="2049">
        <f>'CALCULS Eau potable'!$J$208</f>
        <v>5</v>
      </c>
      <c r="E34" s="2969">
        <f>'CALCULS Eau potable'!$J$209</f>
        <v>0</v>
      </c>
      <c r="F34" s="2969">
        <f>'CALCULS Eau potable'!$J$210</f>
        <v>0</v>
      </c>
      <c r="G34" s="2969">
        <f>'CALCULS Eau potable'!$J$211</f>
        <v>0</v>
      </c>
      <c r="H34" s="2969">
        <f>'CALCULS Eau potable'!$J$212</f>
        <v>0</v>
      </c>
      <c r="I34" s="2969">
        <f>'CALCULS Eau potable'!$J$213</f>
        <v>0</v>
      </c>
      <c r="J34" s="2969">
        <f>'CALCULS Eau potable'!$J$214</f>
        <v>0</v>
      </c>
    </row>
    <row r="35" spans="1:10">
      <c r="A35" s="2990" t="str">
        <f>MAMH_BD_MUN!$A$19</f>
        <v>ERREUR</v>
      </c>
      <c r="B35" t="s">
        <v>96</v>
      </c>
      <c r="C35" t="s">
        <v>106</v>
      </c>
      <c r="D35" s="2049">
        <f>'CALCULS Eau potable'!$K$208</f>
        <v>6</v>
      </c>
      <c r="E35" s="2969">
        <f>'CALCULS Eau potable'!$K$209</f>
        <v>0</v>
      </c>
      <c r="F35" s="2969">
        <f>'CALCULS Eau potable'!$K$210</f>
        <v>0</v>
      </c>
      <c r="G35" s="2969">
        <f>'CALCULS Eau potable'!$K$211</f>
        <v>0</v>
      </c>
      <c r="H35" s="2969">
        <f>'CALCULS Eau potable'!$K$212</f>
        <v>0</v>
      </c>
      <c r="I35" s="2969">
        <f>'CALCULS Eau potable'!$K$213</f>
        <v>0</v>
      </c>
      <c r="J35" s="2969">
        <f>'CALCULS Eau potable'!$K$214</f>
        <v>0</v>
      </c>
    </row>
    <row r="36" spans="1:10">
      <c r="A36" s="2990" t="str">
        <f>MAMH_BD_MUN!$A$19</f>
        <v>ERREUR</v>
      </c>
      <c r="B36" t="s">
        <v>96</v>
      </c>
      <c r="C36" t="s">
        <v>106</v>
      </c>
      <c r="D36" s="2049">
        <f>'CALCULS Eau potable'!$L$208</f>
        <v>7</v>
      </c>
      <c r="E36" s="2969">
        <f>'CALCULS Eau potable'!$L$209</f>
        <v>0</v>
      </c>
      <c r="F36" s="2969">
        <f>'CALCULS Eau potable'!$L$210</f>
        <v>0</v>
      </c>
      <c r="G36" s="2969">
        <f>'CALCULS Eau potable'!$L$211</f>
        <v>0</v>
      </c>
      <c r="H36" s="2969">
        <f>'CALCULS Eau potable'!$L$212</f>
        <v>0</v>
      </c>
      <c r="I36" s="2969">
        <f>'CALCULS Eau potable'!$L$213</f>
        <v>0</v>
      </c>
      <c r="J36" s="2969">
        <f>'CALCULS Eau potable'!$L$214</f>
        <v>0</v>
      </c>
    </row>
    <row r="37" spans="1:10">
      <c r="A37" s="2990" t="str">
        <f>MAMH_BD_MUN!$A$19</f>
        <v>ERREUR</v>
      </c>
      <c r="B37" t="s">
        <v>96</v>
      </c>
      <c r="C37" t="s">
        <v>106</v>
      </c>
      <c r="D37" s="2049">
        <f>'CALCULS Eau potable'!$M$208</f>
        <v>8</v>
      </c>
      <c r="E37" s="2969">
        <f>'CALCULS Eau potable'!$M$209</f>
        <v>0</v>
      </c>
      <c r="F37" s="2969">
        <f>'CALCULS Eau potable'!$M$210</f>
        <v>0</v>
      </c>
      <c r="G37" s="2969">
        <f>'CALCULS Eau potable'!$M$211</f>
        <v>0</v>
      </c>
      <c r="H37" s="2969">
        <f>'CALCULS Eau potable'!$M$212</f>
        <v>0</v>
      </c>
      <c r="I37" s="2969">
        <f>'CALCULS Eau potable'!$M$213</f>
        <v>0</v>
      </c>
      <c r="J37" s="2969">
        <f>'CALCULS Eau potable'!$M$214</f>
        <v>0</v>
      </c>
    </row>
    <row r="38" spans="1:10">
      <c r="A38" s="2990" t="str">
        <f>MAMH_BD_MUN!$A$19</f>
        <v>ERREUR</v>
      </c>
      <c r="B38" t="s">
        <v>96</v>
      </c>
      <c r="C38" t="s">
        <v>106</v>
      </c>
      <c r="D38" s="2049">
        <f>'CALCULS Eau potable'!$N$208</f>
        <v>9</v>
      </c>
      <c r="E38" s="2969">
        <f>'CALCULS Eau potable'!$N$209</f>
        <v>0</v>
      </c>
      <c r="F38" s="2969">
        <f>'CALCULS Eau potable'!$N$210</f>
        <v>0</v>
      </c>
      <c r="G38" s="2969">
        <f>'CALCULS Eau potable'!$N$211</f>
        <v>0</v>
      </c>
      <c r="H38" s="2969">
        <f>'CALCULS Eau potable'!$N$212</f>
        <v>0</v>
      </c>
      <c r="I38" s="2969">
        <f>'CALCULS Eau potable'!$N$213</f>
        <v>0</v>
      </c>
      <c r="J38" s="2969">
        <f>'CALCULS Eau potable'!$N$214</f>
        <v>0</v>
      </c>
    </row>
    <row r="39" spans="1:10">
      <c r="A39" s="2990" t="str">
        <f>MAMH_BD_MUN!$A$20</f>
        <v>ERREUR</v>
      </c>
      <c r="B39" t="s">
        <v>97</v>
      </c>
      <c r="C39" t="s">
        <v>107</v>
      </c>
      <c r="D39" s="2049">
        <f>'CALCULS Eaux usées'!$E$191</f>
        <v>0</v>
      </c>
      <c r="E39" s="2969">
        <f>'CALCULS Eaux usées'!$E$192</f>
        <v>0</v>
      </c>
      <c r="F39" s="2969">
        <f>'CALCULS Eaux usées'!$E$193</f>
        <v>0</v>
      </c>
      <c r="G39" s="2969">
        <f>'CALCULS Eaux usées'!$E$194</f>
        <v>0</v>
      </c>
      <c r="H39" s="2969">
        <f>'CALCULS Eaux usées'!$E$195</f>
        <v>0</v>
      </c>
      <c r="I39" s="2969">
        <f>'CALCULS Eaux usées'!$E$196</f>
        <v>0</v>
      </c>
      <c r="J39" s="2969">
        <f>'CALCULS Eaux usées'!$E$197</f>
        <v>0</v>
      </c>
    </row>
    <row r="40" spans="1:10">
      <c r="A40" s="2990" t="str">
        <f>MAMH_BD_MUN!$A$20</f>
        <v>ERREUR</v>
      </c>
      <c r="B40" t="s">
        <v>97</v>
      </c>
      <c r="C40" t="s">
        <v>107</v>
      </c>
      <c r="D40" s="2049">
        <f>'CALCULS Eaux usées'!$F$191</f>
        <v>1</v>
      </c>
      <c r="E40" s="2969">
        <f>'CALCULS Eaux usées'!$F$192</f>
        <v>0</v>
      </c>
      <c r="F40" s="2969">
        <f>'CALCULS Eaux usées'!$F$193</f>
        <v>0</v>
      </c>
      <c r="G40" s="2969">
        <f>'CALCULS Eaux usées'!$F$194</f>
        <v>0</v>
      </c>
      <c r="H40" s="2969">
        <f>'CALCULS Eaux usées'!$F$195</f>
        <v>0</v>
      </c>
      <c r="I40" s="2969">
        <f>'CALCULS Eaux usées'!$F$196</f>
        <v>0</v>
      </c>
      <c r="J40" s="2969">
        <f>'CALCULS Eaux usées'!$F$197</f>
        <v>0</v>
      </c>
    </row>
    <row r="41" spans="1:10">
      <c r="A41" s="2990" t="str">
        <f>MAMH_BD_MUN!$A$20</f>
        <v>ERREUR</v>
      </c>
      <c r="B41" t="s">
        <v>97</v>
      </c>
      <c r="C41" t="s">
        <v>107</v>
      </c>
      <c r="D41" s="2049">
        <f>'CALCULS Eaux usées'!$G$191</f>
        <v>2</v>
      </c>
      <c r="E41" s="2969">
        <f>'CALCULS Eaux usées'!$G$192</f>
        <v>0</v>
      </c>
      <c r="F41" s="2969">
        <f>'CALCULS Eaux usées'!$G$193</f>
        <v>0</v>
      </c>
      <c r="G41" s="2969">
        <f>'CALCULS Eaux usées'!$G$194</f>
        <v>0</v>
      </c>
      <c r="H41" s="2969">
        <f>'CALCULS Eaux usées'!$G$195</f>
        <v>0</v>
      </c>
      <c r="I41" s="2969">
        <f>'CALCULS Eaux usées'!$G$196</f>
        <v>0</v>
      </c>
      <c r="J41" s="2969">
        <f>'CALCULS Eaux usées'!$G$197</f>
        <v>0</v>
      </c>
    </row>
    <row r="42" spans="1:10">
      <c r="A42" s="2990" t="str">
        <f>MAMH_BD_MUN!$A$20</f>
        <v>ERREUR</v>
      </c>
      <c r="B42" t="s">
        <v>97</v>
      </c>
      <c r="C42" t="s">
        <v>107</v>
      </c>
      <c r="D42" s="2049">
        <f>'CALCULS Eaux usées'!$H$191</f>
        <v>3</v>
      </c>
      <c r="E42" s="2969">
        <f>'CALCULS Eaux usées'!$H$192</f>
        <v>0</v>
      </c>
      <c r="F42" s="2969">
        <f>'CALCULS Eaux usées'!$H$193</f>
        <v>0</v>
      </c>
      <c r="G42" s="2969">
        <f>'CALCULS Eaux usées'!$H$194</f>
        <v>0</v>
      </c>
      <c r="H42" s="2969">
        <f>'CALCULS Eaux usées'!$H$195</f>
        <v>0</v>
      </c>
      <c r="I42" s="2969">
        <f>'CALCULS Eaux usées'!$H$196</f>
        <v>0</v>
      </c>
      <c r="J42" s="2969">
        <f>'CALCULS Eaux usées'!$H$197</f>
        <v>0</v>
      </c>
    </row>
    <row r="43" spans="1:10">
      <c r="A43" s="2990" t="str">
        <f>MAMH_BD_MUN!$A$20</f>
        <v>ERREUR</v>
      </c>
      <c r="B43" t="s">
        <v>97</v>
      </c>
      <c r="C43" t="s">
        <v>107</v>
      </c>
      <c r="D43" s="2049">
        <f>'CALCULS Eaux usées'!$I$191</f>
        <v>4</v>
      </c>
      <c r="E43" s="2969">
        <f>'CALCULS Eaux usées'!$I$192</f>
        <v>0</v>
      </c>
      <c r="F43" s="2969">
        <f>'CALCULS Eaux usées'!$I$193</f>
        <v>0</v>
      </c>
      <c r="G43" s="2969">
        <f>'CALCULS Eaux usées'!$I$194</f>
        <v>0</v>
      </c>
      <c r="H43" s="2969">
        <f>'CALCULS Eaux usées'!$I$195</f>
        <v>0</v>
      </c>
      <c r="I43" s="2969">
        <f>'CALCULS Eaux usées'!$I$196</f>
        <v>0</v>
      </c>
      <c r="J43" s="2969">
        <f>'CALCULS Eaux usées'!$I$197</f>
        <v>0</v>
      </c>
    </row>
    <row r="44" spans="1:10">
      <c r="A44" s="2990" t="str">
        <f>MAMH_BD_MUN!$A$20</f>
        <v>ERREUR</v>
      </c>
      <c r="B44" t="s">
        <v>97</v>
      </c>
      <c r="C44" t="s">
        <v>107</v>
      </c>
      <c r="D44" s="2049">
        <f>'CALCULS Eaux usées'!$J$191</f>
        <v>5</v>
      </c>
      <c r="E44" s="2969">
        <f>'CALCULS Eaux usées'!$J$192</f>
        <v>0</v>
      </c>
      <c r="F44" s="2969">
        <f>'CALCULS Eaux usées'!$J$193</f>
        <v>0</v>
      </c>
      <c r="G44" s="2969">
        <f>'CALCULS Eaux usées'!$J$194</f>
        <v>0</v>
      </c>
      <c r="H44" s="2969">
        <f>'CALCULS Eaux usées'!$J$195</f>
        <v>0</v>
      </c>
      <c r="I44" s="2969">
        <f>'CALCULS Eaux usées'!$J$196</f>
        <v>0</v>
      </c>
      <c r="J44" s="2969">
        <f>'CALCULS Eaux usées'!$J$197</f>
        <v>0</v>
      </c>
    </row>
    <row r="45" spans="1:10">
      <c r="A45" s="2990" t="str">
        <f>MAMH_BD_MUN!$A$20</f>
        <v>ERREUR</v>
      </c>
      <c r="B45" t="s">
        <v>97</v>
      </c>
      <c r="C45" t="s">
        <v>107</v>
      </c>
      <c r="D45" s="2049">
        <f>'CALCULS Eaux usées'!$K$191</f>
        <v>6</v>
      </c>
      <c r="E45" s="2969">
        <f>'CALCULS Eaux usées'!$K$192</f>
        <v>0</v>
      </c>
      <c r="F45" s="2969">
        <f>'CALCULS Eaux usées'!$K$193</f>
        <v>0</v>
      </c>
      <c r="G45" s="2969">
        <f>'CALCULS Eaux usées'!$K$194</f>
        <v>0</v>
      </c>
      <c r="H45" s="2969">
        <f>'CALCULS Eaux usées'!$K$195</f>
        <v>0</v>
      </c>
      <c r="I45" s="2969">
        <f>'CALCULS Eaux usées'!$K$196</f>
        <v>0</v>
      </c>
      <c r="J45" s="2969">
        <f>'CALCULS Eaux usées'!$K$197</f>
        <v>0</v>
      </c>
    </row>
    <row r="46" spans="1:10">
      <c r="A46" s="2990" t="str">
        <f>MAMH_BD_MUN!$A$20</f>
        <v>ERREUR</v>
      </c>
      <c r="B46" t="s">
        <v>97</v>
      </c>
      <c r="C46" t="s">
        <v>107</v>
      </c>
      <c r="D46" s="2049">
        <f>'CALCULS Eaux usées'!$L$191</f>
        <v>7</v>
      </c>
      <c r="E46" s="2969">
        <f>'CALCULS Eaux usées'!$L$192</f>
        <v>0</v>
      </c>
      <c r="F46" s="2969">
        <f>'CALCULS Eaux usées'!$L$193</f>
        <v>0</v>
      </c>
      <c r="G46" s="2969">
        <f>'CALCULS Eaux usées'!$L$194</f>
        <v>0</v>
      </c>
      <c r="H46" s="2969">
        <f>'CALCULS Eaux usées'!$L$195</f>
        <v>0</v>
      </c>
      <c r="I46" s="2969">
        <f>'CALCULS Eaux usées'!$L$196</f>
        <v>0</v>
      </c>
      <c r="J46" s="2969">
        <f>'CALCULS Eaux usées'!$L$197</f>
        <v>0</v>
      </c>
    </row>
    <row r="47" spans="1:10">
      <c r="A47" s="2990" t="str">
        <f>MAMH_BD_MUN!$A$20</f>
        <v>ERREUR</v>
      </c>
      <c r="B47" t="s">
        <v>97</v>
      </c>
      <c r="C47" t="s">
        <v>107</v>
      </c>
      <c r="D47" s="2049">
        <f>'CALCULS Eaux usées'!$M$191</f>
        <v>8</v>
      </c>
      <c r="E47" s="2969">
        <f>'CALCULS Eaux usées'!$M$192</f>
        <v>0</v>
      </c>
      <c r="F47" s="2969">
        <f>'CALCULS Eaux usées'!$M$193</f>
        <v>0</v>
      </c>
      <c r="G47" s="2969">
        <f>'CALCULS Eaux usées'!$M$194</f>
        <v>0</v>
      </c>
      <c r="H47" s="2969">
        <f>'CALCULS Eaux usées'!$M$195</f>
        <v>0</v>
      </c>
      <c r="I47" s="2969">
        <f>'CALCULS Eaux usées'!$M$196</f>
        <v>0</v>
      </c>
      <c r="J47" s="2969">
        <f>'CALCULS Eaux usées'!$M$197</f>
        <v>0</v>
      </c>
    </row>
    <row r="48" spans="1:10">
      <c r="A48" s="2990" t="str">
        <f>MAMH_BD_MUN!$A$20</f>
        <v>ERREUR</v>
      </c>
      <c r="B48" t="s">
        <v>97</v>
      </c>
      <c r="C48" t="s">
        <v>107</v>
      </c>
      <c r="D48" s="2049">
        <f>'CALCULS Eaux usées'!$N$191</f>
        <v>9</v>
      </c>
      <c r="E48" s="2969">
        <f>'CALCULS Eaux usées'!$N$192</f>
        <v>0</v>
      </c>
      <c r="F48" s="2969">
        <f>'CALCULS Eaux usées'!$N$193</f>
        <v>0</v>
      </c>
      <c r="G48" s="2969">
        <f>'CALCULS Eaux usées'!$N$194</f>
        <v>0</v>
      </c>
      <c r="H48" s="2969">
        <f>'CALCULS Eaux usées'!$N$195</f>
        <v>0</v>
      </c>
      <c r="I48" s="2969">
        <f>'CALCULS Eaux usées'!$N$196</f>
        <v>0</v>
      </c>
      <c r="J48" s="2969">
        <f>'CALCULS Eaux usées'!$N$197</f>
        <v>0</v>
      </c>
    </row>
    <row r="49" spans="1:10">
      <c r="A49" s="2990" t="str">
        <f>MAMH_BD_MUN!$A$20</f>
        <v>ERREUR</v>
      </c>
      <c r="B49" t="s">
        <v>97</v>
      </c>
      <c r="C49" t="s">
        <v>108</v>
      </c>
      <c r="D49" s="2049">
        <f>'CALCULS Eaux usées'!$E$208</f>
        <v>0</v>
      </c>
      <c r="E49" s="2969">
        <f>'CALCULS Eaux usées'!$E$209</f>
        <v>0</v>
      </c>
      <c r="F49" s="2969">
        <f>'CALCULS Eaux usées'!$E$210</f>
        <v>0</v>
      </c>
      <c r="G49" s="2969">
        <f>'CALCULS Eaux usées'!$E$211</f>
        <v>0</v>
      </c>
      <c r="H49" s="2969">
        <f>'CALCULS Eaux usées'!$E$212</f>
        <v>0</v>
      </c>
      <c r="I49" s="2969">
        <f>'CALCULS Eaux usées'!$E$213</f>
        <v>0</v>
      </c>
      <c r="J49" s="2969">
        <f>'CALCULS Eaux usées'!$E$214</f>
        <v>0</v>
      </c>
    </row>
    <row r="50" spans="1:10">
      <c r="A50" s="2990" t="str">
        <f>MAMH_BD_MUN!$A$20</f>
        <v>ERREUR</v>
      </c>
      <c r="B50" t="s">
        <v>97</v>
      </c>
      <c r="C50" t="s">
        <v>108</v>
      </c>
      <c r="D50" s="2049">
        <f>'CALCULS Eaux usées'!$F$208</f>
        <v>1</v>
      </c>
      <c r="E50" s="2969">
        <f>'CALCULS Eaux usées'!$F$209</f>
        <v>0</v>
      </c>
      <c r="F50" s="2969">
        <f>'CALCULS Eaux usées'!$F$210</f>
        <v>0</v>
      </c>
      <c r="G50" s="2969">
        <f>'CALCULS Eaux usées'!$F$211</f>
        <v>0</v>
      </c>
      <c r="H50" s="2969">
        <f>'CALCULS Eaux usées'!$F$212</f>
        <v>0</v>
      </c>
      <c r="I50" s="2969">
        <f>'CALCULS Eaux usées'!$F$213</f>
        <v>0</v>
      </c>
      <c r="J50" s="2969">
        <f>'CALCULS Eaux usées'!$F$214</f>
        <v>0</v>
      </c>
    </row>
    <row r="51" spans="1:10">
      <c r="A51" s="2990" t="str">
        <f>MAMH_BD_MUN!$A$20</f>
        <v>ERREUR</v>
      </c>
      <c r="B51" t="s">
        <v>97</v>
      </c>
      <c r="C51" t="s">
        <v>108</v>
      </c>
      <c r="D51" s="2049">
        <f>'CALCULS Eaux usées'!$G$208</f>
        <v>2</v>
      </c>
      <c r="E51" s="2969">
        <f>'CALCULS Eaux usées'!$G$209</f>
        <v>0</v>
      </c>
      <c r="F51" s="2969">
        <f>'CALCULS Eaux usées'!$G$210</f>
        <v>0</v>
      </c>
      <c r="G51" s="2969">
        <f>'CALCULS Eaux usées'!$G$211</f>
        <v>0</v>
      </c>
      <c r="H51" s="2969">
        <f>'CALCULS Eaux usées'!$G$212</f>
        <v>0</v>
      </c>
      <c r="I51" s="2969">
        <f>'CALCULS Eaux usées'!$G$213</f>
        <v>0</v>
      </c>
      <c r="J51" s="2969">
        <f>'CALCULS Eaux usées'!$G$214</f>
        <v>0</v>
      </c>
    </row>
    <row r="52" spans="1:10">
      <c r="A52" s="2990" t="str">
        <f>MAMH_BD_MUN!$A$20</f>
        <v>ERREUR</v>
      </c>
      <c r="B52" t="s">
        <v>97</v>
      </c>
      <c r="C52" t="s">
        <v>108</v>
      </c>
      <c r="D52" s="2049">
        <f>'CALCULS Eaux usées'!$H$208</f>
        <v>3</v>
      </c>
      <c r="E52" s="2969">
        <f>'CALCULS Eaux usées'!$H$209</f>
        <v>0</v>
      </c>
      <c r="F52" s="2969">
        <f>'CALCULS Eaux usées'!$H$210</f>
        <v>0</v>
      </c>
      <c r="G52" s="2969">
        <f>'CALCULS Eaux usées'!$H$211</f>
        <v>0</v>
      </c>
      <c r="H52" s="2969">
        <f>'CALCULS Eaux usées'!$H$212</f>
        <v>0</v>
      </c>
      <c r="I52" s="2969">
        <f>'CALCULS Eaux usées'!$H$213</f>
        <v>0</v>
      </c>
      <c r="J52" s="2969">
        <f>'CALCULS Eaux usées'!$H$214</f>
        <v>0</v>
      </c>
    </row>
    <row r="53" spans="1:10">
      <c r="A53" s="2990" t="str">
        <f>MAMH_BD_MUN!$A$20</f>
        <v>ERREUR</v>
      </c>
      <c r="B53" t="s">
        <v>97</v>
      </c>
      <c r="C53" t="s">
        <v>108</v>
      </c>
      <c r="D53" s="2049">
        <f>'CALCULS Eaux usées'!$I$208</f>
        <v>4</v>
      </c>
      <c r="E53" s="2969">
        <f>'CALCULS Eaux usées'!$I$209</f>
        <v>0</v>
      </c>
      <c r="F53" s="2969">
        <f>'CALCULS Eaux usées'!$I$210</f>
        <v>0</v>
      </c>
      <c r="G53" s="2969">
        <f>'CALCULS Eaux usées'!$I$211</f>
        <v>0</v>
      </c>
      <c r="H53" s="2969">
        <f>'CALCULS Eaux usées'!$I$212</f>
        <v>0</v>
      </c>
      <c r="I53" s="2969">
        <f>'CALCULS Eaux usées'!$I$213</f>
        <v>0</v>
      </c>
      <c r="J53" s="2969">
        <f>'CALCULS Eaux usées'!$I$214</f>
        <v>0</v>
      </c>
    </row>
    <row r="54" spans="1:10">
      <c r="A54" s="2990" t="str">
        <f>MAMH_BD_MUN!$A$20</f>
        <v>ERREUR</v>
      </c>
      <c r="B54" t="s">
        <v>97</v>
      </c>
      <c r="C54" t="s">
        <v>108</v>
      </c>
      <c r="D54" s="2049">
        <f>'CALCULS Eaux usées'!$J$208</f>
        <v>5</v>
      </c>
      <c r="E54" s="2969">
        <f>'CALCULS Eaux usées'!$J$209</f>
        <v>0</v>
      </c>
      <c r="F54" s="2969">
        <f>'CALCULS Eaux usées'!$J$210</f>
        <v>0</v>
      </c>
      <c r="G54" s="2969">
        <f>'CALCULS Eaux usées'!$J$211</f>
        <v>0</v>
      </c>
      <c r="H54" s="2969">
        <f>'CALCULS Eaux usées'!$J$212</f>
        <v>0</v>
      </c>
      <c r="I54" s="2969">
        <f>'CALCULS Eaux usées'!$J$213</f>
        <v>0</v>
      </c>
      <c r="J54" s="2969">
        <f>'CALCULS Eaux usées'!$J$214</f>
        <v>0</v>
      </c>
    </row>
    <row r="55" spans="1:10">
      <c r="A55" s="2990" t="str">
        <f>MAMH_BD_MUN!$A$20</f>
        <v>ERREUR</v>
      </c>
      <c r="B55" t="s">
        <v>97</v>
      </c>
      <c r="C55" t="s">
        <v>108</v>
      </c>
      <c r="D55" s="2049">
        <f>'CALCULS Eaux usées'!$K$208</f>
        <v>6</v>
      </c>
      <c r="E55" s="2969">
        <f>'CALCULS Eaux usées'!$K$209</f>
        <v>0</v>
      </c>
      <c r="F55" s="2969">
        <f>'CALCULS Eaux usées'!$K$210</f>
        <v>0</v>
      </c>
      <c r="G55" s="2969">
        <f>'CALCULS Eaux usées'!$K$211</f>
        <v>0</v>
      </c>
      <c r="H55" s="2969">
        <f>'CALCULS Eaux usées'!$K$212</f>
        <v>0</v>
      </c>
      <c r="I55" s="2969">
        <f>'CALCULS Eaux usées'!$K$213</f>
        <v>0</v>
      </c>
      <c r="J55" s="2969">
        <f>'CALCULS Eaux usées'!$K$214</f>
        <v>0</v>
      </c>
    </row>
    <row r="56" spans="1:10">
      <c r="A56" s="2990" t="str">
        <f>MAMH_BD_MUN!$A$20</f>
        <v>ERREUR</v>
      </c>
      <c r="B56" t="s">
        <v>97</v>
      </c>
      <c r="C56" t="s">
        <v>108</v>
      </c>
      <c r="D56" s="2049">
        <f>'CALCULS Eaux usées'!$L$208</f>
        <v>7</v>
      </c>
      <c r="E56" s="2969">
        <f>'CALCULS Eaux usées'!$L$209</f>
        <v>0</v>
      </c>
      <c r="F56" s="2969">
        <f>'CALCULS Eaux usées'!$L$210</f>
        <v>0</v>
      </c>
      <c r="G56" s="2969">
        <f>'CALCULS Eaux usées'!$L$211</f>
        <v>0</v>
      </c>
      <c r="H56" s="2969">
        <f>'CALCULS Eaux usées'!$L$212</f>
        <v>0</v>
      </c>
      <c r="I56" s="2969">
        <f>'CALCULS Eaux usées'!$L$213</f>
        <v>0</v>
      </c>
      <c r="J56" s="2969">
        <f>'CALCULS Eaux usées'!$L$214</f>
        <v>0</v>
      </c>
    </row>
    <row r="57" spans="1:10">
      <c r="A57" s="2990" t="str">
        <f>MAMH_BD_MUN!$A$20</f>
        <v>ERREUR</v>
      </c>
      <c r="B57" t="s">
        <v>97</v>
      </c>
      <c r="C57" t="s">
        <v>108</v>
      </c>
      <c r="D57" s="2049">
        <f>'CALCULS Eaux usées'!$M$208</f>
        <v>8</v>
      </c>
      <c r="E57" s="2969">
        <f>'CALCULS Eaux usées'!$M$209</f>
        <v>0</v>
      </c>
      <c r="F57" s="2969">
        <f>'CALCULS Eaux usées'!$M$210</f>
        <v>0</v>
      </c>
      <c r="G57" s="2969">
        <f>'CALCULS Eaux usées'!$M$211</f>
        <v>0</v>
      </c>
      <c r="H57" s="2969">
        <f>'CALCULS Eaux usées'!$M$212</f>
        <v>0</v>
      </c>
      <c r="I57" s="2969">
        <f>'CALCULS Eaux usées'!$M$213</f>
        <v>0</v>
      </c>
      <c r="J57" s="2969">
        <f>'CALCULS Eaux usées'!$M$214</f>
        <v>0</v>
      </c>
    </row>
    <row r="58" spans="1:10">
      <c r="A58" s="2990" t="str">
        <f>MAMH_BD_MUN!$A$20</f>
        <v>ERREUR</v>
      </c>
      <c r="B58" t="s">
        <v>97</v>
      </c>
      <c r="C58" t="s">
        <v>108</v>
      </c>
      <c r="D58" s="2049">
        <f>'CALCULS Eaux usées'!$N$208</f>
        <v>9</v>
      </c>
      <c r="E58" s="2969">
        <f>'CALCULS Eaux usées'!$N$209</f>
        <v>0</v>
      </c>
      <c r="F58" s="2969">
        <f>'CALCULS Eaux usées'!$N$210</f>
        <v>0</v>
      </c>
      <c r="G58" s="2969">
        <f>'CALCULS Eaux usées'!$N$211</f>
        <v>0</v>
      </c>
      <c r="H58" s="2969">
        <f>'CALCULS Eaux usées'!$N$212</f>
        <v>0</v>
      </c>
      <c r="I58" s="2969">
        <f>'CALCULS Eaux usées'!$N$213</f>
        <v>0</v>
      </c>
      <c r="J58" s="2969">
        <f>'CALCULS Eaux usées'!$N$214</f>
        <v>0</v>
      </c>
    </row>
    <row r="59" spans="1:10">
      <c r="A59" s="2990" t="str">
        <f>MAMH_BD_MUN!$A$21</f>
        <v>ERREUR</v>
      </c>
      <c r="B59" t="s">
        <v>98</v>
      </c>
      <c r="C59" t="s">
        <v>107</v>
      </c>
      <c r="D59" s="2049">
        <f>'CALCULS Eaux pluviales'!$E$191</f>
        <v>0</v>
      </c>
      <c r="E59" s="2969">
        <f>'CALCULS Eaux pluviales'!$E$192</f>
        <v>0</v>
      </c>
      <c r="F59" s="2969">
        <f>'CALCULS Eaux pluviales'!$E$193</f>
        <v>0</v>
      </c>
      <c r="G59" s="2969">
        <f>'CALCULS Eaux pluviales'!$E$194</f>
        <v>0</v>
      </c>
      <c r="H59" s="2969">
        <f>'CALCULS Eaux pluviales'!$E$195</f>
        <v>0</v>
      </c>
      <c r="I59" s="2969">
        <f>'CALCULS Eaux pluviales'!$E$196</f>
        <v>0</v>
      </c>
      <c r="J59" s="2969">
        <f>'CALCULS Eaux pluviales'!$E$197</f>
        <v>0</v>
      </c>
    </row>
    <row r="60" spans="1:10">
      <c r="A60" s="2990" t="str">
        <f>MAMH_BD_MUN!$A$21</f>
        <v>ERREUR</v>
      </c>
      <c r="B60" t="s">
        <v>98</v>
      </c>
      <c r="C60" t="s">
        <v>107</v>
      </c>
      <c r="D60" s="2049">
        <f>'CALCULS Eaux pluviales'!$F$191</f>
        <v>1</v>
      </c>
      <c r="E60" s="2969">
        <f>'CALCULS Eaux pluviales'!$F$192</f>
        <v>0</v>
      </c>
      <c r="F60" s="2969">
        <f>'CALCULS Eaux pluviales'!$F$193</f>
        <v>0</v>
      </c>
      <c r="G60" s="2969">
        <f>'CALCULS Eaux pluviales'!$F$194</f>
        <v>0</v>
      </c>
      <c r="H60" s="2969">
        <f>'CALCULS Eaux pluviales'!$F$195</f>
        <v>0</v>
      </c>
      <c r="I60" s="2969">
        <f>'CALCULS Eaux pluviales'!$F$196</f>
        <v>0</v>
      </c>
      <c r="J60" s="2969">
        <f>'CALCULS Eaux pluviales'!$F$197</f>
        <v>0</v>
      </c>
    </row>
    <row r="61" spans="1:10">
      <c r="A61" s="2990" t="str">
        <f>MAMH_BD_MUN!$A$21</f>
        <v>ERREUR</v>
      </c>
      <c r="B61" t="s">
        <v>98</v>
      </c>
      <c r="C61" t="s">
        <v>107</v>
      </c>
      <c r="D61" s="2049">
        <f>'CALCULS Eaux pluviales'!$G$191</f>
        <v>2</v>
      </c>
      <c r="E61" s="2969">
        <f>'CALCULS Eaux pluviales'!$G$192</f>
        <v>0</v>
      </c>
      <c r="F61" s="2969">
        <f>'CALCULS Eaux pluviales'!$G$193</f>
        <v>0</v>
      </c>
      <c r="G61" s="2969">
        <f>'CALCULS Eaux pluviales'!$G$194</f>
        <v>0</v>
      </c>
      <c r="H61" s="2969">
        <f>'CALCULS Eaux pluviales'!$G$195</f>
        <v>0</v>
      </c>
      <c r="I61" s="2969">
        <f>'CALCULS Eaux pluviales'!$G$196</f>
        <v>0</v>
      </c>
      <c r="J61" s="2969">
        <f>'CALCULS Eaux pluviales'!$G$197</f>
        <v>0</v>
      </c>
    </row>
    <row r="62" spans="1:10">
      <c r="A62" s="2990" t="str">
        <f>MAMH_BD_MUN!$A$21</f>
        <v>ERREUR</v>
      </c>
      <c r="B62" t="s">
        <v>98</v>
      </c>
      <c r="C62" t="s">
        <v>107</v>
      </c>
      <c r="D62" s="2049">
        <f>'CALCULS Eaux pluviales'!$H$191</f>
        <v>3</v>
      </c>
      <c r="E62" s="2969">
        <f>'CALCULS Eaux pluviales'!$H$192</f>
        <v>0</v>
      </c>
      <c r="F62" s="2969">
        <f>'CALCULS Eaux pluviales'!$H$193</f>
        <v>0</v>
      </c>
      <c r="G62" s="2969">
        <f>'CALCULS Eaux pluviales'!$H$194</f>
        <v>0</v>
      </c>
      <c r="H62" s="2969">
        <f>'CALCULS Eaux pluviales'!$H$195</f>
        <v>0</v>
      </c>
      <c r="I62" s="2969">
        <f>'CALCULS Eaux pluviales'!$H$196</f>
        <v>0</v>
      </c>
      <c r="J62" s="2969">
        <f>'CALCULS Eaux pluviales'!$H$197</f>
        <v>0</v>
      </c>
    </row>
    <row r="63" spans="1:10">
      <c r="A63" s="2990" t="str">
        <f>MAMH_BD_MUN!$A$21</f>
        <v>ERREUR</v>
      </c>
      <c r="B63" t="s">
        <v>98</v>
      </c>
      <c r="C63" t="s">
        <v>107</v>
      </c>
      <c r="D63" s="2049">
        <f>'CALCULS Eaux pluviales'!$I$191</f>
        <v>4</v>
      </c>
      <c r="E63" s="2969">
        <f>'CALCULS Eaux pluviales'!$I$192</f>
        <v>0</v>
      </c>
      <c r="F63" s="2969">
        <f>'CALCULS Eaux pluviales'!$I$193</f>
        <v>0</v>
      </c>
      <c r="G63" s="2969">
        <f>'CALCULS Eaux pluviales'!$I$194</f>
        <v>0</v>
      </c>
      <c r="H63" s="2969">
        <f>'CALCULS Eaux pluviales'!$I$195</f>
        <v>0</v>
      </c>
      <c r="I63" s="2969">
        <f>'CALCULS Eaux pluviales'!$I$196</f>
        <v>0</v>
      </c>
      <c r="J63" s="2969">
        <f>'CALCULS Eaux pluviales'!$I$197</f>
        <v>0</v>
      </c>
    </row>
    <row r="64" spans="1:10">
      <c r="A64" s="2990" t="str">
        <f>MAMH_BD_MUN!$A$21</f>
        <v>ERREUR</v>
      </c>
      <c r="B64" t="s">
        <v>98</v>
      </c>
      <c r="C64" t="s">
        <v>107</v>
      </c>
      <c r="D64" s="2049">
        <f>'CALCULS Eaux pluviales'!$J$191</f>
        <v>5</v>
      </c>
      <c r="E64" s="2969">
        <f>'CALCULS Eaux pluviales'!$J$192</f>
        <v>0</v>
      </c>
      <c r="F64" s="2969">
        <f>'CALCULS Eaux pluviales'!$J$193</f>
        <v>0</v>
      </c>
      <c r="G64" s="2969">
        <f>'CALCULS Eaux pluviales'!$J$194</f>
        <v>0</v>
      </c>
      <c r="H64" s="2969">
        <f>'CALCULS Eaux pluviales'!$J$195</f>
        <v>0</v>
      </c>
      <c r="I64" s="2969">
        <f>'CALCULS Eaux pluviales'!$J$196</f>
        <v>0</v>
      </c>
      <c r="J64" s="2969">
        <f>'CALCULS Eaux pluviales'!$J$197</f>
        <v>0</v>
      </c>
    </row>
    <row r="65" spans="1:10">
      <c r="A65" s="2990" t="str">
        <f>MAMH_BD_MUN!$A$21</f>
        <v>ERREUR</v>
      </c>
      <c r="B65" t="s">
        <v>98</v>
      </c>
      <c r="C65" t="s">
        <v>107</v>
      </c>
      <c r="D65" s="2049">
        <f>'CALCULS Eaux pluviales'!$K$191</f>
        <v>6</v>
      </c>
      <c r="E65" s="2969">
        <f>'CALCULS Eaux pluviales'!$K$192</f>
        <v>0</v>
      </c>
      <c r="F65" s="2969">
        <f>'CALCULS Eaux pluviales'!$K$193</f>
        <v>0</v>
      </c>
      <c r="G65" s="2969">
        <f>'CALCULS Eaux pluviales'!$K$194</f>
        <v>0</v>
      </c>
      <c r="H65" s="2969">
        <f>'CALCULS Eaux pluviales'!$K$195</f>
        <v>0</v>
      </c>
      <c r="I65" s="2969">
        <f>'CALCULS Eaux pluviales'!$K$196</f>
        <v>0</v>
      </c>
      <c r="J65" s="2969">
        <f>'CALCULS Eaux pluviales'!$K$197</f>
        <v>0</v>
      </c>
    </row>
    <row r="66" spans="1:10">
      <c r="A66" s="2990" t="str">
        <f>MAMH_BD_MUN!$A$21</f>
        <v>ERREUR</v>
      </c>
      <c r="B66" t="s">
        <v>98</v>
      </c>
      <c r="C66" t="s">
        <v>107</v>
      </c>
      <c r="D66" s="2049">
        <f>'CALCULS Eaux pluviales'!$L$191</f>
        <v>7</v>
      </c>
      <c r="E66" s="2969">
        <f>'CALCULS Eaux pluviales'!$L$192</f>
        <v>0</v>
      </c>
      <c r="F66" s="2969">
        <f>'CALCULS Eaux pluviales'!$L$193</f>
        <v>0</v>
      </c>
      <c r="G66" s="2969">
        <f>'CALCULS Eaux pluviales'!$L$194</f>
        <v>0</v>
      </c>
      <c r="H66" s="2969">
        <f>'CALCULS Eaux pluviales'!$L$195</f>
        <v>0</v>
      </c>
      <c r="I66" s="2969">
        <f>'CALCULS Eaux pluviales'!$L$196</f>
        <v>0</v>
      </c>
      <c r="J66" s="2969">
        <f>'CALCULS Eaux pluviales'!$L$197</f>
        <v>0</v>
      </c>
    </row>
    <row r="67" spans="1:10">
      <c r="A67" s="2990" t="str">
        <f>MAMH_BD_MUN!$A$21</f>
        <v>ERREUR</v>
      </c>
      <c r="B67" t="s">
        <v>98</v>
      </c>
      <c r="C67" t="s">
        <v>107</v>
      </c>
      <c r="D67" s="2049">
        <f>'CALCULS Eaux pluviales'!$M$191</f>
        <v>8</v>
      </c>
      <c r="E67" s="2969">
        <f>'CALCULS Eaux pluviales'!$M$192</f>
        <v>0</v>
      </c>
      <c r="F67" s="2969">
        <f>'CALCULS Eaux pluviales'!$M$193</f>
        <v>0</v>
      </c>
      <c r="G67" s="2969">
        <f>'CALCULS Eaux pluviales'!$M$194</f>
        <v>0</v>
      </c>
      <c r="H67" s="2969">
        <f>'CALCULS Eaux pluviales'!$M$195</f>
        <v>0</v>
      </c>
      <c r="I67" s="2969">
        <f>'CALCULS Eaux pluviales'!$M$196</f>
        <v>0</v>
      </c>
      <c r="J67" s="2969">
        <f>'CALCULS Eaux pluviales'!$M$197</f>
        <v>0</v>
      </c>
    </row>
    <row r="68" spans="1:10">
      <c r="A68" s="2990" t="str">
        <f>MAMH_BD_MUN!$A$21</f>
        <v>ERREUR</v>
      </c>
      <c r="B68" t="s">
        <v>98</v>
      </c>
      <c r="C68" t="s">
        <v>107</v>
      </c>
      <c r="D68" s="2049">
        <f>'CALCULS Eaux pluviales'!$N$191</f>
        <v>9</v>
      </c>
      <c r="E68" s="2969">
        <f>'CALCULS Eaux pluviales'!$N$192</f>
        <v>0</v>
      </c>
      <c r="F68" s="2969">
        <f>'CALCULS Eaux pluviales'!$N$193</f>
        <v>0</v>
      </c>
      <c r="G68" s="2969">
        <f>'CALCULS Eaux pluviales'!$N$194</f>
        <v>0</v>
      </c>
      <c r="H68" s="2969">
        <f>'CALCULS Eaux pluviales'!$N$195</f>
        <v>0</v>
      </c>
      <c r="I68" s="2969">
        <f>'CALCULS Eaux pluviales'!$N$196</f>
        <v>0</v>
      </c>
      <c r="J68" s="2969">
        <f>'CALCULS Eaux pluviales'!$N$197</f>
        <v>0</v>
      </c>
    </row>
    <row r="69" spans="1:10">
      <c r="A69" s="2990" t="str">
        <f>MAMH_BD_MUN!$A$21</f>
        <v>ERREUR</v>
      </c>
      <c r="B69" t="s">
        <v>98</v>
      </c>
      <c r="C69" t="s">
        <v>108</v>
      </c>
      <c r="D69" s="2049">
        <f>'CALCULS Eaux pluviales'!$E$208</f>
        <v>0</v>
      </c>
      <c r="E69" s="2969">
        <f>'CALCULS Eaux pluviales'!$E$209</f>
        <v>0</v>
      </c>
      <c r="F69" s="2969">
        <f>'CALCULS Eaux pluviales'!$E$210</f>
        <v>0</v>
      </c>
      <c r="G69" s="2969">
        <f>'CALCULS Eaux pluviales'!$E$211</f>
        <v>0</v>
      </c>
      <c r="H69" s="2969">
        <f>'CALCULS Eaux pluviales'!$E$212</f>
        <v>0</v>
      </c>
      <c r="I69" s="2969">
        <f>'CALCULS Eaux pluviales'!$E$213</f>
        <v>0</v>
      </c>
      <c r="J69" s="2969">
        <f>'CALCULS Eaux pluviales'!$E$214</f>
        <v>0</v>
      </c>
    </row>
    <row r="70" spans="1:10">
      <c r="A70" s="2990" t="str">
        <f>MAMH_BD_MUN!$A$21</f>
        <v>ERREUR</v>
      </c>
      <c r="B70" t="s">
        <v>98</v>
      </c>
      <c r="C70" t="s">
        <v>108</v>
      </c>
      <c r="D70" s="2049">
        <f>'CALCULS Eaux pluviales'!$F$208</f>
        <v>1</v>
      </c>
      <c r="E70" s="2969">
        <f>'CALCULS Eaux pluviales'!$F$209</f>
        <v>0</v>
      </c>
      <c r="F70" s="2969">
        <f>'CALCULS Eaux pluviales'!$F$210</f>
        <v>0</v>
      </c>
      <c r="G70" s="2969">
        <f>'CALCULS Eaux pluviales'!$F$211</f>
        <v>0</v>
      </c>
      <c r="H70" s="2969">
        <f>'CALCULS Eaux pluviales'!$F$212</f>
        <v>0</v>
      </c>
      <c r="I70" s="2969">
        <f>'CALCULS Eaux pluviales'!$F$213</f>
        <v>0</v>
      </c>
      <c r="J70" s="2969">
        <f>'CALCULS Eaux pluviales'!$F$214</f>
        <v>0</v>
      </c>
    </row>
    <row r="71" spans="1:10">
      <c r="A71" s="2990" t="str">
        <f>MAMH_BD_MUN!$A$21</f>
        <v>ERREUR</v>
      </c>
      <c r="B71" t="s">
        <v>98</v>
      </c>
      <c r="C71" t="s">
        <v>108</v>
      </c>
      <c r="D71" s="2049">
        <f>'CALCULS Eaux pluviales'!$G$208</f>
        <v>2</v>
      </c>
      <c r="E71" s="2969">
        <f>'CALCULS Eaux pluviales'!$G$209</f>
        <v>0</v>
      </c>
      <c r="F71" s="2969">
        <f>'CALCULS Eaux pluviales'!$G$210</f>
        <v>0</v>
      </c>
      <c r="G71" s="2969">
        <f>'CALCULS Eaux pluviales'!$G$211</f>
        <v>0</v>
      </c>
      <c r="H71" s="2969">
        <f>'CALCULS Eaux pluviales'!$G$212</f>
        <v>0</v>
      </c>
      <c r="I71" s="2969">
        <f>'CALCULS Eaux pluviales'!$G$213</f>
        <v>0</v>
      </c>
      <c r="J71" s="2969">
        <f>'CALCULS Eaux pluviales'!$G$214</f>
        <v>0</v>
      </c>
    </row>
    <row r="72" spans="1:10">
      <c r="A72" s="2990" t="str">
        <f>MAMH_BD_MUN!$A$21</f>
        <v>ERREUR</v>
      </c>
      <c r="B72" t="s">
        <v>98</v>
      </c>
      <c r="C72" t="s">
        <v>108</v>
      </c>
      <c r="D72" s="2049">
        <f>'CALCULS Eaux pluviales'!$H$208</f>
        <v>3</v>
      </c>
      <c r="E72" s="2969">
        <f>'CALCULS Eaux pluviales'!$H$209</f>
        <v>0</v>
      </c>
      <c r="F72" s="2969">
        <f>'CALCULS Eaux pluviales'!$H$210</f>
        <v>0</v>
      </c>
      <c r="G72" s="2969">
        <f>'CALCULS Eaux pluviales'!$H$211</f>
        <v>0</v>
      </c>
      <c r="H72" s="2969">
        <f>'CALCULS Eaux pluviales'!$H$212</f>
        <v>0</v>
      </c>
      <c r="I72" s="2969">
        <f>'CALCULS Eaux pluviales'!$H$213</f>
        <v>0</v>
      </c>
      <c r="J72" s="2969">
        <f>'CALCULS Eaux pluviales'!$H$214</f>
        <v>0</v>
      </c>
    </row>
    <row r="73" spans="1:10">
      <c r="A73" s="2990" t="str">
        <f>MAMH_BD_MUN!$A$21</f>
        <v>ERREUR</v>
      </c>
      <c r="B73" t="s">
        <v>98</v>
      </c>
      <c r="C73" t="s">
        <v>108</v>
      </c>
      <c r="D73" s="2049">
        <f>'CALCULS Eaux pluviales'!$I$208</f>
        <v>4</v>
      </c>
      <c r="E73" s="2969">
        <f>'CALCULS Eaux pluviales'!$I$209</f>
        <v>0</v>
      </c>
      <c r="F73" s="2969">
        <f>'CALCULS Eaux pluviales'!$I$210</f>
        <v>0</v>
      </c>
      <c r="G73" s="2969">
        <f>'CALCULS Eaux pluviales'!$I$211</f>
        <v>0</v>
      </c>
      <c r="H73" s="2969">
        <f>'CALCULS Eaux pluviales'!$I$212</f>
        <v>0</v>
      </c>
      <c r="I73" s="2969">
        <f>'CALCULS Eaux pluviales'!$I$213</f>
        <v>0</v>
      </c>
      <c r="J73" s="2969">
        <f>'CALCULS Eaux pluviales'!$I$214</f>
        <v>0</v>
      </c>
    </row>
    <row r="74" spans="1:10">
      <c r="A74" s="2990" t="str">
        <f>MAMH_BD_MUN!$A$21</f>
        <v>ERREUR</v>
      </c>
      <c r="B74" t="s">
        <v>98</v>
      </c>
      <c r="C74" t="s">
        <v>108</v>
      </c>
      <c r="D74" s="2049">
        <f>'CALCULS Eaux pluviales'!$J$208</f>
        <v>5</v>
      </c>
      <c r="E74" s="2969">
        <f>'CALCULS Eaux pluviales'!$J$209</f>
        <v>0</v>
      </c>
      <c r="F74" s="2969">
        <f>'CALCULS Eaux pluviales'!$J$210</f>
        <v>0</v>
      </c>
      <c r="G74" s="2969">
        <f>'CALCULS Eaux pluviales'!$J$211</f>
        <v>0</v>
      </c>
      <c r="H74" s="2969">
        <f>'CALCULS Eaux pluviales'!$J$212</f>
        <v>0</v>
      </c>
      <c r="I74" s="2969">
        <f>'CALCULS Eaux pluviales'!$J$213</f>
        <v>0</v>
      </c>
      <c r="J74" s="2969">
        <f>'CALCULS Eaux pluviales'!$J$214</f>
        <v>0</v>
      </c>
    </row>
    <row r="75" spans="1:10">
      <c r="A75" s="2990" t="str">
        <f>MAMH_BD_MUN!$A$21</f>
        <v>ERREUR</v>
      </c>
      <c r="B75" t="s">
        <v>98</v>
      </c>
      <c r="C75" t="s">
        <v>108</v>
      </c>
      <c r="D75" s="2049">
        <f>'CALCULS Eaux pluviales'!$K$208</f>
        <v>6</v>
      </c>
      <c r="E75" s="2969">
        <f>'CALCULS Eaux pluviales'!$K$209</f>
        <v>0</v>
      </c>
      <c r="F75" s="2969">
        <f>'CALCULS Eaux pluviales'!$K$210</f>
        <v>0</v>
      </c>
      <c r="G75" s="2969">
        <f>'CALCULS Eaux pluviales'!$K$211</f>
        <v>0</v>
      </c>
      <c r="H75" s="2969">
        <f>'CALCULS Eaux pluviales'!$K$212</f>
        <v>0</v>
      </c>
      <c r="I75" s="2969">
        <f>'CALCULS Eaux pluviales'!$K$213</f>
        <v>0</v>
      </c>
      <c r="J75" s="2969">
        <f>'CALCULS Eaux pluviales'!$K$214</f>
        <v>0</v>
      </c>
    </row>
    <row r="76" spans="1:10">
      <c r="A76" s="2990" t="str">
        <f>MAMH_BD_MUN!$A$21</f>
        <v>ERREUR</v>
      </c>
      <c r="B76" t="s">
        <v>98</v>
      </c>
      <c r="C76" t="s">
        <v>108</v>
      </c>
      <c r="D76" s="2049">
        <f>'CALCULS Eaux pluviales'!$L$208</f>
        <v>7</v>
      </c>
      <c r="E76" s="2969">
        <f>'CALCULS Eaux pluviales'!$L$209</f>
        <v>0</v>
      </c>
      <c r="F76" s="2969">
        <f>'CALCULS Eaux pluviales'!$L$210</f>
        <v>0</v>
      </c>
      <c r="G76" s="2969">
        <f>'CALCULS Eaux pluviales'!$L$211</f>
        <v>0</v>
      </c>
      <c r="H76" s="2969">
        <f>'CALCULS Eaux pluviales'!$L$212</f>
        <v>0</v>
      </c>
      <c r="I76" s="2969">
        <f>'CALCULS Eaux pluviales'!$L$213</f>
        <v>0</v>
      </c>
      <c r="J76" s="2969">
        <f>'CALCULS Eaux pluviales'!$L$214</f>
        <v>0</v>
      </c>
    </row>
    <row r="77" spans="1:10">
      <c r="A77" s="2990" t="str">
        <f>MAMH_BD_MUN!$A$21</f>
        <v>ERREUR</v>
      </c>
      <c r="B77" t="s">
        <v>98</v>
      </c>
      <c r="C77" t="s">
        <v>108</v>
      </c>
      <c r="D77" s="2049">
        <f>'CALCULS Eaux pluviales'!$M$208</f>
        <v>8</v>
      </c>
      <c r="E77" s="2969">
        <f>'CALCULS Eaux pluviales'!$M$209</f>
        <v>0</v>
      </c>
      <c r="F77" s="2969">
        <f>'CALCULS Eaux pluviales'!$M$210</f>
        <v>0</v>
      </c>
      <c r="G77" s="2969">
        <f>'CALCULS Eaux pluviales'!$M$211</f>
        <v>0</v>
      </c>
      <c r="H77" s="2969">
        <f>'CALCULS Eaux pluviales'!$M$212</f>
        <v>0</v>
      </c>
      <c r="I77" s="2969">
        <f>'CALCULS Eaux pluviales'!$M$213</f>
        <v>0</v>
      </c>
      <c r="J77" s="2969">
        <f>'CALCULS Eaux pluviales'!$M$214</f>
        <v>0</v>
      </c>
    </row>
    <row r="78" spans="1:10">
      <c r="A78" s="2990" t="str">
        <f>MAMH_BD_MUN!$A$21</f>
        <v>ERREUR</v>
      </c>
      <c r="B78" t="s">
        <v>98</v>
      </c>
      <c r="C78" t="s">
        <v>108</v>
      </c>
      <c r="D78" s="2049">
        <f>'CALCULS Eaux pluviales'!$N$208</f>
        <v>9</v>
      </c>
      <c r="E78" s="2969">
        <f>'CALCULS Eaux pluviales'!$N$209</f>
        <v>0</v>
      </c>
      <c r="F78" s="2969">
        <f>'CALCULS Eaux pluviales'!$N$210</f>
        <v>0</v>
      </c>
      <c r="G78" s="2969">
        <f>'CALCULS Eaux pluviales'!$N$211</f>
        <v>0</v>
      </c>
      <c r="H78" s="2969">
        <f>'CALCULS Eaux pluviales'!$N$212</f>
        <v>0</v>
      </c>
      <c r="I78" s="2969">
        <f>'CALCULS Eaux pluviales'!$N$213</f>
        <v>0</v>
      </c>
      <c r="J78" s="2969">
        <f>'CALCULS Eaux pluviales'!$N$214</f>
        <v>0</v>
      </c>
    </row>
  </sheetData>
  <sheetProtection algorithmName="SHA-512" hashValue="6k/RVIIFb7Qs+Hv+fsVkGohgdhBTqhmvOAkdCCgB6DKQAha+gwkrYRI1vaduaXb7lqNhpcx5MpQClDUUO8CWZw==" saltValue="83jvu5kpBpHz4JXnOYdq1w==" spinCount="100000" sheet="1" objects="1" scenarios="1"/>
  <conditionalFormatting sqref="A19:A78">
    <cfRule type="cellIs" dxfId="676" priority="1" operator="equal">
      <formula>"ERREUR"</formula>
    </cfRule>
  </conditionalFormatting>
  <conditionalFormatting sqref="B14:J14">
    <cfRule type="cellIs" dxfId="675" priority="3" operator="greaterThan">
      <formula>1</formula>
    </cfRule>
  </conditionalFormatting>
  <conditionalFormatting sqref="B15:J15">
    <cfRule type="cellIs" dxfId="674" priority="2" operator="equal">
      <formula>FALSE</formula>
    </cfRule>
  </conditionalFormatting>
  <pageMargins left="0.7" right="0.7" top="0.75" bottom="0.75" header="0.3" footer="0.3"/>
  <pageSetup orientation="portrait" r:id="rId1"/>
  <legacy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pageSetUpPr fitToPage="1"/>
  </sheetPr>
  <dimension ref="A2:U282"/>
  <sheetViews>
    <sheetView showGridLines="0" topLeftCell="A209" zoomScaleNormal="100" workbookViewId="0">
      <selection activeCell="M291" sqref="M291"/>
    </sheetView>
  </sheetViews>
  <sheetFormatPr baseColWidth="10" defaultColWidth="11.44140625" defaultRowHeight="14.4"/>
  <cols>
    <col min="1" max="1" width="2" customWidth="1"/>
    <col min="2" max="2" width="3.109375" customWidth="1"/>
    <col min="3" max="3" width="9.88671875" customWidth="1"/>
    <col min="4" max="4" width="17.44140625" customWidth="1"/>
    <col min="5" max="5" width="4.6640625" customWidth="1"/>
    <col min="6" max="6" width="7" customWidth="1"/>
    <col min="7" max="7" width="16.6640625" customWidth="1"/>
    <col min="8" max="10" width="15.44140625" customWidth="1"/>
    <col min="11" max="11" width="11.5546875" customWidth="1"/>
    <col min="12" max="14" width="15.44140625" customWidth="1"/>
    <col min="15" max="15" width="16.6640625" customWidth="1"/>
    <col min="16" max="16" width="6.5546875" customWidth="1"/>
    <col min="17" max="17" width="3" customWidth="1"/>
    <col min="18" max="18" width="16.6640625" customWidth="1"/>
    <col min="19" max="19" width="2.6640625" customWidth="1"/>
    <col min="20" max="20" width="18.33203125" customWidth="1"/>
    <col min="21" max="21" width="3.33203125" customWidth="1"/>
  </cols>
  <sheetData>
    <row r="2" spans="1:21" ht="36" customHeight="1">
      <c r="B2" s="772" t="s">
        <v>155</v>
      </c>
      <c r="C2" s="769"/>
      <c r="D2" s="769"/>
      <c r="E2" s="769"/>
      <c r="F2" s="769"/>
      <c r="G2" s="769"/>
      <c r="H2" s="769"/>
      <c r="I2" s="769"/>
      <c r="J2" s="769"/>
      <c r="K2" s="769"/>
      <c r="L2" s="769"/>
      <c r="M2" s="769"/>
      <c r="N2" s="770"/>
      <c r="O2" s="770"/>
      <c r="P2" s="770"/>
      <c r="Q2" s="770"/>
      <c r="R2" s="773"/>
      <c r="S2" s="773"/>
      <c r="T2" s="773"/>
    </row>
    <row r="3" spans="1:21" ht="24" customHeight="1">
      <c r="B3" s="588"/>
      <c r="C3" s="587"/>
      <c r="D3" s="587"/>
      <c r="E3" s="587"/>
      <c r="P3" s="3070" t="s">
        <v>4041</v>
      </c>
      <c r="Q3" s="3071"/>
      <c r="R3" s="3071"/>
      <c r="S3" s="3071"/>
      <c r="T3" s="3071"/>
    </row>
    <row r="4" spans="1:21" ht="3.75" customHeight="1">
      <c r="B4" s="588"/>
      <c r="C4" s="587"/>
      <c r="D4" s="587"/>
      <c r="E4" s="587"/>
      <c r="R4" s="1178"/>
      <c r="S4" s="1178"/>
      <c r="T4" s="1178"/>
    </row>
    <row r="5" spans="1:21">
      <c r="A5" s="614"/>
      <c r="B5" s="3973" t="s">
        <v>2109</v>
      </c>
      <c r="C5" s="3973"/>
      <c r="D5" s="3973"/>
      <c r="E5" s="3973"/>
      <c r="F5" s="3973"/>
      <c r="G5" s="3973"/>
      <c r="H5" s="3973"/>
      <c r="I5" s="3973"/>
      <c r="J5" s="3973"/>
      <c r="K5" s="3973"/>
      <c r="L5" s="3973"/>
      <c r="M5" s="3973"/>
      <c r="N5" s="3973"/>
      <c r="O5" s="3973"/>
      <c r="P5" s="3973"/>
      <c r="Q5" s="3973"/>
      <c r="R5" s="3973"/>
      <c r="S5" s="3973"/>
      <c r="T5" s="3973"/>
      <c r="U5" s="3973"/>
    </row>
    <row r="6" spans="1:21" ht="18.75" customHeight="1">
      <c r="A6" s="614"/>
      <c r="B6" s="1303" t="s">
        <v>2110</v>
      </c>
      <c r="C6" s="2311"/>
      <c r="D6" s="2311"/>
      <c r="E6" s="2311"/>
      <c r="F6" s="2311"/>
      <c r="G6" s="2311"/>
      <c r="H6" s="2311"/>
      <c r="I6" s="2311"/>
      <c r="J6" s="2311"/>
      <c r="K6" s="2311"/>
      <c r="L6" s="2311"/>
      <c r="M6" s="2311"/>
      <c r="N6" s="2311"/>
      <c r="O6" s="2311"/>
      <c r="P6" s="2311"/>
      <c r="Q6" s="2311"/>
      <c r="R6" s="2311"/>
      <c r="S6" s="2311"/>
      <c r="T6" s="2311"/>
      <c r="U6" s="2311"/>
    </row>
    <row r="7" spans="1:21" ht="18.75" customHeight="1">
      <c r="A7" s="614"/>
      <c r="B7" s="2311" t="s">
        <v>2285</v>
      </c>
      <c r="C7" s="2311"/>
      <c r="D7" s="2311"/>
      <c r="E7" s="2311"/>
      <c r="F7" s="2311"/>
      <c r="G7" s="2311"/>
      <c r="H7" s="2311"/>
      <c r="I7" s="2311"/>
      <c r="J7" s="2311"/>
      <c r="K7" s="2311"/>
      <c r="L7" s="2311"/>
      <c r="M7" s="2311"/>
      <c r="N7" s="2311"/>
      <c r="O7" s="2311"/>
      <c r="P7" s="2311"/>
      <c r="Q7" s="2311"/>
      <c r="R7" s="2311"/>
      <c r="S7" s="2311"/>
      <c r="T7" s="2311"/>
      <c r="U7" s="2311"/>
    </row>
    <row r="8" spans="1:21" ht="31.5" customHeight="1">
      <c r="B8" s="3974"/>
      <c r="C8" s="3974"/>
      <c r="D8" s="3974"/>
      <c r="E8" s="3974"/>
      <c r="F8" s="3974"/>
      <c r="G8" s="3974"/>
      <c r="H8" s="3974"/>
      <c r="I8" s="3974"/>
      <c r="J8" s="3974"/>
      <c r="K8" s="3974"/>
      <c r="L8" s="3974"/>
      <c r="M8" s="3974"/>
      <c r="N8" s="3974"/>
      <c r="O8" s="3974"/>
      <c r="P8" s="3974"/>
      <c r="Q8" s="3974"/>
      <c r="R8" s="3974"/>
      <c r="S8" s="3974"/>
      <c r="T8" s="3974"/>
      <c r="U8" s="3974"/>
    </row>
    <row r="9" spans="1:21" ht="27.75" customHeight="1">
      <c r="B9" s="938" t="s">
        <v>2111</v>
      </c>
      <c r="C9" s="2299"/>
      <c r="D9" s="2299"/>
      <c r="E9" s="2297"/>
      <c r="F9" s="2297"/>
      <c r="G9" s="2297"/>
      <c r="H9" s="2297"/>
      <c r="I9" s="2297"/>
      <c r="J9" s="2297"/>
      <c r="K9" s="2297"/>
      <c r="L9" s="2297"/>
      <c r="M9" s="2297"/>
      <c r="N9" s="2297"/>
      <c r="O9" s="2297"/>
      <c r="P9" s="2297"/>
      <c r="Q9" s="2297"/>
      <c r="R9" s="2298"/>
      <c r="S9" s="2298"/>
      <c r="T9" s="2298"/>
    </row>
    <row r="10" spans="1:21" ht="14.25" customHeight="1" thickBot="1">
      <c r="B10" s="2307"/>
      <c r="C10" s="2308"/>
      <c r="D10" s="2308"/>
      <c r="E10" s="2309"/>
      <c r="F10" s="2309"/>
      <c r="G10" s="2309"/>
      <c r="H10" s="2309"/>
      <c r="I10" s="2309"/>
      <c r="J10" s="2309"/>
      <c r="K10" s="2309"/>
      <c r="L10" s="2309"/>
      <c r="M10" s="2309"/>
      <c r="N10" s="2309"/>
      <c r="O10" s="2309"/>
      <c r="P10" s="2309"/>
      <c r="Q10" s="2309"/>
      <c r="R10" s="2310"/>
      <c r="S10" s="2310"/>
      <c r="T10" s="2310"/>
    </row>
    <row r="11" spans="1:21" ht="22.5" customHeight="1">
      <c r="B11" s="3966" t="s">
        <v>2112</v>
      </c>
      <c r="C11" s="3967"/>
      <c r="D11" s="3967"/>
      <c r="E11" s="3967"/>
      <c r="F11" s="3967"/>
      <c r="G11" s="3967"/>
      <c r="H11" s="3967"/>
      <c r="I11" s="3967"/>
      <c r="J11" s="3967"/>
      <c r="K11" s="3967"/>
      <c r="L11" s="3967"/>
      <c r="M11" s="3967"/>
      <c r="N11" s="3967"/>
      <c r="O11" s="3967"/>
      <c r="P11" s="3967"/>
      <c r="Q11" s="3967"/>
      <c r="R11" s="3967"/>
      <c r="S11" s="3967"/>
      <c r="T11" s="3968"/>
      <c r="U11" s="614"/>
    </row>
    <row r="12" spans="1:21" ht="26.25" customHeight="1">
      <c r="B12" s="3969"/>
      <c r="C12" s="3970"/>
      <c r="D12" s="3970"/>
      <c r="E12" s="3970"/>
      <c r="F12" s="3970"/>
      <c r="G12" s="3970"/>
      <c r="H12" s="3970"/>
      <c r="I12" s="3970"/>
      <c r="J12" s="3970"/>
      <c r="K12" s="3970"/>
      <c r="L12" s="3970"/>
      <c r="M12" s="3970"/>
      <c r="N12" s="3970"/>
      <c r="O12" s="3970"/>
      <c r="P12" s="3970"/>
      <c r="Q12" s="3970"/>
      <c r="R12" s="3970"/>
      <c r="S12" s="3970"/>
      <c r="T12" s="3971"/>
      <c r="U12" s="614"/>
    </row>
    <row r="13" spans="1:21" s="6" customFormat="1" ht="21" customHeight="1">
      <c r="B13" s="3979" t="s">
        <v>2113</v>
      </c>
      <c r="C13" s="3980"/>
      <c r="D13" s="3980"/>
      <c r="E13" s="3980"/>
      <c r="F13" s="3980"/>
      <c r="G13" s="2379"/>
      <c r="H13" s="2380"/>
      <c r="I13" s="2380"/>
      <c r="J13" s="2380"/>
      <c r="K13" s="2380"/>
      <c r="L13" s="2380"/>
      <c r="M13" s="2380"/>
      <c r="N13" s="2380"/>
      <c r="O13" s="2380"/>
      <c r="P13" s="2380"/>
      <c r="Q13" s="2380"/>
      <c r="R13" s="2380"/>
      <c r="S13" s="2380"/>
      <c r="T13" s="2381"/>
      <c r="U13" s="2378"/>
    </row>
    <row r="14" spans="1:21" s="6" customFormat="1" ht="21" customHeight="1">
      <c r="B14" s="3944" t="s">
        <v>2114</v>
      </c>
      <c r="C14" s="3945"/>
      <c r="D14" s="3945"/>
      <c r="E14" s="2379"/>
      <c r="F14" s="2379"/>
      <c r="G14" s="2379"/>
      <c r="H14" s="2380"/>
      <c r="I14" s="2380"/>
      <c r="J14" s="2380"/>
      <c r="K14" s="2380"/>
      <c r="L14" s="2380"/>
      <c r="M14" s="2380"/>
      <c r="N14" s="2380"/>
      <c r="O14" s="2380"/>
      <c r="P14" s="2380"/>
      <c r="Q14" s="2380"/>
      <c r="R14" s="2380"/>
      <c r="S14" s="2380"/>
      <c r="T14" s="2381"/>
      <c r="U14" s="2378"/>
    </row>
    <row r="15" spans="1:21" s="6" customFormat="1" ht="21" customHeight="1">
      <c r="B15" s="3944" t="s">
        <v>2115</v>
      </c>
      <c r="C15" s="3945"/>
      <c r="D15" s="3945"/>
      <c r="E15" s="2379"/>
      <c r="F15" s="2379"/>
      <c r="G15" s="2379"/>
      <c r="H15" s="2380"/>
      <c r="I15" s="2380"/>
      <c r="J15" s="2380"/>
      <c r="K15" s="2380"/>
      <c r="L15" s="2380"/>
      <c r="M15" s="2380"/>
      <c r="N15" s="2380"/>
      <c r="O15" s="2380"/>
      <c r="P15" s="2380"/>
      <c r="Q15" s="2380"/>
      <c r="R15" s="2380"/>
      <c r="S15" s="2380"/>
      <c r="T15" s="2381"/>
      <c r="U15" s="2378"/>
    </row>
    <row r="16" spans="1:21" s="6" customFormat="1" ht="21" customHeight="1">
      <c r="B16" s="3944" t="s">
        <v>2116</v>
      </c>
      <c r="C16" s="3945"/>
      <c r="D16" s="3945"/>
      <c r="E16" s="2379"/>
      <c r="F16" s="2379"/>
      <c r="G16" s="2379"/>
      <c r="H16" s="2380"/>
      <c r="I16" s="2380"/>
      <c r="J16" s="2380"/>
      <c r="K16" s="2380"/>
      <c r="L16" s="2380"/>
      <c r="M16" s="2380"/>
      <c r="N16" s="2380"/>
      <c r="O16" s="2380"/>
      <c r="P16" s="2380"/>
      <c r="Q16" s="2380"/>
      <c r="R16" s="2380"/>
      <c r="S16" s="2380"/>
      <c r="T16" s="2381"/>
      <c r="U16" s="2378"/>
    </row>
    <row r="17" spans="1:21" s="6" customFormat="1" ht="21" customHeight="1">
      <c r="B17" s="3944" t="s">
        <v>2117</v>
      </c>
      <c r="C17" s="3945"/>
      <c r="D17" s="3945"/>
      <c r="E17" s="3945"/>
      <c r="F17" s="3945"/>
      <c r="G17" s="3945"/>
      <c r="H17" s="2380"/>
      <c r="I17" s="2380"/>
      <c r="J17" s="2380"/>
      <c r="K17" s="2380"/>
      <c r="L17" s="2380"/>
      <c r="M17" s="2380"/>
      <c r="N17" s="2380"/>
      <c r="O17" s="2380"/>
      <c r="P17" s="2380"/>
      <c r="Q17" s="2380"/>
      <c r="R17" s="2380"/>
      <c r="S17" s="2380"/>
      <c r="T17" s="2381"/>
      <c r="U17" s="2378"/>
    </row>
    <row r="18" spans="1:21" s="6" customFormat="1" ht="21" customHeight="1">
      <c r="B18" s="3944" t="s">
        <v>2118</v>
      </c>
      <c r="C18" s="3945"/>
      <c r="D18" s="3945"/>
      <c r="E18" s="2379"/>
      <c r="F18" s="2379"/>
      <c r="G18" s="2379"/>
      <c r="H18" s="2380"/>
      <c r="I18" s="2380"/>
      <c r="J18" s="2380"/>
      <c r="K18" s="2380"/>
      <c r="L18" s="2380"/>
      <c r="M18" s="2380"/>
      <c r="N18" s="2380"/>
      <c r="O18" s="2380"/>
      <c r="P18" s="2380"/>
      <c r="Q18" s="2380"/>
      <c r="R18" s="2380"/>
      <c r="S18" s="2380"/>
      <c r="T18" s="2381"/>
      <c r="U18" s="2378"/>
    </row>
    <row r="19" spans="1:21" s="6" customFormat="1" ht="21" customHeight="1">
      <c r="B19" s="3944" t="s">
        <v>2119</v>
      </c>
      <c r="C19" s="3945"/>
      <c r="D19" s="3945"/>
      <c r="E19" s="2379"/>
      <c r="F19" s="2379"/>
      <c r="G19" s="2379"/>
      <c r="H19" s="2380"/>
      <c r="I19" s="2380"/>
      <c r="J19" s="2380"/>
      <c r="K19" s="2380"/>
      <c r="L19" s="2380"/>
      <c r="M19" s="2380"/>
      <c r="N19" s="2380"/>
      <c r="O19" s="2380"/>
      <c r="P19" s="2380"/>
      <c r="Q19" s="2380"/>
      <c r="R19" s="2380"/>
      <c r="S19" s="2380"/>
      <c r="T19" s="2381"/>
      <c r="U19" s="2378"/>
    </row>
    <row r="20" spans="1:21" s="6" customFormat="1" ht="25.5" customHeight="1" thickBot="1">
      <c r="B20" s="3984" t="s">
        <v>2120</v>
      </c>
      <c r="C20" s="3985"/>
      <c r="D20" s="3985"/>
      <c r="E20" s="2382"/>
      <c r="F20" s="2382"/>
      <c r="G20" s="2382"/>
      <c r="H20" s="2383"/>
      <c r="I20" s="2383"/>
      <c r="J20" s="2383"/>
      <c r="K20" s="2383"/>
      <c r="L20" s="2383"/>
      <c r="M20" s="2383"/>
      <c r="N20" s="2383"/>
      <c r="O20" s="2383"/>
      <c r="P20" s="2383"/>
      <c r="Q20" s="2383"/>
      <c r="R20" s="2383"/>
      <c r="S20" s="2383"/>
      <c r="T20" s="2384"/>
      <c r="U20" s="2378"/>
    </row>
    <row r="21" spans="1:21" ht="30.75" customHeight="1">
      <c r="B21" s="1303"/>
      <c r="C21" s="963"/>
      <c r="D21" s="963"/>
      <c r="E21" s="963"/>
      <c r="F21" s="963"/>
      <c r="G21" s="963"/>
      <c r="H21" s="963"/>
      <c r="I21" s="963"/>
      <c r="J21" s="963"/>
      <c r="K21" s="963"/>
      <c r="L21" s="963"/>
      <c r="M21" s="963"/>
      <c r="N21" s="963"/>
      <c r="O21" s="963"/>
      <c r="P21" s="963"/>
      <c r="Q21" s="963"/>
      <c r="R21" s="963"/>
      <c r="S21" s="963"/>
      <c r="T21" s="963"/>
    </row>
    <row r="22" spans="1:21" ht="27.75" customHeight="1">
      <c r="A22" s="683"/>
      <c r="B22" s="938" t="s">
        <v>2121</v>
      </c>
      <c r="C22" s="2305"/>
      <c r="D22" s="2305"/>
      <c r="E22" s="2305"/>
      <c r="F22" s="2305"/>
      <c r="G22" s="2305"/>
      <c r="H22" s="2305"/>
      <c r="I22" s="2305"/>
      <c r="J22" s="2305"/>
      <c r="K22" s="2305"/>
      <c r="L22" s="2305"/>
      <c r="M22" s="2305"/>
      <c r="N22" s="2305"/>
      <c r="O22" s="2305"/>
      <c r="P22" s="2305"/>
      <c r="Q22" s="2305"/>
      <c r="R22" s="2305"/>
      <c r="S22" s="2305"/>
      <c r="T22" s="2305"/>
    </row>
    <row r="23" spans="1:21" ht="15" thickBot="1">
      <c r="B23" s="1303"/>
      <c r="C23" s="963"/>
      <c r="D23" s="963"/>
      <c r="E23" s="963"/>
      <c r="F23" s="963"/>
      <c r="G23" s="963"/>
      <c r="H23" s="963"/>
      <c r="I23" s="963"/>
      <c r="J23" s="963"/>
      <c r="K23" s="963"/>
      <c r="L23" s="963"/>
      <c r="M23" s="963"/>
      <c r="N23" s="963"/>
      <c r="O23" s="963"/>
      <c r="P23" s="963"/>
      <c r="Q23" s="963"/>
      <c r="R23" s="963"/>
      <c r="S23" s="963"/>
      <c r="T23" s="963"/>
    </row>
    <row r="24" spans="1:21" ht="28.5" customHeight="1">
      <c r="B24" s="2314"/>
      <c r="C24" s="2385" t="s">
        <v>2122</v>
      </c>
      <c r="D24" s="2315"/>
      <c r="E24" s="2315"/>
      <c r="F24" s="2315"/>
      <c r="G24" s="2315"/>
      <c r="H24" s="2315"/>
      <c r="I24" s="2315"/>
      <c r="J24" s="2315"/>
      <c r="K24" s="2315"/>
      <c r="L24" s="2315"/>
      <c r="M24" s="2315"/>
      <c r="N24" s="2315"/>
      <c r="O24" s="2315"/>
      <c r="P24" s="2315"/>
      <c r="Q24" s="2315"/>
      <c r="R24" s="2315"/>
      <c r="S24" s="2315"/>
      <c r="T24" s="2316"/>
    </row>
    <row r="25" spans="1:21" ht="23.25" customHeight="1">
      <c r="B25" s="2317"/>
      <c r="C25" s="2304" t="s">
        <v>2123</v>
      </c>
      <c r="D25" s="2318"/>
      <c r="E25" s="2318"/>
      <c r="F25" s="2318"/>
      <c r="G25" s="2318"/>
      <c r="H25" s="2318"/>
      <c r="I25" s="2318"/>
      <c r="J25" s="2318"/>
      <c r="K25" s="2318"/>
      <c r="L25" s="2318"/>
      <c r="M25" s="2318"/>
      <c r="N25" s="2318"/>
      <c r="O25" s="2318"/>
      <c r="P25" s="2318"/>
      <c r="Q25" s="2318"/>
      <c r="R25" s="2318"/>
      <c r="S25" s="2318"/>
      <c r="T25" s="2319"/>
    </row>
    <row r="26" spans="1:21" ht="24" customHeight="1">
      <c r="B26" s="2317"/>
      <c r="C26" s="2389" t="s">
        <v>2124</v>
      </c>
      <c r="D26" s="2318"/>
      <c r="E26" s="2318"/>
      <c r="F26" s="2318"/>
      <c r="G26" s="2318"/>
      <c r="H26" s="2318"/>
      <c r="I26" s="2318"/>
      <c r="J26" s="2318"/>
      <c r="K26" s="2318"/>
      <c r="L26" s="2318"/>
      <c r="M26" s="2318"/>
      <c r="N26" s="2318"/>
      <c r="O26" s="2318"/>
      <c r="P26" s="2318"/>
      <c r="Q26" s="2318"/>
      <c r="R26" s="2318"/>
      <c r="S26" s="2318"/>
      <c r="T26" s="2319"/>
    </row>
    <row r="27" spans="1:21" ht="18" customHeight="1">
      <c r="B27" s="2386"/>
      <c r="C27" s="2306" t="s">
        <v>2125</v>
      </c>
      <c r="D27" s="832"/>
      <c r="E27" s="832"/>
      <c r="F27" s="832"/>
      <c r="G27" s="832"/>
      <c r="H27" s="832"/>
      <c r="I27" s="832"/>
      <c r="J27" s="832"/>
      <c r="K27" s="832"/>
      <c r="L27" s="832"/>
      <c r="M27" s="832"/>
      <c r="N27" s="832"/>
      <c r="O27" s="832"/>
      <c r="P27" s="832"/>
      <c r="Q27" s="832"/>
      <c r="R27" s="832"/>
      <c r="S27" s="832"/>
      <c r="T27" s="2387"/>
    </row>
    <row r="28" spans="1:21" ht="24" customHeight="1">
      <c r="B28" s="2317"/>
      <c r="C28" s="2389" t="s">
        <v>255</v>
      </c>
      <c r="D28" s="2318"/>
      <c r="E28" s="2318"/>
      <c r="F28" s="2318"/>
      <c r="G28" s="2318"/>
      <c r="H28" s="2318"/>
      <c r="I28" s="2318"/>
      <c r="J28" s="2318"/>
      <c r="K28" s="2318"/>
      <c r="L28" s="2318"/>
      <c r="M28" s="2318"/>
      <c r="N28" s="2318"/>
      <c r="O28" s="2318"/>
      <c r="P28" s="2318"/>
      <c r="Q28" s="2318"/>
      <c r="R28" s="2318"/>
      <c r="S28" s="2318"/>
      <c r="T28" s="2319"/>
    </row>
    <row r="29" spans="1:21" ht="18" customHeight="1">
      <c r="B29" s="2386"/>
      <c r="C29" s="2306" t="s">
        <v>2126</v>
      </c>
      <c r="D29" s="832"/>
      <c r="E29" s="832"/>
      <c r="F29" s="832"/>
      <c r="G29" s="832"/>
      <c r="H29" s="832"/>
      <c r="I29" s="832"/>
      <c r="J29" s="832"/>
      <c r="K29" s="832"/>
      <c r="L29" s="832"/>
      <c r="M29" s="832"/>
      <c r="N29" s="832"/>
      <c r="O29" s="832"/>
      <c r="P29" s="832"/>
      <c r="Q29" s="832"/>
      <c r="R29" s="832"/>
      <c r="S29" s="832"/>
      <c r="T29" s="2387"/>
    </row>
    <row r="30" spans="1:21" ht="24" customHeight="1">
      <c r="B30" s="2317"/>
      <c r="C30" s="2389" t="s">
        <v>2127</v>
      </c>
      <c r="D30" s="2318"/>
      <c r="E30" s="2318"/>
      <c r="F30" s="2318"/>
      <c r="G30" s="2318"/>
      <c r="H30" s="2318"/>
      <c r="I30" s="2318"/>
      <c r="J30" s="2318"/>
      <c r="K30" s="2318"/>
      <c r="L30" s="2318"/>
      <c r="M30" s="2318"/>
      <c r="N30" s="2318"/>
      <c r="O30" s="2318"/>
      <c r="P30" s="2318"/>
      <c r="Q30" s="2318"/>
      <c r="R30" s="2318"/>
      <c r="S30" s="2318"/>
      <c r="T30" s="2319"/>
    </row>
    <row r="31" spans="1:21" ht="18" customHeight="1">
      <c r="B31" s="2386"/>
      <c r="C31" s="2306" t="s">
        <v>2128</v>
      </c>
      <c r="D31" s="832"/>
      <c r="E31" s="832"/>
      <c r="F31" s="832"/>
      <c r="G31" s="832"/>
      <c r="H31" s="832"/>
      <c r="I31" s="832"/>
      <c r="J31" s="832"/>
      <c r="K31" s="832"/>
      <c r="L31" s="832"/>
      <c r="M31" s="832"/>
      <c r="N31" s="832"/>
      <c r="O31" s="832"/>
      <c r="P31" s="832"/>
      <c r="Q31" s="832"/>
      <c r="R31" s="832"/>
      <c r="S31" s="832"/>
      <c r="T31" s="2387"/>
    </row>
    <row r="32" spans="1:21" ht="24" customHeight="1">
      <c r="B32" s="2317"/>
      <c r="C32" s="2389" t="s">
        <v>2129</v>
      </c>
      <c r="D32" s="2318"/>
      <c r="E32" s="2318"/>
      <c r="F32" s="2318"/>
      <c r="G32" s="2318"/>
      <c r="H32" s="2318"/>
      <c r="I32" s="2318"/>
      <c r="J32" s="2318"/>
      <c r="K32" s="2318"/>
      <c r="L32" s="2318"/>
      <c r="M32" s="2318"/>
      <c r="N32" s="2318"/>
      <c r="O32" s="2318"/>
      <c r="P32" s="2318"/>
      <c r="Q32" s="2318"/>
      <c r="R32" s="2318"/>
      <c r="S32" s="2318"/>
      <c r="T32" s="2319"/>
    </row>
    <row r="33" spans="2:20" ht="18" customHeight="1">
      <c r="B33" s="2386"/>
      <c r="C33" s="2320" t="s">
        <v>2130</v>
      </c>
      <c r="D33" s="832"/>
      <c r="E33" s="832"/>
      <c r="F33" s="832"/>
      <c r="G33" s="832"/>
      <c r="H33" s="832"/>
      <c r="I33" s="832"/>
      <c r="J33" s="832"/>
      <c r="K33" s="832"/>
      <c r="L33" s="832"/>
      <c r="M33" s="832"/>
      <c r="N33" s="832"/>
      <c r="O33" s="832"/>
      <c r="P33" s="832"/>
      <c r="Q33" s="832"/>
      <c r="R33" s="832"/>
      <c r="S33" s="832"/>
      <c r="T33" s="2387"/>
    </row>
    <row r="34" spans="2:20" ht="18" customHeight="1">
      <c r="B34" s="2386"/>
      <c r="C34" s="2373" t="s">
        <v>2131</v>
      </c>
      <c r="D34" s="2388"/>
      <c r="E34" s="2388"/>
      <c r="F34" s="2388"/>
      <c r="G34" s="2388"/>
      <c r="H34" s="2388"/>
      <c r="I34" s="2388"/>
      <c r="J34" s="832"/>
      <c r="K34" s="832"/>
      <c r="L34" s="832"/>
      <c r="M34" s="832"/>
      <c r="N34" s="832"/>
      <c r="O34" s="832"/>
      <c r="P34" s="832"/>
      <c r="Q34" s="832"/>
      <c r="R34" s="832"/>
      <c r="S34" s="832"/>
      <c r="T34" s="2387"/>
    </row>
    <row r="35" spans="2:20" ht="18" customHeight="1">
      <c r="B35" s="2386"/>
      <c r="C35" s="2320" t="s">
        <v>2132</v>
      </c>
      <c r="D35" s="832"/>
      <c r="E35" s="832"/>
      <c r="F35" s="832"/>
      <c r="G35" s="832"/>
      <c r="H35" s="832"/>
      <c r="I35" s="832"/>
      <c r="J35" s="832"/>
      <c r="K35" s="832"/>
      <c r="L35" s="832"/>
      <c r="M35" s="832"/>
      <c r="N35" s="832"/>
      <c r="O35" s="832"/>
      <c r="P35" s="832"/>
      <c r="Q35" s="832"/>
      <c r="R35" s="832"/>
      <c r="S35" s="832"/>
      <c r="T35" s="2387"/>
    </row>
    <row r="36" spans="2:20" ht="18" customHeight="1">
      <c r="B36" s="2386"/>
      <c r="C36" s="2320" t="s">
        <v>2133</v>
      </c>
      <c r="D36" s="832"/>
      <c r="E36" s="832"/>
      <c r="F36" s="832"/>
      <c r="G36" s="832"/>
      <c r="H36" s="832"/>
      <c r="I36" s="832"/>
      <c r="J36" s="832"/>
      <c r="K36" s="832"/>
      <c r="L36" s="832"/>
      <c r="M36" s="832"/>
      <c r="N36" s="832"/>
      <c r="O36" s="832"/>
      <c r="P36" s="832"/>
      <c r="Q36" s="832"/>
      <c r="R36" s="832"/>
      <c r="S36" s="832"/>
      <c r="T36" s="2387"/>
    </row>
    <row r="37" spans="2:20" ht="18" customHeight="1">
      <c r="B37" s="2386"/>
      <c r="C37" s="2373" t="s">
        <v>2134</v>
      </c>
      <c r="D37" s="2388"/>
      <c r="E37" s="2388"/>
      <c r="F37" s="2388"/>
      <c r="G37" s="2388"/>
      <c r="H37" s="2388"/>
      <c r="I37" s="2388"/>
      <c r="J37" s="2388"/>
      <c r="K37" s="2388"/>
      <c r="L37" s="2388"/>
      <c r="M37" s="2388"/>
      <c r="N37" s="2388"/>
      <c r="O37" s="2388"/>
      <c r="P37" s="2388"/>
      <c r="Q37" s="832"/>
      <c r="R37" s="832"/>
      <c r="S37" s="832"/>
      <c r="T37" s="2387"/>
    </row>
    <row r="38" spans="2:20" ht="24" customHeight="1">
      <c r="B38" s="2317"/>
      <c r="C38" s="2389" t="s">
        <v>2135</v>
      </c>
      <c r="D38" s="2318"/>
      <c r="E38" s="2318"/>
      <c r="F38" s="2318"/>
      <c r="G38" s="2318"/>
      <c r="H38" s="2318"/>
      <c r="I38" s="2318"/>
      <c r="J38" s="2318"/>
      <c r="K38" s="2318"/>
      <c r="L38" s="2318"/>
      <c r="M38" s="2318"/>
      <c r="N38" s="2318"/>
      <c r="O38" s="2318"/>
      <c r="P38" s="2318"/>
      <c r="Q38" s="2318"/>
      <c r="R38" s="2318"/>
      <c r="S38" s="2318"/>
      <c r="T38" s="2319"/>
    </row>
    <row r="39" spans="2:20" ht="18" customHeight="1">
      <c r="B39" s="2386"/>
      <c r="C39" s="2320" t="s">
        <v>2136</v>
      </c>
      <c r="D39" s="832"/>
      <c r="E39" s="832"/>
      <c r="F39" s="832"/>
      <c r="G39" s="832"/>
      <c r="H39" s="832"/>
      <c r="I39" s="832"/>
      <c r="J39" s="832"/>
      <c r="K39" s="832"/>
      <c r="L39" s="832"/>
      <c r="M39" s="832"/>
      <c r="N39" s="832"/>
      <c r="O39" s="832"/>
      <c r="P39" s="832"/>
      <c r="Q39" s="832"/>
      <c r="R39" s="832"/>
      <c r="S39" s="832"/>
      <c r="T39" s="2387"/>
    </row>
    <row r="40" spans="2:20" ht="18" customHeight="1">
      <c r="B40" s="2386"/>
      <c r="C40" s="2320" t="s">
        <v>2137</v>
      </c>
      <c r="D40" s="832"/>
      <c r="E40" s="832"/>
      <c r="F40" s="832"/>
      <c r="G40" s="832"/>
      <c r="H40" s="832"/>
      <c r="I40" s="832"/>
      <c r="J40" s="832"/>
      <c r="K40" s="832"/>
      <c r="L40" s="832"/>
      <c r="M40" s="832"/>
      <c r="N40" s="832"/>
      <c r="O40" s="832"/>
      <c r="P40" s="832"/>
      <c r="Q40" s="832"/>
      <c r="R40" s="832"/>
      <c r="S40" s="832"/>
      <c r="T40" s="2387"/>
    </row>
    <row r="41" spans="2:20" ht="24" customHeight="1">
      <c r="B41" s="2317"/>
      <c r="C41" s="2389" t="s">
        <v>2138</v>
      </c>
      <c r="D41" s="2318"/>
      <c r="E41" s="2318"/>
      <c r="F41" s="2318"/>
      <c r="G41" s="2318"/>
      <c r="H41" s="2318"/>
      <c r="I41" s="2318"/>
      <c r="J41" s="2318"/>
      <c r="K41" s="2318"/>
      <c r="L41" s="2318"/>
      <c r="M41" s="2318"/>
      <c r="N41" s="2318"/>
      <c r="O41" s="2318"/>
      <c r="P41" s="2318"/>
      <c r="Q41" s="2318"/>
      <c r="R41" s="2318"/>
      <c r="S41" s="2318"/>
      <c r="T41" s="2319"/>
    </row>
    <row r="42" spans="2:20" ht="18" customHeight="1">
      <c r="B42" s="2386"/>
      <c r="C42" s="2320" t="s">
        <v>2139</v>
      </c>
      <c r="D42" s="832"/>
      <c r="E42" s="832"/>
      <c r="F42" s="832"/>
      <c r="G42" s="832"/>
      <c r="H42" s="832"/>
      <c r="I42" s="832"/>
      <c r="J42" s="832"/>
      <c r="K42" s="832"/>
      <c r="L42" s="832"/>
      <c r="M42" s="832"/>
      <c r="N42" s="832"/>
      <c r="O42" s="832"/>
      <c r="P42" s="832"/>
      <c r="Q42" s="832"/>
      <c r="R42" s="832"/>
      <c r="S42" s="832"/>
      <c r="T42" s="2387"/>
    </row>
    <row r="43" spans="2:20" ht="18" customHeight="1">
      <c r="B43" s="2386"/>
      <c r="C43" s="2320" t="s">
        <v>2140</v>
      </c>
      <c r="D43" s="832"/>
      <c r="E43" s="832"/>
      <c r="F43" s="832"/>
      <c r="G43" s="832"/>
      <c r="H43" s="832"/>
      <c r="I43" s="832"/>
      <c r="J43" s="832"/>
      <c r="K43" s="832"/>
      <c r="L43" s="832"/>
      <c r="M43" s="832"/>
      <c r="N43" s="832"/>
      <c r="O43" s="832"/>
      <c r="P43" s="832"/>
      <c r="Q43" s="832"/>
      <c r="R43" s="832"/>
      <c r="S43" s="832"/>
      <c r="T43" s="2387"/>
    </row>
    <row r="44" spans="2:20" ht="18" customHeight="1">
      <c r="B44" s="2386"/>
      <c r="C44" s="2320" t="s">
        <v>2141</v>
      </c>
      <c r="D44" s="832"/>
      <c r="E44" s="832"/>
      <c r="F44" s="832"/>
      <c r="G44" s="832"/>
      <c r="H44" s="832"/>
      <c r="I44" s="832"/>
      <c r="J44" s="832"/>
      <c r="K44" s="832"/>
      <c r="L44" s="832"/>
      <c r="M44" s="832"/>
      <c r="N44" s="832"/>
      <c r="O44" s="832"/>
      <c r="P44" s="832"/>
      <c r="Q44" s="832"/>
      <c r="R44" s="832"/>
      <c r="S44" s="832"/>
      <c r="T44" s="2387"/>
    </row>
    <row r="45" spans="2:20" ht="18" customHeight="1">
      <c r="B45" s="2386"/>
      <c r="C45" s="2373" t="s">
        <v>2142</v>
      </c>
      <c r="D45" s="2388"/>
      <c r="E45" s="2388"/>
      <c r="F45" s="2388"/>
      <c r="G45" s="2388"/>
      <c r="H45" s="2388"/>
      <c r="I45" s="2388"/>
      <c r="J45" s="2388"/>
      <c r="K45" s="2388"/>
      <c r="L45" s="2388"/>
      <c r="M45" s="832"/>
      <c r="N45" s="832"/>
      <c r="O45" s="832"/>
      <c r="P45" s="832"/>
      <c r="Q45" s="832"/>
      <c r="R45" s="832"/>
      <c r="S45" s="832"/>
      <c r="T45" s="2387"/>
    </row>
    <row r="46" spans="2:20" ht="15" thickBot="1">
      <c r="B46" s="2321"/>
      <c r="C46" s="2322"/>
      <c r="D46" s="2322"/>
      <c r="E46" s="2322"/>
      <c r="F46" s="2322"/>
      <c r="G46" s="2322"/>
      <c r="H46" s="2322"/>
      <c r="I46" s="2322"/>
      <c r="J46" s="2322"/>
      <c r="K46" s="2322"/>
      <c r="L46" s="2322"/>
      <c r="M46" s="2322"/>
      <c r="N46" s="2322"/>
      <c r="O46" s="2322"/>
      <c r="P46" s="2322"/>
      <c r="Q46" s="2322"/>
      <c r="R46" s="2322"/>
      <c r="S46" s="2322"/>
      <c r="T46" s="2323"/>
    </row>
    <row r="47" spans="2:20" ht="18">
      <c r="B47" s="588"/>
      <c r="C47" s="587"/>
      <c r="D47" s="587"/>
      <c r="E47" s="587"/>
      <c r="R47" s="1178"/>
      <c r="S47" s="1178"/>
      <c r="T47" s="1178"/>
    </row>
    <row r="48" spans="2:20" ht="27.75" customHeight="1">
      <c r="B48" s="938" t="s">
        <v>2143</v>
      </c>
      <c r="C48" s="842"/>
      <c r="D48" s="842"/>
      <c r="E48" s="842"/>
      <c r="F48" s="842"/>
      <c r="G48" s="842"/>
      <c r="H48" s="842"/>
      <c r="I48" s="842"/>
      <c r="J48" s="842"/>
      <c r="K48" s="842"/>
      <c r="L48" s="842"/>
      <c r="M48" s="842"/>
      <c r="N48" s="843"/>
      <c r="O48" s="843"/>
      <c r="P48" s="843"/>
      <c r="Q48" s="843"/>
      <c r="R48" s="771"/>
      <c r="S48" s="771"/>
      <c r="T48" s="771"/>
    </row>
    <row r="49" spans="2:20" ht="15" thickBot="1"/>
    <row r="50" spans="2:20">
      <c r="B50" s="2324"/>
      <c r="C50" s="2375"/>
      <c r="D50" s="2325"/>
      <c r="E50" s="2325"/>
      <c r="F50" s="2325"/>
      <c r="G50" s="2325"/>
      <c r="H50" s="2326"/>
      <c r="I50" s="2326"/>
      <c r="J50" s="2326"/>
      <c r="K50" s="2326"/>
      <c r="L50" s="2326"/>
      <c r="M50" s="2326"/>
      <c r="N50" s="2326"/>
      <c r="O50" s="2326"/>
      <c r="P50" s="2326"/>
      <c r="Q50" s="2326"/>
      <c r="R50" s="2326"/>
      <c r="S50" s="2326"/>
      <c r="T50" s="2327"/>
    </row>
    <row r="51" spans="2:20">
      <c r="B51" s="787"/>
      <c r="C51" s="2338" t="s">
        <v>2144</v>
      </c>
      <c r="D51" s="788"/>
      <c r="E51" s="788"/>
      <c r="F51" s="788"/>
      <c r="G51" s="788"/>
      <c r="H51" s="783"/>
      <c r="I51" s="783"/>
      <c r="J51" s="783"/>
      <c r="K51" s="783"/>
      <c r="L51" s="783"/>
      <c r="M51" s="783"/>
      <c r="N51" s="783"/>
      <c r="O51" s="783"/>
      <c r="P51" s="783"/>
      <c r="Q51" s="783"/>
      <c r="R51" s="783"/>
      <c r="S51" s="783"/>
      <c r="T51" s="786"/>
    </row>
    <row r="52" spans="2:20">
      <c r="B52" s="787"/>
      <c r="C52" s="2328"/>
      <c r="D52" s="788"/>
      <c r="E52" s="788"/>
      <c r="F52" s="788"/>
      <c r="G52" s="788"/>
      <c r="H52" s="783"/>
      <c r="I52" s="783"/>
      <c r="J52" s="783"/>
      <c r="K52" s="783"/>
      <c r="L52" s="783"/>
      <c r="M52" s="783"/>
      <c r="N52" s="783"/>
      <c r="O52" s="783"/>
      <c r="P52" s="783"/>
      <c r="Q52" s="783"/>
      <c r="R52" s="783"/>
      <c r="S52" s="783"/>
      <c r="T52" s="786"/>
    </row>
    <row r="53" spans="2:20" ht="30.75" customHeight="1">
      <c r="B53" s="787"/>
      <c r="C53" s="3948" t="s">
        <v>2145</v>
      </c>
      <c r="D53" s="3949"/>
      <c r="E53" s="3950" t="s">
        <v>2146</v>
      </c>
      <c r="F53" s="3951"/>
      <c r="G53" s="3952"/>
      <c r="H53" s="3977" t="s">
        <v>2147</v>
      </c>
      <c r="I53" s="3978"/>
      <c r="J53" s="3977" t="s">
        <v>2148</v>
      </c>
      <c r="K53" s="3978"/>
      <c r="L53" s="2366" t="s">
        <v>2149</v>
      </c>
      <c r="M53" s="783"/>
      <c r="N53" s="783"/>
      <c r="O53" s="783"/>
      <c r="P53" s="783"/>
      <c r="Q53" s="783"/>
      <c r="R53" s="783"/>
      <c r="S53" s="783"/>
      <c r="T53" s="786"/>
    </row>
    <row r="54" spans="2:20" ht="48.75" customHeight="1">
      <c r="B54" s="787"/>
      <c r="C54" s="3948" t="s">
        <v>2150</v>
      </c>
      <c r="D54" s="3949"/>
      <c r="E54" s="3975" t="s">
        <v>2151</v>
      </c>
      <c r="F54" s="3976"/>
      <c r="G54" s="3976"/>
      <c r="H54" s="3983" t="s">
        <v>2152</v>
      </c>
      <c r="I54" s="3962"/>
      <c r="J54" s="3962"/>
      <c r="K54" s="3963"/>
      <c r="L54" s="783"/>
      <c r="M54" s="783"/>
      <c r="N54" s="783"/>
      <c r="O54" s="783"/>
      <c r="P54" s="783"/>
      <c r="Q54" s="783"/>
      <c r="R54" s="783"/>
      <c r="S54" s="783"/>
      <c r="T54" s="786"/>
    </row>
    <row r="55" spans="2:20" ht="21" customHeight="1">
      <c r="B55" s="787"/>
      <c r="C55" s="3958" t="s">
        <v>2153</v>
      </c>
      <c r="D55" s="3959"/>
      <c r="E55" s="3953" t="s">
        <v>2154</v>
      </c>
      <c r="F55" s="3954"/>
      <c r="G55" s="3954"/>
      <c r="H55" s="3981"/>
      <c r="I55" s="3981"/>
      <c r="J55" s="3981"/>
      <c r="K55" s="3982"/>
      <c r="L55" s="783"/>
      <c r="M55" s="783"/>
      <c r="N55" s="783"/>
      <c r="O55" s="783"/>
      <c r="P55" s="783"/>
      <c r="Q55" s="783"/>
      <c r="R55" s="783"/>
      <c r="S55" s="783"/>
      <c r="T55" s="786"/>
    </row>
    <row r="56" spans="2:20">
      <c r="B56" s="787"/>
      <c r="C56" s="2328"/>
      <c r="D56" s="788"/>
      <c r="E56" s="788" t="s">
        <v>552</v>
      </c>
      <c r="F56" s="788"/>
      <c r="G56" s="788"/>
      <c r="H56" s="783"/>
      <c r="I56" s="783"/>
      <c r="J56" s="783"/>
      <c r="K56" s="783"/>
      <c r="L56" s="783"/>
      <c r="M56" s="783"/>
      <c r="N56" s="783"/>
      <c r="O56" s="783"/>
      <c r="P56" s="783"/>
      <c r="Q56" s="783"/>
      <c r="R56" s="783"/>
      <c r="S56" s="783"/>
      <c r="T56" s="786"/>
    </row>
    <row r="57" spans="2:20" ht="20.25" customHeight="1">
      <c r="B57" s="789"/>
      <c r="C57" s="3972" t="s">
        <v>2155</v>
      </c>
      <c r="D57" s="3972"/>
      <c r="E57" s="3972"/>
      <c r="F57" s="3972"/>
      <c r="G57" s="3972"/>
      <c r="H57" s="3972"/>
      <c r="I57" s="3972"/>
      <c r="J57" s="3972"/>
      <c r="K57" s="3972"/>
      <c r="L57" s="3972"/>
      <c r="M57" s="3972"/>
      <c r="N57" s="3972"/>
      <c r="O57" s="3972"/>
      <c r="P57" s="3972"/>
      <c r="Q57" s="3972"/>
      <c r="R57" s="3972"/>
      <c r="S57" s="790"/>
      <c r="T57" s="791"/>
    </row>
    <row r="58" spans="2:20" ht="20.25" customHeight="1">
      <c r="B58" s="2312"/>
      <c r="C58" s="802" t="s">
        <v>2156</v>
      </c>
      <c r="D58" s="802"/>
      <c r="E58" s="802"/>
      <c r="F58" s="802"/>
      <c r="G58" s="802"/>
      <c r="H58" s="802"/>
      <c r="I58" s="802"/>
      <c r="J58" s="802"/>
      <c r="K58" s="802"/>
      <c r="L58" s="802"/>
      <c r="M58" s="802"/>
      <c r="N58" s="802"/>
      <c r="O58" s="802"/>
      <c r="P58" s="802"/>
      <c r="Q58" s="802"/>
      <c r="R58" s="802"/>
      <c r="S58" s="802"/>
      <c r="T58" s="791"/>
    </row>
    <row r="59" spans="2:20" ht="20.25" customHeight="1">
      <c r="B59" s="789"/>
      <c r="C59" s="3060" t="s">
        <v>2157</v>
      </c>
      <c r="D59" s="3060"/>
      <c r="E59" s="3060"/>
      <c r="F59" s="3060"/>
      <c r="G59" s="3060"/>
      <c r="H59" s="3060"/>
      <c r="I59" s="3060"/>
      <c r="J59" s="3060"/>
      <c r="K59" s="3060"/>
      <c r="L59" s="3060"/>
      <c r="M59" s="3060"/>
      <c r="N59" s="3060"/>
      <c r="O59" s="3060"/>
      <c r="P59" s="3060"/>
      <c r="Q59" s="3060"/>
      <c r="R59" s="3060"/>
      <c r="S59" s="790"/>
      <c r="T59" s="791"/>
    </row>
    <row r="60" spans="2:20" ht="20.25" customHeight="1">
      <c r="B60" s="789"/>
      <c r="C60" s="2337" t="s">
        <v>2158</v>
      </c>
      <c r="D60" s="936"/>
      <c r="E60" s="936"/>
      <c r="F60" s="1179"/>
      <c r="G60" s="1179"/>
      <c r="H60" s="1179"/>
      <c r="I60" s="1179"/>
      <c r="J60" s="1179"/>
      <c r="K60" s="1179"/>
      <c r="L60" s="1179"/>
      <c r="M60" s="1179"/>
      <c r="N60" s="1179"/>
      <c r="O60" s="1179"/>
      <c r="P60" s="1179"/>
      <c r="Q60" s="1179"/>
      <c r="R60" s="1179"/>
      <c r="S60" s="790"/>
      <c r="T60" s="791"/>
    </row>
    <row r="61" spans="2:20" ht="20.25" customHeight="1">
      <c r="B61" s="787"/>
      <c r="C61" s="2370" t="s">
        <v>2159</v>
      </c>
      <c r="D61" s="2300"/>
      <c r="E61" s="937"/>
      <c r="F61" s="934"/>
      <c r="G61" s="934"/>
      <c r="H61" s="934"/>
      <c r="I61" s="934"/>
      <c r="J61" s="934"/>
      <c r="K61" s="934"/>
      <c r="L61" s="934"/>
      <c r="M61" s="934"/>
      <c r="N61" s="934"/>
      <c r="O61" s="934"/>
      <c r="P61" s="934"/>
      <c r="Q61" s="934"/>
      <c r="R61" s="934"/>
      <c r="S61" s="935"/>
      <c r="T61" s="786"/>
    </row>
    <row r="62" spans="2:20" ht="20.25" customHeight="1">
      <c r="B62" s="787"/>
      <c r="C62" s="2399" t="s">
        <v>2160</v>
      </c>
      <c r="D62" s="2300"/>
      <c r="E62" s="937"/>
      <c r="F62" s="934"/>
      <c r="G62" s="934"/>
      <c r="H62" s="934"/>
      <c r="I62" s="934"/>
      <c r="J62" s="934"/>
      <c r="K62" s="934"/>
      <c r="L62" s="934"/>
      <c r="M62" s="934"/>
      <c r="N62" s="934"/>
      <c r="O62" s="934"/>
      <c r="P62" s="934"/>
      <c r="Q62" s="934"/>
      <c r="R62" s="934"/>
      <c r="S62" s="935"/>
      <c r="T62" s="786"/>
    </row>
    <row r="63" spans="2:20" ht="13.5" customHeight="1">
      <c r="B63" s="787"/>
      <c r="C63" s="2329" t="s">
        <v>493</v>
      </c>
      <c r="D63" s="934"/>
      <c r="E63" s="934"/>
      <c r="F63" s="934"/>
      <c r="G63" s="934"/>
      <c r="H63" s="934"/>
      <c r="I63" s="934"/>
      <c r="J63" s="934"/>
      <c r="K63" s="934"/>
      <c r="L63" s="934"/>
      <c r="M63" s="934"/>
      <c r="N63" s="934"/>
      <c r="O63" s="934"/>
      <c r="P63" s="934"/>
      <c r="Q63" s="934"/>
      <c r="R63" s="934"/>
      <c r="S63" s="935"/>
      <c r="T63" s="786"/>
    </row>
    <row r="64" spans="2:20" ht="13.5" customHeight="1">
      <c r="B64" s="787"/>
      <c r="C64" s="2329" t="s">
        <v>2161</v>
      </c>
      <c r="D64" s="934"/>
      <c r="E64" s="934"/>
      <c r="F64" s="934"/>
      <c r="G64" s="934"/>
      <c r="H64" s="934"/>
      <c r="I64" s="934"/>
      <c r="J64" s="934"/>
      <c r="K64" s="934"/>
      <c r="L64" s="934"/>
      <c r="M64" s="934"/>
      <c r="N64" s="934"/>
      <c r="O64" s="934"/>
      <c r="P64" s="934"/>
      <c r="Q64" s="934"/>
      <c r="R64" s="934"/>
      <c r="S64" s="935"/>
      <c r="T64" s="786"/>
    </row>
    <row r="65" spans="2:20" ht="20.25" customHeight="1">
      <c r="B65" s="787"/>
      <c r="C65" s="2370" t="s">
        <v>2162</v>
      </c>
      <c r="D65" s="2300"/>
      <c r="E65" s="937"/>
      <c r="F65" s="934"/>
      <c r="G65" s="934"/>
      <c r="H65" s="934"/>
      <c r="I65" s="934"/>
      <c r="J65" s="934"/>
      <c r="K65" s="934"/>
      <c r="L65" s="934"/>
      <c r="M65" s="934"/>
      <c r="N65" s="934"/>
      <c r="O65" s="934"/>
      <c r="P65" s="934"/>
      <c r="Q65" s="934"/>
      <c r="R65" s="934"/>
      <c r="S65" s="935"/>
      <c r="T65" s="786"/>
    </row>
    <row r="66" spans="2:20" ht="13.5" customHeight="1">
      <c r="B66" s="787"/>
      <c r="C66" s="2329" t="s">
        <v>107</v>
      </c>
      <c r="D66" s="2300"/>
      <c r="E66" s="937"/>
      <c r="F66" s="934"/>
      <c r="G66" s="934"/>
      <c r="H66" s="934"/>
      <c r="I66" s="934"/>
      <c r="J66" s="934"/>
      <c r="K66" s="934"/>
      <c r="L66" s="934"/>
      <c r="M66" s="934"/>
      <c r="N66" s="934"/>
      <c r="O66" s="934"/>
      <c r="P66" s="934"/>
      <c r="Q66" s="934"/>
      <c r="R66" s="934"/>
      <c r="S66" s="935"/>
      <c r="T66" s="786"/>
    </row>
    <row r="67" spans="2:20" ht="13.5" customHeight="1">
      <c r="B67" s="787"/>
      <c r="C67" s="2329" t="s">
        <v>108</v>
      </c>
      <c r="D67" s="2300"/>
      <c r="E67" s="937"/>
      <c r="F67" s="934"/>
      <c r="G67" s="934"/>
      <c r="H67" s="934"/>
      <c r="I67" s="934"/>
      <c r="J67" s="934"/>
      <c r="K67" s="934"/>
      <c r="L67" s="934"/>
      <c r="M67" s="934"/>
      <c r="N67" s="934"/>
      <c r="O67" s="934"/>
      <c r="P67" s="934"/>
      <c r="Q67" s="934"/>
      <c r="R67" s="934"/>
      <c r="S67" s="935"/>
      <c r="T67" s="786"/>
    </row>
    <row r="68" spans="2:20" ht="20.25" customHeight="1">
      <c r="B68" s="787"/>
      <c r="C68" s="2370" t="s">
        <v>2163</v>
      </c>
      <c r="D68" s="2300"/>
      <c r="E68" s="937"/>
      <c r="F68" s="934"/>
      <c r="G68" s="934"/>
      <c r="H68" s="934"/>
      <c r="I68" s="934"/>
      <c r="J68" s="934"/>
      <c r="K68" s="934"/>
      <c r="L68" s="934"/>
      <c r="M68" s="934"/>
      <c r="N68" s="934"/>
      <c r="O68" s="934"/>
      <c r="P68" s="934"/>
      <c r="Q68" s="934"/>
      <c r="R68" s="934"/>
      <c r="S68" s="935"/>
      <c r="T68" s="786"/>
    </row>
    <row r="69" spans="2:20" ht="13.5" customHeight="1">
      <c r="B69" s="787"/>
      <c r="C69" s="2329" t="s">
        <v>2164</v>
      </c>
      <c r="D69" s="2300"/>
      <c r="E69" s="937"/>
      <c r="F69" s="934"/>
      <c r="G69" s="934"/>
      <c r="H69" s="934"/>
      <c r="I69" s="934"/>
      <c r="J69" s="934"/>
      <c r="K69" s="934"/>
      <c r="L69" s="934"/>
      <c r="M69" s="934"/>
      <c r="N69" s="934"/>
      <c r="O69" s="934"/>
      <c r="P69" s="934"/>
      <c r="Q69" s="934"/>
      <c r="R69" s="934"/>
      <c r="S69" s="935"/>
      <c r="T69" s="786"/>
    </row>
    <row r="70" spans="2:20" ht="13.5" customHeight="1">
      <c r="B70" s="787"/>
      <c r="C70" s="937" t="s">
        <v>2165</v>
      </c>
      <c r="D70" s="2300"/>
      <c r="E70" s="937"/>
      <c r="F70" s="934"/>
      <c r="G70" s="934"/>
      <c r="H70" s="934"/>
      <c r="I70" s="934"/>
      <c r="J70" s="934"/>
      <c r="K70" s="934"/>
      <c r="L70" s="934"/>
      <c r="M70" s="934"/>
      <c r="N70" s="934"/>
      <c r="O70" s="934"/>
      <c r="P70" s="934"/>
      <c r="Q70" s="934"/>
      <c r="R70" s="934"/>
      <c r="S70" s="935"/>
      <c r="T70" s="786"/>
    </row>
    <row r="71" spans="2:20">
      <c r="B71" s="787"/>
      <c r="C71" s="937"/>
      <c r="D71" s="2300"/>
      <c r="E71" s="937"/>
      <c r="F71" s="934"/>
      <c r="G71" s="934"/>
      <c r="H71" s="934"/>
      <c r="I71" s="934"/>
      <c r="J71" s="934"/>
      <c r="K71" s="934"/>
      <c r="L71" s="934"/>
      <c r="M71" s="934"/>
      <c r="N71" s="934"/>
      <c r="O71" s="934"/>
      <c r="P71" s="934"/>
      <c r="Q71" s="934"/>
      <c r="R71" s="934"/>
      <c r="S71" s="935"/>
      <c r="T71" s="786"/>
    </row>
    <row r="72" spans="2:20" ht="108.75" customHeight="1">
      <c r="B72" s="787"/>
      <c r="C72" s="937"/>
      <c r="D72" s="2300"/>
      <c r="E72" s="937"/>
      <c r="F72" s="934"/>
      <c r="G72" s="934"/>
      <c r="H72" s="934"/>
      <c r="I72" s="934"/>
      <c r="J72" s="934"/>
      <c r="K72" s="934"/>
      <c r="L72" s="934"/>
      <c r="M72" s="934"/>
      <c r="N72" s="934"/>
      <c r="O72" s="934"/>
      <c r="P72" s="934"/>
      <c r="Q72" s="934"/>
      <c r="R72" s="934"/>
      <c r="S72" s="935"/>
      <c r="T72" s="786"/>
    </row>
    <row r="73" spans="2:20" ht="108.75" customHeight="1">
      <c r="B73" s="787"/>
      <c r="C73" s="937"/>
      <c r="D73" s="2300"/>
      <c r="E73" s="937"/>
      <c r="F73" s="934"/>
      <c r="G73" s="934"/>
      <c r="H73" s="934"/>
      <c r="I73" s="934"/>
      <c r="J73" s="934"/>
      <c r="K73" s="934"/>
      <c r="L73" s="934"/>
      <c r="M73" s="934"/>
      <c r="N73" s="934"/>
      <c r="O73" s="934"/>
      <c r="P73" s="934"/>
      <c r="Q73" s="934"/>
      <c r="R73" s="934"/>
      <c r="S73" s="935"/>
      <c r="T73" s="786"/>
    </row>
    <row r="74" spans="2:20" ht="108.75" customHeight="1">
      <c r="B74" s="787"/>
      <c r="C74" s="937"/>
      <c r="D74" s="2300"/>
      <c r="E74" s="937"/>
      <c r="F74" s="934"/>
      <c r="G74" s="934"/>
      <c r="H74" s="934"/>
      <c r="I74" s="934"/>
      <c r="J74" s="934"/>
      <c r="K74" s="934"/>
      <c r="L74" s="934"/>
      <c r="M74" s="934"/>
      <c r="N74" s="934"/>
      <c r="O74" s="934"/>
      <c r="P74" s="934"/>
      <c r="Q74" s="934"/>
      <c r="R74" s="934"/>
      <c r="S74" s="935"/>
      <c r="T74" s="786"/>
    </row>
    <row r="75" spans="2:20">
      <c r="B75" s="787"/>
      <c r="C75" s="937"/>
      <c r="D75" s="2300"/>
      <c r="E75" s="937"/>
      <c r="F75" s="934"/>
      <c r="G75" s="934"/>
      <c r="H75" s="934"/>
      <c r="I75" s="934"/>
      <c r="J75" s="934"/>
      <c r="K75" s="934"/>
      <c r="L75" s="934"/>
      <c r="M75" s="934"/>
      <c r="N75" s="934"/>
      <c r="O75" s="934"/>
      <c r="P75" s="934"/>
      <c r="Q75" s="934"/>
      <c r="R75" s="934"/>
      <c r="S75" s="935"/>
      <c r="T75" s="786"/>
    </row>
    <row r="76" spans="2:20" ht="21" customHeight="1">
      <c r="B76" s="2400" t="s">
        <v>2166</v>
      </c>
      <c r="C76" s="2300"/>
      <c r="D76" s="2300"/>
      <c r="E76" s="937"/>
      <c r="F76" s="934"/>
      <c r="G76" s="934"/>
      <c r="H76" s="934"/>
      <c r="I76" s="934"/>
      <c r="J76" s="934"/>
      <c r="K76" s="934"/>
      <c r="L76" s="934"/>
      <c r="M76" s="934"/>
      <c r="N76" s="934"/>
      <c r="O76" s="934"/>
      <c r="P76" s="934"/>
      <c r="Q76" s="934"/>
      <c r="R76" s="934"/>
      <c r="S76" s="935"/>
      <c r="T76" s="786"/>
    </row>
    <row r="77" spans="2:20" ht="17.25" customHeight="1">
      <c r="B77" s="2400" t="s">
        <v>2167</v>
      </c>
      <c r="C77" s="2300"/>
      <c r="D77" s="2300"/>
      <c r="E77" s="937"/>
      <c r="F77" s="934"/>
      <c r="G77" s="934"/>
      <c r="H77" s="934"/>
      <c r="I77" s="934"/>
      <c r="J77" s="934"/>
      <c r="K77" s="934"/>
      <c r="L77" s="934"/>
      <c r="M77" s="934"/>
      <c r="N77" s="934"/>
      <c r="O77" s="934"/>
      <c r="P77" s="934"/>
      <c r="Q77" s="934"/>
      <c r="R77" s="934"/>
      <c r="S77" s="935"/>
      <c r="T77" s="786"/>
    </row>
    <row r="78" spans="2:20" ht="17.25" customHeight="1">
      <c r="B78" s="2400" t="s">
        <v>2168</v>
      </c>
      <c r="C78" s="2300"/>
      <c r="D78" s="2300"/>
      <c r="E78" s="937"/>
      <c r="F78" s="934"/>
      <c r="G78" s="934"/>
      <c r="H78" s="934"/>
      <c r="I78" s="934"/>
      <c r="J78" s="934"/>
      <c r="K78" s="934"/>
      <c r="L78" s="934"/>
      <c r="M78" s="934"/>
      <c r="N78" s="934"/>
      <c r="O78" s="934"/>
      <c r="P78" s="934"/>
      <c r="Q78" s="934"/>
      <c r="R78" s="934"/>
      <c r="S78" s="935"/>
      <c r="T78" s="786"/>
    </row>
    <row r="79" spans="2:20" ht="30.75" customHeight="1">
      <c r="B79" s="2400" t="s">
        <v>2169</v>
      </c>
      <c r="C79" s="2300"/>
      <c r="D79" s="2300"/>
      <c r="E79" s="937"/>
      <c r="F79" s="934"/>
      <c r="G79" s="934"/>
      <c r="H79" s="934"/>
      <c r="I79" s="934"/>
      <c r="J79" s="934"/>
      <c r="K79" s="934"/>
      <c r="L79" s="934"/>
      <c r="M79" s="934"/>
      <c r="N79" s="934"/>
      <c r="O79" s="934"/>
      <c r="P79" s="934"/>
      <c r="Q79" s="934"/>
      <c r="R79" s="934"/>
      <c r="S79" s="935"/>
      <c r="T79" s="786"/>
    </row>
    <row r="80" spans="2:20" ht="15.75" customHeight="1">
      <c r="B80" s="2400" t="s">
        <v>2170</v>
      </c>
      <c r="C80" s="2300"/>
      <c r="D80" s="2300"/>
      <c r="E80" s="937"/>
      <c r="F80" s="2306" t="s">
        <v>2171</v>
      </c>
      <c r="G80" s="934"/>
      <c r="H80" s="934"/>
      <c r="I80" s="934"/>
      <c r="J80" s="934"/>
      <c r="K80" s="934"/>
      <c r="L80" s="934"/>
      <c r="M80" s="934"/>
      <c r="N80" s="934"/>
      <c r="O80" s="934"/>
      <c r="P80" s="934"/>
      <c r="Q80" s="934"/>
      <c r="R80" s="934"/>
      <c r="S80" s="935"/>
      <c r="T80" s="786"/>
    </row>
    <row r="81" spans="2:20" ht="27" customHeight="1">
      <c r="B81" s="2400" t="s">
        <v>2172</v>
      </c>
      <c r="C81" s="2300"/>
      <c r="D81" s="2300"/>
      <c r="E81" s="937"/>
      <c r="F81" s="934"/>
      <c r="G81" s="934"/>
      <c r="H81" s="934"/>
      <c r="I81" s="934"/>
      <c r="J81" s="934"/>
      <c r="K81" s="934"/>
      <c r="L81" s="934"/>
      <c r="M81" s="934"/>
      <c r="N81" s="934"/>
      <c r="O81" s="934"/>
      <c r="P81" s="934"/>
      <c r="Q81" s="934"/>
      <c r="R81" s="934"/>
      <c r="S81" s="935"/>
      <c r="T81" s="786"/>
    </row>
    <row r="82" spans="2:20" ht="31.5" customHeight="1">
      <c r="B82" s="2400"/>
      <c r="C82" s="2337" t="s">
        <v>2173</v>
      </c>
      <c r="D82" s="2300"/>
      <c r="E82" s="937"/>
      <c r="F82" s="934"/>
      <c r="G82" s="934"/>
      <c r="H82" s="934"/>
      <c r="I82" s="934"/>
      <c r="J82" s="934"/>
      <c r="K82" s="934"/>
      <c r="L82" s="934"/>
      <c r="M82" s="934"/>
      <c r="N82" s="934"/>
      <c r="O82" s="934"/>
      <c r="P82" s="934"/>
      <c r="Q82" s="934"/>
      <c r="R82" s="934"/>
      <c r="S82" s="935"/>
      <c r="T82" s="786"/>
    </row>
    <row r="83" spans="2:20" ht="21" customHeight="1">
      <c r="B83" s="2400" t="s">
        <v>2174</v>
      </c>
      <c r="C83" s="2300"/>
      <c r="D83" s="2300"/>
      <c r="E83" s="937"/>
      <c r="F83" s="934"/>
      <c r="G83" s="934"/>
      <c r="H83" s="934"/>
      <c r="I83" s="934"/>
      <c r="J83" s="934"/>
      <c r="K83" s="934"/>
      <c r="L83" s="934"/>
      <c r="M83" s="934"/>
      <c r="N83" s="934"/>
      <c r="O83" s="934"/>
      <c r="P83" s="934"/>
      <c r="Q83" s="934"/>
      <c r="R83" s="934"/>
      <c r="S83" s="935"/>
      <c r="T83" s="786"/>
    </row>
    <row r="84" spans="2:20" ht="21" customHeight="1">
      <c r="B84" s="2402" t="s">
        <v>2175</v>
      </c>
      <c r="C84" s="2401"/>
      <c r="D84" s="2300"/>
      <c r="E84" s="937"/>
      <c r="F84" s="934"/>
      <c r="G84" s="934"/>
      <c r="H84" s="934"/>
      <c r="I84" s="934"/>
      <c r="J84" s="934"/>
      <c r="K84" s="934"/>
      <c r="L84" s="934"/>
      <c r="M84" s="934"/>
      <c r="N84" s="934"/>
      <c r="O84" s="934"/>
      <c r="P84" s="934"/>
      <c r="Q84" s="934"/>
      <c r="R84" s="934"/>
      <c r="S84" s="935"/>
      <c r="T84" s="786"/>
    </row>
    <row r="85" spans="2:20" ht="16.5" customHeight="1">
      <c r="B85" s="2400" t="s">
        <v>2176</v>
      </c>
      <c r="C85" s="2300"/>
      <c r="D85" s="2300"/>
      <c r="E85" s="937"/>
      <c r="F85" s="934"/>
      <c r="G85" s="934"/>
      <c r="H85" s="934"/>
      <c r="I85" s="934"/>
      <c r="J85" s="934"/>
      <c r="K85" s="934"/>
      <c r="L85" s="934"/>
      <c r="M85" s="934"/>
      <c r="N85" s="934"/>
      <c r="O85" s="934"/>
      <c r="P85" s="934"/>
      <c r="Q85" s="934"/>
      <c r="R85" s="934"/>
      <c r="S85" s="935"/>
      <c r="T85" s="786"/>
    </row>
    <row r="86" spans="2:20" ht="15" thickBot="1">
      <c r="B86" s="792"/>
      <c r="C86" s="793"/>
      <c r="D86" s="793"/>
      <c r="E86" s="793"/>
      <c r="F86" s="793"/>
      <c r="G86" s="793"/>
      <c r="H86" s="794"/>
      <c r="I86" s="794"/>
      <c r="J86" s="794"/>
      <c r="K86" s="794"/>
      <c r="L86" s="794"/>
      <c r="M86" s="794"/>
      <c r="N86" s="794"/>
      <c r="O86" s="794"/>
      <c r="P86" s="794"/>
      <c r="Q86" s="794"/>
      <c r="R86" s="794"/>
      <c r="S86" s="794"/>
      <c r="T86" s="795"/>
    </row>
    <row r="87" spans="2:20" ht="27" customHeight="1">
      <c r="B87" s="588"/>
      <c r="C87" s="587"/>
      <c r="D87" s="587"/>
      <c r="E87" s="587"/>
      <c r="R87" s="1178"/>
      <c r="S87" s="1178"/>
      <c r="T87" s="1178"/>
    </row>
    <row r="88" spans="2:20" ht="27.75" customHeight="1">
      <c r="B88" s="938" t="s">
        <v>2177</v>
      </c>
      <c r="C88" s="842"/>
      <c r="D88" s="842"/>
      <c r="E88" s="842"/>
      <c r="F88" s="842"/>
      <c r="G88" s="842"/>
      <c r="H88" s="842"/>
      <c r="I88" s="842"/>
      <c r="J88" s="842"/>
      <c r="K88" s="842"/>
      <c r="L88" s="842"/>
      <c r="M88" s="842"/>
      <c r="N88" s="843"/>
      <c r="O88" s="843"/>
      <c r="P88" s="843"/>
      <c r="Q88" s="843"/>
      <c r="R88" s="771"/>
      <c r="S88" s="771"/>
      <c r="T88" s="771"/>
    </row>
    <row r="89" spans="2:20" ht="15" thickBot="1"/>
    <row r="90" spans="2:20" ht="12.75" customHeight="1">
      <c r="B90" s="2357"/>
      <c r="C90" s="2376"/>
      <c r="D90" s="2326"/>
      <c r="E90" s="2326"/>
      <c r="F90" s="2326"/>
      <c r="G90" s="2326"/>
      <c r="H90" s="2326"/>
      <c r="I90" s="2326"/>
      <c r="J90" s="2326"/>
      <c r="K90" s="2326"/>
      <c r="L90" s="2326"/>
      <c r="M90" s="2326"/>
      <c r="N90" s="2326"/>
      <c r="O90" s="2326"/>
      <c r="P90" s="2326"/>
      <c r="Q90" s="2326"/>
      <c r="R90" s="2326"/>
      <c r="S90" s="2326"/>
      <c r="T90" s="2327"/>
    </row>
    <row r="91" spans="2:20" ht="12.75" customHeight="1">
      <c r="B91" s="2390"/>
      <c r="C91" s="2391" t="s">
        <v>2144</v>
      </c>
      <c r="D91" s="783"/>
      <c r="E91" s="783"/>
      <c r="F91" s="783"/>
      <c r="G91" s="783"/>
      <c r="H91" s="783"/>
      <c r="I91" s="783"/>
      <c r="J91" s="783"/>
      <c r="K91" s="783"/>
      <c r="L91" s="783"/>
      <c r="M91" s="783"/>
      <c r="N91" s="783"/>
      <c r="O91" s="783"/>
      <c r="P91" s="783"/>
      <c r="Q91" s="783"/>
      <c r="R91" s="783"/>
      <c r="S91" s="783"/>
      <c r="T91" s="786"/>
    </row>
    <row r="92" spans="2:20" ht="12.75" customHeight="1">
      <c r="B92" s="1198"/>
      <c r="C92" s="783"/>
      <c r="D92" s="783"/>
      <c r="E92" s="783"/>
      <c r="F92" s="783"/>
      <c r="G92" s="783"/>
      <c r="H92" s="783"/>
      <c r="I92" s="783"/>
      <c r="J92" s="783"/>
      <c r="K92" s="783"/>
      <c r="L92" s="783"/>
      <c r="M92" s="783"/>
      <c r="N92" s="783"/>
      <c r="O92" s="783"/>
      <c r="P92" s="783"/>
      <c r="Q92" s="783"/>
      <c r="R92" s="783"/>
      <c r="S92" s="783"/>
      <c r="T92" s="786"/>
    </row>
    <row r="93" spans="2:20" ht="33.75" customHeight="1">
      <c r="B93" s="1198"/>
      <c r="C93" s="3948" t="s">
        <v>2145</v>
      </c>
      <c r="D93" s="3949"/>
      <c r="E93" s="3950" t="s">
        <v>2178</v>
      </c>
      <c r="F93" s="3951"/>
      <c r="G93" s="3952"/>
      <c r="H93" s="3950" t="s">
        <v>2179</v>
      </c>
      <c r="I93" s="3952"/>
      <c r="J93" s="3950" t="s">
        <v>2180</v>
      </c>
      <c r="K93" s="3952"/>
      <c r="L93" s="783"/>
      <c r="M93" s="783"/>
      <c r="N93" s="783"/>
      <c r="O93" s="783"/>
      <c r="P93" s="783"/>
      <c r="Q93" s="783"/>
      <c r="R93" s="783"/>
      <c r="S93" s="783"/>
      <c r="T93" s="786"/>
    </row>
    <row r="94" spans="2:20" ht="20.25" customHeight="1">
      <c r="B94" s="1198"/>
      <c r="C94" s="3948" t="s">
        <v>2150</v>
      </c>
      <c r="D94" s="3949"/>
      <c r="E94" s="3953" t="s">
        <v>2181</v>
      </c>
      <c r="F94" s="3954"/>
      <c r="G94" s="3955"/>
      <c r="H94" s="3953" t="s">
        <v>2182</v>
      </c>
      <c r="I94" s="3955"/>
      <c r="J94" s="3953" t="s">
        <v>2183</v>
      </c>
      <c r="K94" s="3955"/>
      <c r="L94" s="2366" t="s">
        <v>2184</v>
      </c>
      <c r="M94" s="783"/>
      <c r="N94" s="783"/>
      <c r="O94" s="783"/>
      <c r="P94" s="783"/>
      <c r="Q94" s="783"/>
      <c r="R94" s="783"/>
      <c r="S94" s="783"/>
      <c r="T94" s="786"/>
    </row>
    <row r="95" spans="2:20" ht="20.25" customHeight="1">
      <c r="B95" s="1198"/>
      <c r="C95" s="3958" t="s">
        <v>2153</v>
      </c>
      <c r="D95" s="3959"/>
      <c r="E95" s="3953" t="s">
        <v>2185</v>
      </c>
      <c r="F95" s="3954"/>
      <c r="G95" s="3954"/>
      <c r="H95" s="3954"/>
      <c r="I95" s="3954"/>
      <c r="J95" s="3954"/>
      <c r="K95" s="3955"/>
      <c r="L95" s="783"/>
      <c r="M95" s="783"/>
      <c r="N95" s="783"/>
      <c r="O95" s="783"/>
      <c r="P95" s="783"/>
      <c r="Q95" s="783"/>
      <c r="R95" s="783"/>
      <c r="S95" s="783"/>
      <c r="T95" s="786"/>
    </row>
    <row r="96" spans="2:20">
      <c r="B96" s="1198"/>
      <c r="C96" s="783"/>
      <c r="D96" s="783"/>
      <c r="E96" s="783"/>
      <c r="F96" s="783"/>
      <c r="G96" s="783"/>
      <c r="H96" s="783"/>
      <c r="I96" s="783"/>
      <c r="J96" s="783"/>
      <c r="K96" s="783"/>
      <c r="L96" s="783"/>
      <c r="M96" s="783"/>
      <c r="N96" s="783"/>
      <c r="O96" s="783"/>
      <c r="P96" s="783"/>
      <c r="Q96" s="783"/>
      <c r="R96" s="783"/>
      <c r="S96" s="783"/>
      <c r="T96" s="786"/>
    </row>
    <row r="97" spans="2:21" ht="15.6">
      <c r="B97" s="1198"/>
      <c r="C97" s="2304" t="s">
        <v>2155</v>
      </c>
      <c r="D97" s="783"/>
      <c r="E97" s="783"/>
      <c r="F97" s="783"/>
      <c r="G97" s="783"/>
      <c r="H97" s="783"/>
      <c r="I97" s="783"/>
      <c r="J97" s="783"/>
      <c r="K97" s="783"/>
      <c r="L97" s="783"/>
      <c r="M97" s="783"/>
      <c r="N97" s="783"/>
      <c r="O97" s="783"/>
      <c r="P97" s="783"/>
      <c r="Q97" s="783"/>
      <c r="R97" s="783"/>
      <c r="S97" s="783"/>
      <c r="T97" s="786"/>
    </row>
    <row r="98" spans="2:21" ht="20.25" customHeight="1">
      <c r="B98" s="1198"/>
      <c r="C98" s="783" t="s">
        <v>2156</v>
      </c>
      <c r="D98" s="783"/>
      <c r="E98" s="783"/>
      <c r="F98" s="783"/>
      <c r="G98" s="783"/>
      <c r="H98" s="783"/>
      <c r="I98" s="783"/>
      <c r="J98" s="783"/>
      <c r="K98" s="783"/>
      <c r="L98" s="783"/>
      <c r="M98" s="783"/>
      <c r="N98" s="783"/>
      <c r="O98" s="783"/>
      <c r="P98" s="783"/>
      <c r="Q98" s="783"/>
      <c r="R98" s="783"/>
      <c r="S98" s="783"/>
      <c r="T98" s="786"/>
    </row>
    <row r="99" spans="2:21" ht="17.25" customHeight="1">
      <c r="B99" s="1198"/>
      <c r="C99" s="783" t="s">
        <v>2186</v>
      </c>
      <c r="D99" s="783"/>
      <c r="E99" s="783"/>
      <c r="F99" s="783"/>
      <c r="G99" s="783"/>
      <c r="H99" s="783"/>
      <c r="I99" s="783"/>
      <c r="J99" s="783"/>
      <c r="K99" s="783"/>
      <c r="L99" s="783"/>
      <c r="M99" s="783"/>
      <c r="N99" s="783"/>
      <c r="O99" s="783"/>
      <c r="P99" s="783"/>
      <c r="Q99" s="783"/>
      <c r="R99" s="783"/>
      <c r="S99" s="783"/>
      <c r="T99" s="786"/>
    </row>
    <row r="100" spans="2:21" ht="17.25" customHeight="1">
      <c r="B100" s="1198"/>
      <c r="C100" s="783" t="s">
        <v>2187</v>
      </c>
      <c r="D100" s="783"/>
      <c r="E100" s="783"/>
      <c r="F100" s="783"/>
      <c r="G100" s="783"/>
      <c r="H100" s="783"/>
      <c r="I100" s="783"/>
      <c r="J100" s="783"/>
      <c r="K100" s="783"/>
      <c r="L100" s="783"/>
      <c r="M100" s="783"/>
      <c r="N100" s="783"/>
      <c r="O100" s="783"/>
      <c r="P100" s="783"/>
      <c r="Q100" s="783"/>
      <c r="R100" s="783"/>
      <c r="S100" s="783"/>
      <c r="T100" s="786"/>
    </row>
    <row r="101" spans="2:21" ht="29.25" customHeight="1">
      <c r="B101" s="1198"/>
      <c r="C101" s="2304" t="s">
        <v>2188</v>
      </c>
      <c r="D101" s="783"/>
      <c r="E101" s="783"/>
      <c r="F101" s="783"/>
      <c r="G101" s="783"/>
      <c r="H101" s="783"/>
      <c r="I101" s="783"/>
      <c r="J101" s="783"/>
      <c r="K101" s="783"/>
      <c r="L101" s="783"/>
      <c r="M101" s="783"/>
      <c r="N101" s="783"/>
      <c r="O101" s="783"/>
      <c r="P101" s="783"/>
      <c r="Q101" s="783"/>
      <c r="R101" s="783"/>
      <c r="S101" s="783"/>
      <c r="T101" s="786"/>
    </row>
    <row r="102" spans="2:21" ht="22.5" customHeight="1">
      <c r="B102" s="1198"/>
      <c r="C102" s="783" t="s">
        <v>2189</v>
      </c>
      <c r="D102" s="2304"/>
      <c r="E102" s="783"/>
      <c r="F102" s="783"/>
      <c r="G102" s="783"/>
      <c r="H102" s="783"/>
      <c r="I102" s="783"/>
      <c r="J102" s="783"/>
      <c r="K102" s="783"/>
      <c r="L102" s="783"/>
      <c r="M102" s="783"/>
      <c r="N102" s="783"/>
      <c r="O102" s="783"/>
      <c r="P102" s="783"/>
      <c r="Q102" s="783"/>
      <c r="R102" s="783"/>
      <c r="S102" s="783"/>
      <c r="T102" s="786"/>
    </row>
    <row r="103" spans="2:21" ht="21">
      <c r="B103" s="2348"/>
      <c r="C103" s="2349"/>
      <c r="D103" s="2349"/>
      <c r="E103" s="2349"/>
      <c r="F103" s="2349"/>
      <c r="G103" s="2349"/>
      <c r="H103" s="2349"/>
      <c r="I103" s="2349"/>
      <c r="J103" s="2349"/>
      <c r="K103" s="2349"/>
      <c r="L103" s="2349"/>
      <c r="M103" s="2349"/>
      <c r="N103" s="2350"/>
      <c r="O103" s="2350"/>
      <c r="P103" s="2350"/>
      <c r="Q103" s="2350"/>
      <c r="R103" s="783"/>
      <c r="S103" s="783"/>
      <c r="T103" s="786"/>
    </row>
    <row r="104" spans="2:21" ht="15.6">
      <c r="B104" s="2358"/>
      <c r="C104" s="2354"/>
      <c r="D104" s="2354"/>
      <c r="E104" s="2354"/>
      <c r="F104" s="2354"/>
      <c r="G104" s="2355"/>
      <c r="H104" s="2356"/>
      <c r="I104" s="2356"/>
      <c r="J104" s="2356"/>
      <c r="K104" s="2356"/>
      <c r="L104" s="2356"/>
      <c r="M104" s="2356"/>
      <c r="N104" s="2356"/>
      <c r="O104" s="2356"/>
      <c r="P104" s="2356"/>
      <c r="Q104" s="2356"/>
      <c r="R104" s="2356"/>
      <c r="S104" s="2356"/>
      <c r="T104" s="2359"/>
    </row>
    <row r="105" spans="2:21" ht="18">
      <c r="B105" s="779"/>
      <c r="C105" s="781" t="s">
        <v>2190</v>
      </c>
      <c r="D105" s="780"/>
      <c r="E105" s="780"/>
      <c r="F105" s="781"/>
      <c r="G105" s="782"/>
      <c r="H105" s="783"/>
      <c r="I105" s="783"/>
      <c r="J105" s="783"/>
      <c r="K105" s="783"/>
      <c r="L105" s="783"/>
      <c r="M105" s="783"/>
      <c r="N105" s="783"/>
      <c r="O105" s="784"/>
      <c r="P105" s="784"/>
      <c r="Q105" s="784"/>
      <c r="R105" s="785"/>
      <c r="S105" s="783"/>
      <c r="T105" s="786"/>
    </row>
    <row r="106" spans="2:21">
      <c r="B106" s="787"/>
      <c r="C106" s="788"/>
      <c r="D106" s="788"/>
      <c r="E106" s="788"/>
      <c r="F106" s="788"/>
      <c r="G106" s="788"/>
      <c r="H106" s="783"/>
      <c r="I106" s="783"/>
      <c r="J106" s="783"/>
      <c r="K106" s="783"/>
      <c r="L106" s="783"/>
      <c r="M106" s="783"/>
      <c r="N106" s="783"/>
      <c r="O106" s="783"/>
      <c r="P106" s="783"/>
      <c r="Q106" s="783"/>
      <c r="R106" s="783"/>
      <c r="S106" s="783"/>
      <c r="T106" s="786"/>
    </row>
    <row r="107" spans="2:21" ht="21" customHeight="1">
      <c r="B107" s="789"/>
      <c r="C107" s="802" t="s">
        <v>2191</v>
      </c>
      <c r="D107" s="802"/>
      <c r="E107" s="802"/>
      <c r="F107" s="802"/>
      <c r="G107" s="802"/>
      <c r="H107" s="802"/>
      <c r="I107" s="802"/>
      <c r="J107" s="802"/>
      <c r="K107" s="802"/>
      <c r="L107" s="802"/>
      <c r="M107" s="802"/>
      <c r="N107" s="802"/>
      <c r="O107" s="802"/>
      <c r="P107" s="802"/>
      <c r="Q107" s="802"/>
      <c r="R107" s="802"/>
      <c r="S107" s="790"/>
      <c r="T107" s="791"/>
    </row>
    <row r="108" spans="2:21" ht="17.25" customHeight="1">
      <c r="B108" s="789"/>
      <c r="C108" s="802" t="s">
        <v>2192</v>
      </c>
      <c r="D108" s="802"/>
      <c r="E108" s="802"/>
      <c r="F108" s="802"/>
      <c r="G108" s="802"/>
      <c r="H108" s="802"/>
      <c r="I108" s="802"/>
      <c r="J108" s="802"/>
      <c r="K108" s="802"/>
      <c r="L108" s="802"/>
      <c r="M108" s="802"/>
      <c r="N108" s="802"/>
      <c r="O108" s="802"/>
      <c r="P108" s="802"/>
      <c r="Q108" s="802"/>
      <c r="R108" s="802"/>
      <c r="S108" s="802"/>
      <c r="T108" s="803"/>
    </row>
    <row r="109" spans="2:21" ht="21" customHeight="1">
      <c r="B109" s="789"/>
      <c r="C109" s="3060" t="s">
        <v>2193</v>
      </c>
      <c r="D109" s="3060"/>
      <c r="E109" s="3060"/>
      <c r="F109" s="3060"/>
      <c r="G109" s="3060"/>
      <c r="H109" s="3060"/>
      <c r="I109" s="3060"/>
      <c r="J109" s="3060"/>
      <c r="K109" s="3060"/>
      <c r="L109" s="3060"/>
      <c r="M109" s="3060"/>
      <c r="N109" s="3060"/>
      <c r="O109" s="3060"/>
      <c r="P109" s="3060"/>
      <c r="Q109" s="3060"/>
      <c r="R109" s="3060"/>
      <c r="S109" s="790"/>
      <c r="T109" s="791"/>
    </row>
    <row r="110" spans="2:21" ht="17.25" customHeight="1">
      <c r="B110" s="789"/>
      <c r="C110" s="783" t="s">
        <v>2194</v>
      </c>
      <c r="D110" s="783"/>
      <c r="E110" s="783"/>
      <c r="F110" s="783"/>
      <c r="G110" s="783"/>
      <c r="H110" s="783"/>
      <c r="I110" s="783"/>
      <c r="J110" s="783"/>
      <c r="K110" s="783"/>
      <c r="L110" s="783"/>
      <c r="M110" s="783"/>
      <c r="N110" s="783"/>
      <c r="O110" s="783"/>
      <c r="P110" s="783"/>
      <c r="Q110" s="783"/>
      <c r="R110" s="783"/>
      <c r="S110" s="783"/>
      <c r="T110" s="786"/>
    </row>
    <row r="111" spans="2:21" ht="21" customHeight="1">
      <c r="B111" s="787"/>
      <c r="C111" s="2403" t="s">
        <v>2195</v>
      </c>
      <c r="D111" s="2306"/>
      <c r="E111" s="2306"/>
      <c r="F111" s="2306"/>
      <c r="G111" s="2306"/>
      <c r="H111" s="2306"/>
      <c r="I111" s="2306"/>
      <c r="J111" s="2306"/>
      <c r="K111" s="2306"/>
      <c r="L111" s="2306"/>
      <c r="M111" s="2306"/>
      <c r="N111" s="2306"/>
      <c r="O111" s="2306"/>
      <c r="P111" s="2306"/>
      <c r="Q111" s="2306"/>
      <c r="R111" s="2306"/>
      <c r="S111" s="2306"/>
      <c r="T111" s="786"/>
    </row>
    <row r="112" spans="2:21" ht="21" customHeight="1">
      <c r="B112" s="787"/>
      <c r="C112" s="2374" t="s">
        <v>2196</v>
      </c>
      <c r="D112" s="802"/>
      <c r="E112" s="802"/>
      <c r="F112" s="802"/>
      <c r="G112" s="802"/>
      <c r="H112" s="802"/>
      <c r="I112" s="802"/>
      <c r="J112" s="802"/>
      <c r="K112" s="802"/>
      <c r="L112" s="802"/>
      <c r="M112" s="802"/>
      <c r="N112" s="802"/>
      <c r="O112" s="802"/>
      <c r="P112" s="802"/>
      <c r="Q112" s="802"/>
      <c r="R112" s="802"/>
      <c r="S112" s="802"/>
      <c r="T112" s="802"/>
      <c r="U112" s="2360"/>
    </row>
    <row r="113" spans="2:21">
      <c r="B113" s="2339"/>
      <c r="C113" s="2340"/>
      <c r="D113" s="2340"/>
      <c r="E113" s="2340"/>
      <c r="F113" s="2340"/>
      <c r="G113" s="2340"/>
      <c r="H113" s="955"/>
      <c r="I113" s="955"/>
      <c r="J113" s="955"/>
      <c r="K113" s="955"/>
      <c r="L113" s="955"/>
      <c r="M113" s="955"/>
      <c r="N113" s="955"/>
      <c r="O113" s="955"/>
      <c r="P113" s="955"/>
      <c r="Q113" s="955"/>
      <c r="R113" s="955"/>
      <c r="S113" s="955"/>
      <c r="T113" s="2341"/>
      <c r="U113" s="2360"/>
    </row>
    <row r="114" spans="2:21" ht="15.6">
      <c r="B114" s="2358"/>
      <c r="C114" s="2354"/>
      <c r="D114" s="2354"/>
      <c r="E114" s="2354"/>
      <c r="F114" s="2354"/>
      <c r="G114" s="2355"/>
      <c r="H114" s="2356"/>
      <c r="I114" s="2356"/>
      <c r="J114" s="2356"/>
      <c r="K114" s="2356"/>
      <c r="L114" s="2356"/>
      <c r="M114" s="2356"/>
      <c r="N114" s="2356"/>
      <c r="O114" s="2356"/>
      <c r="P114" s="2356"/>
      <c r="Q114" s="2356"/>
      <c r="R114" s="2356"/>
      <c r="S114" s="2356"/>
      <c r="T114" s="2359"/>
    </row>
    <row r="115" spans="2:21" ht="18">
      <c r="B115" s="779"/>
      <c r="C115" s="781" t="s">
        <v>2197</v>
      </c>
      <c r="D115" s="780"/>
      <c r="E115" s="780"/>
      <c r="F115" s="781"/>
      <c r="G115" s="782"/>
      <c r="H115" s="783"/>
      <c r="I115" s="783"/>
      <c r="J115" s="783"/>
      <c r="K115" s="783"/>
      <c r="L115" s="783"/>
      <c r="M115" s="783"/>
      <c r="N115" s="783"/>
      <c r="O115" s="784"/>
      <c r="P115" s="784"/>
      <c r="Q115" s="784"/>
      <c r="R115" s="785"/>
      <c r="S115" s="783"/>
      <c r="T115" s="786"/>
    </row>
    <row r="116" spans="2:21">
      <c r="B116" s="787"/>
      <c r="C116" s="788"/>
      <c r="D116" s="788"/>
      <c r="E116" s="788"/>
      <c r="F116" s="788"/>
      <c r="G116" s="788"/>
      <c r="H116" s="783"/>
      <c r="I116" s="783"/>
      <c r="J116" s="783"/>
      <c r="K116" s="783"/>
      <c r="L116" s="783"/>
      <c r="M116" s="783"/>
      <c r="N116" s="783"/>
      <c r="O116" s="783"/>
      <c r="P116" s="783"/>
      <c r="Q116" s="783"/>
      <c r="R116" s="783"/>
      <c r="S116" s="783"/>
      <c r="T116" s="786"/>
    </row>
    <row r="117" spans="2:21" ht="15" customHeight="1">
      <c r="B117" s="789"/>
      <c r="C117" s="802" t="s">
        <v>2198</v>
      </c>
      <c r="D117" s="802"/>
      <c r="E117" s="802"/>
      <c r="F117" s="802"/>
      <c r="G117" s="802"/>
      <c r="H117" s="802"/>
      <c r="I117" s="802"/>
      <c r="J117" s="802"/>
      <c r="K117" s="802"/>
      <c r="L117" s="802"/>
      <c r="M117" s="802"/>
      <c r="N117" s="802"/>
      <c r="O117" s="802"/>
      <c r="P117" s="802"/>
      <c r="Q117" s="802"/>
      <c r="R117" s="802"/>
      <c r="S117" s="790"/>
      <c r="T117" s="791"/>
    </row>
    <row r="118" spans="2:21" ht="21.75" customHeight="1">
      <c r="B118" s="789"/>
      <c r="C118" s="802" t="s">
        <v>2199</v>
      </c>
      <c r="D118" s="802"/>
      <c r="E118" s="802"/>
      <c r="F118" s="802"/>
      <c r="G118" s="802"/>
      <c r="H118" s="802"/>
      <c r="I118" s="802"/>
      <c r="J118" s="802"/>
      <c r="K118" s="802"/>
      <c r="L118" s="802"/>
      <c r="M118" s="802"/>
      <c r="N118" s="802"/>
      <c r="O118" s="802"/>
      <c r="P118" s="802"/>
      <c r="Q118" s="802"/>
      <c r="R118" s="802"/>
      <c r="S118" s="790"/>
      <c r="T118" s="791"/>
    </row>
    <row r="119" spans="2:21" ht="17.25" customHeight="1">
      <c r="B119" s="789"/>
      <c r="C119" s="802" t="s">
        <v>2200</v>
      </c>
      <c r="D119" s="802"/>
      <c r="E119" s="802"/>
      <c r="F119" s="802"/>
      <c r="G119" s="802"/>
      <c r="H119" s="802"/>
      <c r="I119" s="802"/>
      <c r="J119" s="802"/>
      <c r="K119" s="802"/>
      <c r="L119" s="802"/>
      <c r="M119" s="802"/>
      <c r="N119" s="802"/>
      <c r="O119" s="802"/>
      <c r="P119" s="802"/>
      <c r="Q119" s="802"/>
      <c r="R119" s="802"/>
      <c r="S119" s="802"/>
      <c r="T119" s="791"/>
    </row>
    <row r="120" spans="2:21" ht="45" customHeight="1">
      <c r="B120" s="789"/>
      <c r="C120" s="3957" t="s">
        <v>2201</v>
      </c>
      <c r="D120" s="3957"/>
      <c r="E120" s="3957"/>
      <c r="F120" s="3957"/>
      <c r="G120" s="3957"/>
      <c r="H120" s="3957"/>
      <c r="I120" s="3957"/>
      <c r="J120" s="3957"/>
      <c r="K120" s="3957"/>
      <c r="L120" s="3957"/>
      <c r="M120" s="3957"/>
      <c r="N120" s="3957"/>
      <c r="O120" s="3957"/>
      <c r="P120" s="3957"/>
      <c r="Q120" s="3957"/>
      <c r="R120" s="3957"/>
      <c r="S120" s="790"/>
      <c r="T120" s="791"/>
    </row>
    <row r="121" spans="2:21" ht="17.25" customHeight="1">
      <c r="B121" s="789"/>
      <c r="C121" s="783" t="s">
        <v>2202</v>
      </c>
      <c r="D121" s="783"/>
      <c r="E121" s="783"/>
      <c r="F121" s="783"/>
      <c r="G121" s="783"/>
      <c r="H121" s="783"/>
      <c r="I121" s="783"/>
      <c r="J121" s="783"/>
      <c r="K121" s="783"/>
      <c r="L121" s="783"/>
      <c r="M121" s="783"/>
      <c r="N121" s="783"/>
      <c r="O121" s="783"/>
      <c r="P121" s="783"/>
      <c r="Q121" s="783"/>
      <c r="R121" s="783"/>
      <c r="S121" s="783"/>
      <c r="T121" s="786"/>
    </row>
    <row r="122" spans="2:21" ht="17.25" customHeight="1">
      <c r="B122" s="787"/>
      <c r="C122" s="2306" t="s">
        <v>2203</v>
      </c>
      <c r="D122" s="2306"/>
      <c r="E122" s="2306"/>
      <c r="F122" s="2306"/>
      <c r="G122" s="2306"/>
      <c r="H122" s="2306"/>
      <c r="I122" s="2306"/>
      <c r="J122" s="2306"/>
      <c r="K122" s="2306"/>
      <c r="L122" s="2306"/>
      <c r="M122" s="2306"/>
      <c r="N122" s="2306"/>
      <c r="O122" s="2306"/>
      <c r="P122" s="2306"/>
      <c r="Q122" s="2306"/>
      <c r="R122" s="2306"/>
      <c r="S122" s="2306"/>
      <c r="T122" s="2313"/>
    </row>
    <row r="123" spans="2:21" ht="26.25" customHeight="1">
      <c r="B123" s="787"/>
      <c r="C123" s="2404" t="s">
        <v>2204</v>
      </c>
      <c r="D123" s="2306"/>
      <c r="E123" s="2306"/>
      <c r="F123" s="2306"/>
      <c r="G123" s="2306"/>
      <c r="H123" s="2306"/>
      <c r="I123" s="2306"/>
      <c r="J123" s="2306"/>
      <c r="K123" s="2306"/>
      <c r="L123" s="2306"/>
      <c r="M123" s="2306"/>
      <c r="N123" s="2306"/>
      <c r="O123" s="2306"/>
      <c r="P123" s="2306"/>
      <c r="Q123" s="2306"/>
      <c r="R123" s="2306"/>
      <c r="S123" s="2306"/>
      <c r="T123" s="2313"/>
    </row>
    <row r="124" spans="2:21" ht="17.25" customHeight="1">
      <c r="B124" s="787"/>
      <c r="C124" s="2306" t="s">
        <v>2205</v>
      </c>
      <c r="D124" s="2306"/>
      <c r="E124" s="2306"/>
      <c r="F124" s="2306"/>
      <c r="G124" s="2306"/>
      <c r="H124" s="2306"/>
      <c r="I124" s="2306"/>
      <c r="J124" s="2306"/>
      <c r="K124" s="2306"/>
      <c r="L124" s="2306"/>
      <c r="M124" s="2306"/>
      <c r="N124" s="2306"/>
      <c r="O124" s="2306"/>
      <c r="P124" s="2306"/>
      <c r="Q124" s="2306"/>
      <c r="R124" s="2306"/>
      <c r="S124" s="935"/>
      <c r="T124" s="786"/>
    </row>
    <row r="125" spans="2:21">
      <c r="B125" s="787"/>
      <c r="C125" s="2300"/>
      <c r="D125" s="937"/>
      <c r="E125" s="937"/>
      <c r="F125" s="934"/>
      <c r="G125" s="934"/>
      <c r="H125" s="934"/>
      <c r="I125" s="934"/>
      <c r="J125" s="934"/>
      <c r="K125" s="934"/>
      <c r="L125" s="934"/>
      <c r="M125" s="934"/>
      <c r="N125" s="934"/>
      <c r="O125" s="934"/>
      <c r="P125" s="934"/>
      <c r="Q125" s="934"/>
      <c r="R125" s="934"/>
      <c r="S125" s="935"/>
      <c r="T125" s="786"/>
    </row>
    <row r="126" spans="2:21">
      <c r="B126" s="2339"/>
      <c r="C126" s="2340"/>
      <c r="D126" s="2340"/>
      <c r="E126" s="2340"/>
      <c r="F126" s="2340"/>
      <c r="G126" s="2340"/>
      <c r="H126" s="955"/>
      <c r="I126" s="955"/>
      <c r="J126" s="955"/>
      <c r="K126" s="955"/>
      <c r="L126" s="955"/>
      <c r="M126" s="955"/>
      <c r="N126" s="955"/>
      <c r="O126" s="955"/>
      <c r="P126" s="955"/>
      <c r="Q126" s="955"/>
      <c r="R126" s="955"/>
      <c r="S126" s="955"/>
      <c r="T126" s="2341"/>
    </row>
    <row r="127" spans="2:21">
      <c r="B127" s="787"/>
      <c r="C127" s="788"/>
      <c r="D127" s="788"/>
      <c r="E127" s="788"/>
      <c r="F127" s="788"/>
      <c r="G127" s="788"/>
      <c r="H127" s="783"/>
      <c r="I127" s="783"/>
      <c r="J127" s="783"/>
      <c r="K127" s="783"/>
      <c r="L127" s="783"/>
      <c r="M127" s="783"/>
      <c r="N127" s="783"/>
      <c r="O127" s="783"/>
      <c r="P127" s="783"/>
      <c r="Q127" s="783"/>
      <c r="R127" s="783"/>
      <c r="S127" s="783"/>
      <c r="T127" s="786"/>
    </row>
    <row r="128" spans="2:21" ht="15.6">
      <c r="B128" s="787"/>
      <c r="C128" s="2337" t="s">
        <v>2206</v>
      </c>
      <c r="D128" s="788"/>
      <c r="E128" s="788"/>
      <c r="F128" s="788"/>
      <c r="G128" s="788"/>
      <c r="H128" s="783"/>
      <c r="I128" s="783"/>
      <c r="J128" s="783"/>
      <c r="K128" s="783"/>
      <c r="L128" s="783"/>
      <c r="M128" s="783"/>
      <c r="N128" s="783"/>
      <c r="O128" s="783"/>
      <c r="P128" s="783"/>
      <c r="Q128" s="783"/>
      <c r="R128" s="783"/>
      <c r="S128" s="783"/>
      <c r="T128" s="786"/>
    </row>
    <row r="129" spans="2:20" ht="12" customHeight="1">
      <c r="B129" s="787"/>
      <c r="C129" s="788"/>
      <c r="D129" s="2332"/>
      <c r="E129" s="788"/>
      <c r="F129" s="788"/>
      <c r="G129" s="788"/>
      <c r="H129" s="783"/>
      <c r="I129" s="783"/>
      <c r="J129" s="783"/>
      <c r="K129" s="783"/>
      <c r="L129" s="783"/>
      <c r="M129" s="783"/>
      <c r="N129" s="783"/>
      <c r="O129" s="783"/>
      <c r="P129" s="783"/>
      <c r="Q129" s="783"/>
      <c r="R129" s="783"/>
      <c r="S129" s="783"/>
      <c r="T129" s="786"/>
    </row>
    <row r="130" spans="2:20" ht="15.6">
      <c r="B130" s="2400" t="s">
        <v>2207</v>
      </c>
      <c r="C130" s="788"/>
      <c r="D130" s="2332"/>
      <c r="E130" s="788"/>
      <c r="F130" s="788"/>
      <c r="G130" s="788"/>
      <c r="H130" s="783"/>
      <c r="I130" s="783"/>
      <c r="J130" s="783"/>
      <c r="K130" s="783"/>
      <c r="L130" s="783"/>
      <c r="M130" s="783"/>
      <c r="N130" s="783"/>
      <c r="O130" s="783"/>
      <c r="P130" s="783"/>
      <c r="Q130" s="783"/>
      <c r="R130" s="783"/>
      <c r="S130" s="783"/>
      <c r="T130" s="786"/>
    </row>
    <row r="131" spans="2:20" ht="9.75" customHeight="1">
      <c r="B131" s="2400"/>
      <c r="C131" s="788"/>
      <c r="D131" s="2332"/>
      <c r="E131" s="788"/>
      <c r="F131" s="788"/>
      <c r="G131" s="788"/>
      <c r="H131" s="783"/>
      <c r="I131" s="783"/>
      <c r="J131" s="783"/>
      <c r="K131" s="783"/>
      <c r="L131" s="783"/>
      <c r="M131" s="783"/>
      <c r="N131" s="783"/>
      <c r="O131" s="783"/>
      <c r="P131" s="783"/>
      <c r="Q131" s="783"/>
      <c r="R131" s="783"/>
      <c r="S131" s="783"/>
      <c r="T131" s="786"/>
    </row>
    <row r="132" spans="2:20" ht="15.6">
      <c r="B132" s="2400" t="s">
        <v>2208</v>
      </c>
      <c r="C132" s="788"/>
      <c r="D132" s="2332"/>
      <c r="E132" s="788"/>
      <c r="F132" s="788"/>
      <c r="G132" s="788"/>
      <c r="H132" s="783"/>
      <c r="I132" s="783"/>
      <c r="J132" s="783"/>
      <c r="K132" s="783"/>
      <c r="L132" s="783"/>
      <c r="M132" s="783"/>
      <c r="N132" s="783"/>
      <c r="O132" s="783"/>
      <c r="P132" s="783"/>
      <c r="Q132" s="783"/>
      <c r="R132" s="783"/>
      <c r="S132" s="783"/>
      <c r="T132" s="786"/>
    </row>
    <row r="133" spans="2:20" ht="9.75" customHeight="1">
      <c r="B133" s="2400"/>
      <c r="C133" s="788"/>
      <c r="D133" s="2332"/>
      <c r="E133" s="788"/>
      <c r="F133" s="788"/>
      <c r="G133" s="788"/>
      <c r="H133" s="783"/>
      <c r="I133" s="783"/>
      <c r="J133" s="783"/>
      <c r="K133" s="783"/>
      <c r="L133" s="783"/>
      <c r="M133" s="783"/>
      <c r="N133" s="783"/>
      <c r="O133" s="783"/>
      <c r="P133" s="783"/>
      <c r="Q133" s="783"/>
      <c r="R133" s="783"/>
      <c r="S133" s="783"/>
      <c r="T133" s="786"/>
    </row>
    <row r="134" spans="2:20">
      <c r="B134" s="2400" t="s">
        <v>2209</v>
      </c>
      <c r="C134" s="788"/>
      <c r="D134" s="788"/>
      <c r="E134" s="788"/>
      <c r="F134" s="788"/>
      <c r="G134" s="788"/>
      <c r="H134" s="783"/>
      <c r="I134" s="783"/>
      <c r="J134" s="783"/>
      <c r="K134" s="783"/>
      <c r="L134" s="783"/>
      <c r="M134" s="783"/>
      <c r="N134" s="783"/>
      <c r="O134" s="783"/>
      <c r="P134" s="783"/>
      <c r="Q134" s="783"/>
      <c r="R134" s="783"/>
      <c r="S134" s="783"/>
      <c r="T134" s="786"/>
    </row>
    <row r="135" spans="2:20">
      <c r="B135" s="2400" t="s">
        <v>2210</v>
      </c>
      <c r="C135" s="788"/>
      <c r="D135" s="788"/>
      <c r="E135" s="788"/>
      <c r="F135" s="788"/>
      <c r="G135" s="788"/>
      <c r="H135" s="783"/>
      <c r="I135" s="783"/>
      <c r="J135" s="783"/>
      <c r="K135" s="783"/>
      <c r="L135" s="783"/>
      <c r="M135" s="783"/>
      <c r="N135" s="783"/>
      <c r="O135" s="783"/>
      <c r="P135" s="783"/>
      <c r="Q135" s="783"/>
      <c r="R135" s="783"/>
      <c r="S135" s="783"/>
      <c r="T135" s="786"/>
    </row>
    <row r="136" spans="2:20" ht="15" thickBot="1">
      <c r="B136" s="792"/>
      <c r="C136" s="793"/>
      <c r="D136" s="793"/>
      <c r="E136" s="793"/>
      <c r="F136" s="793"/>
      <c r="G136" s="793"/>
      <c r="H136" s="794"/>
      <c r="I136" s="794"/>
      <c r="J136" s="794"/>
      <c r="K136" s="794"/>
      <c r="L136" s="794"/>
      <c r="M136" s="794"/>
      <c r="N136" s="794"/>
      <c r="O136" s="794"/>
      <c r="P136" s="794"/>
      <c r="Q136" s="794"/>
      <c r="R136" s="794"/>
      <c r="S136" s="794"/>
      <c r="T136" s="795"/>
    </row>
    <row r="137" spans="2:20" ht="27" customHeight="1">
      <c r="B137" s="588"/>
      <c r="C137" s="587"/>
      <c r="D137" s="587"/>
      <c r="E137" s="587"/>
      <c r="R137" s="1178"/>
      <c r="S137" s="1178"/>
      <c r="T137" s="1178"/>
    </row>
    <row r="138" spans="2:20" ht="27.75" customHeight="1">
      <c r="B138" s="938" t="s">
        <v>2211</v>
      </c>
      <c r="C138" s="842"/>
      <c r="D138" s="842"/>
      <c r="E138" s="842"/>
      <c r="F138" s="842"/>
      <c r="G138" s="842"/>
      <c r="H138" s="842"/>
      <c r="I138" s="842"/>
      <c r="J138" s="842"/>
      <c r="K138" s="842"/>
      <c r="L138" s="842"/>
      <c r="M138" s="842"/>
      <c r="N138" s="843"/>
      <c r="O138" s="843"/>
      <c r="P138" s="843"/>
      <c r="Q138" s="843"/>
      <c r="R138" s="771"/>
      <c r="S138" s="771"/>
      <c r="T138" s="771"/>
    </row>
    <row r="139" spans="2:20" ht="21.6" thickBot="1">
      <c r="B139" s="2301"/>
      <c r="C139" s="2302"/>
      <c r="D139" s="2302"/>
      <c r="E139" s="2302"/>
      <c r="F139" s="2302"/>
      <c r="G139" s="2302"/>
      <c r="H139" s="2302"/>
      <c r="I139" s="2302"/>
      <c r="J139" s="2302"/>
      <c r="K139" s="2302"/>
      <c r="L139" s="2302"/>
      <c r="M139" s="2302"/>
      <c r="N139" s="2303"/>
      <c r="O139" s="2303"/>
      <c r="P139" s="2303"/>
      <c r="Q139" s="2303"/>
    </row>
    <row r="140" spans="2:20" ht="12.75" customHeight="1">
      <c r="B140" s="2345"/>
      <c r="C140" s="2346"/>
      <c r="D140" s="2346"/>
      <c r="E140" s="2346"/>
      <c r="F140" s="2346"/>
      <c r="G140" s="2346"/>
      <c r="H140" s="2346"/>
      <c r="I140" s="2346"/>
      <c r="J140" s="2346"/>
      <c r="K140" s="2346"/>
      <c r="L140" s="2346"/>
      <c r="M140" s="2346"/>
      <c r="N140" s="2347"/>
      <c r="O140" s="2347"/>
      <c r="P140" s="2347"/>
      <c r="Q140" s="2347"/>
      <c r="R140" s="2326"/>
      <c r="S140" s="2326"/>
      <c r="T140" s="2327"/>
    </row>
    <row r="141" spans="2:20" ht="12.75" customHeight="1">
      <c r="B141" s="2348"/>
      <c r="C141" s="2377" t="s">
        <v>2212</v>
      </c>
      <c r="D141" s="2398"/>
      <c r="E141" s="2398"/>
      <c r="F141" s="2398"/>
      <c r="G141" s="2398"/>
      <c r="H141" s="2398"/>
      <c r="I141" s="2398"/>
      <c r="J141" s="2398"/>
      <c r="K141" s="2349"/>
      <c r="L141" s="2349"/>
      <c r="M141" s="2349"/>
      <c r="N141" s="2350"/>
      <c r="O141" s="2350"/>
      <c r="P141" s="2350"/>
      <c r="Q141" s="2350"/>
      <c r="R141" s="783"/>
      <c r="S141" s="783"/>
      <c r="T141" s="786"/>
    </row>
    <row r="142" spans="2:20" ht="12.75" customHeight="1">
      <c r="B142" s="2348"/>
      <c r="C142" s="2377"/>
      <c r="D142" s="2398"/>
      <c r="E142" s="2398"/>
      <c r="F142" s="2398"/>
      <c r="G142" s="2398"/>
      <c r="H142" s="2398"/>
      <c r="I142" s="2398"/>
      <c r="J142" s="2398"/>
      <c r="K142" s="2349"/>
      <c r="L142" s="2349"/>
      <c r="M142" s="2349"/>
      <c r="N142" s="2350"/>
      <c r="O142" s="2350"/>
      <c r="P142" s="2350"/>
      <c r="Q142" s="2350"/>
      <c r="R142" s="783"/>
      <c r="S142" s="783"/>
      <c r="T142" s="786"/>
    </row>
    <row r="143" spans="2:20" ht="32.25" customHeight="1">
      <c r="B143" s="2348"/>
      <c r="C143" s="3948" t="s">
        <v>2145</v>
      </c>
      <c r="D143" s="3949"/>
      <c r="E143" s="3950" t="s">
        <v>2178</v>
      </c>
      <c r="F143" s="3951"/>
      <c r="G143" s="3952"/>
      <c r="H143" s="3950" t="s">
        <v>2179</v>
      </c>
      <c r="I143" s="3952"/>
      <c r="J143" s="3950" t="s">
        <v>2180</v>
      </c>
      <c r="K143" s="3952"/>
      <c r="L143" s="2349"/>
      <c r="M143" s="2349"/>
      <c r="N143" s="2350"/>
      <c r="O143" s="2350"/>
      <c r="P143" s="2350"/>
      <c r="Q143" s="2350"/>
      <c r="R143" s="783"/>
      <c r="S143" s="783"/>
      <c r="T143" s="786"/>
    </row>
    <row r="144" spans="2:20" ht="21">
      <c r="B144" s="2348"/>
      <c r="C144" s="3948" t="s">
        <v>2150</v>
      </c>
      <c r="D144" s="3949"/>
      <c r="E144" s="3953" t="s">
        <v>2213</v>
      </c>
      <c r="F144" s="3954"/>
      <c r="G144" s="3955"/>
      <c r="H144" s="3953" t="s">
        <v>2214</v>
      </c>
      <c r="I144" s="3955"/>
      <c r="J144" s="3953" t="s">
        <v>2215</v>
      </c>
      <c r="K144" s="3955"/>
      <c r="L144" s="2365" t="s">
        <v>2216</v>
      </c>
      <c r="M144" s="2349"/>
      <c r="N144" s="2350"/>
      <c r="O144" s="2350"/>
      <c r="P144" s="2350"/>
      <c r="Q144" s="2350"/>
      <c r="R144" s="783"/>
      <c r="S144" s="783"/>
      <c r="T144" s="786"/>
    </row>
    <row r="145" spans="2:20" ht="21">
      <c r="B145" s="2348"/>
      <c r="C145" s="3958" t="s">
        <v>2153</v>
      </c>
      <c r="D145" s="3959"/>
      <c r="E145" s="3953" t="s">
        <v>2217</v>
      </c>
      <c r="F145" s="3954"/>
      <c r="G145" s="3954"/>
      <c r="H145" s="3954"/>
      <c r="I145" s="3954"/>
      <c r="J145" s="3954"/>
      <c r="K145" s="3955"/>
      <c r="L145" s="2349"/>
      <c r="M145" s="2349"/>
      <c r="N145" s="2350"/>
      <c r="O145" s="2350"/>
      <c r="P145" s="2350"/>
      <c r="Q145" s="2350"/>
      <c r="R145" s="783"/>
      <c r="S145" s="783"/>
      <c r="T145" s="786"/>
    </row>
    <row r="146" spans="2:20" ht="15" customHeight="1">
      <c r="B146" s="2348"/>
      <c r="C146" s="2334"/>
      <c r="D146" s="2334"/>
      <c r="E146" s="2335"/>
      <c r="F146" s="2335"/>
      <c r="G146" s="2335"/>
      <c r="H146" s="2335"/>
      <c r="I146" s="2335"/>
      <c r="J146" s="2335"/>
      <c r="K146" s="2335"/>
      <c r="L146" s="2349"/>
      <c r="M146" s="2349"/>
      <c r="N146" s="2350"/>
      <c r="O146" s="2350"/>
      <c r="P146" s="2350"/>
      <c r="Q146" s="2350"/>
      <c r="R146" s="783"/>
      <c r="S146" s="783"/>
      <c r="T146" s="786"/>
    </row>
    <row r="147" spans="2:20" ht="21">
      <c r="B147" s="2348"/>
      <c r="C147" s="2337" t="s">
        <v>2155</v>
      </c>
      <c r="D147" s="2335"/>
      <c r="E147" s="2335"/>
      <c r="F147" s="2335"/>
      <c r="G147" s="2335"/>
      <c r="H147" s="2335"/>
      <c r="I147" s="2335"/>
      <c r="J147" s="2335"/>
      <c r="K147" s="2335"/>
      <c r="L147" s="2349"/>
      <c r="M147" s="2349"/>
      <c r="N147" s="2350"/>
      <c r="O147" s="2350"/>
      <c r="P147" s="2350"/>
      <c r="Q147" s="2350"/>
      <c r="R147" s="783"/>
      <c r="S147" s="783"/>
      <c r="T147" s="786"/>
    </row>
    <row r="148" spans="2:20" ht="11.25" customHeight="1">
      <c r="B148" s="2348"/>
      <c r="C148" s="2338"/>
      <c r="D148" s="2338"/>
      <c r="E148" s="933"/>
      <c r="F148" s="933"/>
      <c r="G148" s="933"/>
      <c r="H148" s="933"/>
      <c r="I148" s="933"/>
      <c r="J148" s="933"/>
      <c r="K148" s="933"/>
      <c r="L148" s="2361"/>
      <c r="M148" s="2361"/>
      <c r="N148" s="2362"/>
      <c r="O148" s="2362"/>
      <c r="P148" s="2362"/>
      <c r="Q148" s="2362"/>
      <c r="R148" s="933"/>
      <c r="S148" s="933"/>
      <c r="T148" s="2330"/>
    </row>
    <row r="149" spans="2:20" ht="17.25" customHeight="1">
      <c r="B149" s="2348"/>
      <c r="C149" s="959" t="s">
        <v>2218</v>
      </c>
      <c r="D149" s="2338"/>
      <c r="E149" s="933"/>
      <c r="F149" s="933"/>
      <c r="G149" s="933"/>
      <c r="H149" s="933"/>
      <c r="I149" s="933"/>
      <c r="J149" s="933"/>
      <c r="K149" s="933"/>
      <c r="L149" s="2361"/>
      <c r="M149" s="2361"/>
      <c r="N149" s="2362"/>
      <c r="O149" s="2362"/>
      <c r="P149" s="2362"/>
      <c r="Q149" s="2362"/>
      <c r="R149" s="933"/>
      <c r="S149" s="933"/>
      <c r="T149" s="2330"/>
    </row>
    <row r="150" spans="2:20" ht="17.25" customHeight="1">
      <c r="B150" s="2348"/>
      <c r="C150" s="959" t="s">
        <v>2186</v>
      </c>
      <c r="D150" s="2338"/>
      <c r="E150" s="933"/>
      <c r="F150" s="933"/>
      <c r="G150" s="933"/>
      <c r="H150" s="933"/>
      <c r="I150" s="933"/>
      <c r="J150" s="933"/>
      <c r="K150" s="933"/>
      <c r="L150" s="2361"/>
      <c r="M150" s="2361"/>
      <c r="N150" s="2362"/>
      <c r="O150" s="2362"/>
      <c r="P150" s="2362"/>
      <c r="Q150" s="2362"/>
      <c r="R150" s="933"/>
      <c r="S150" s="933"/>
      <c r="T150" s="2330"/>
    </row>
    <row r="151" spans="2:20" ht="17.25" customHeight="1">
      <c r="B151" s="2348"/>
      <c r="C151" s="959" t="s">
        <v>2219</v>
      </c>
      <c r="D151" s="2338"/>
      <c r="E151" s="933"/>
      <c r="F151" s="933"/>
      <c r="G151" s="933"/>
      <c r="H151" s="933"/>
      <c r="I151" s="933"/>
      <c r="J151" s="933"/>
      <c r="K151" s="933"/>
      <c r="L151" s="2361"/>
      <c r="M151" s="2361"/>
      <c r="N151" s="2362"/>
      <c r="O151" s="2362"/>
      <c r="P151" s="2362"/>
      <c r="Q151" s="2362"/>
      <c r="R151" s="933"/>
      <c r="S151" s="933"/>
      <c r="T151" s="2330"/>
    </row>
    <row r="152" spans="2:20" ht="30" customHeight="1">
      <c r="B152" s="2348"/>
      <c r="C152" s="2337" t="s">
        <v>2188</v>
      </c>
      <c r="D152" s="933"/>
      <c r="E152" s="933"/>
      <c r="F152" s="933"/>
      <c r="G152" s="933"/>
      <c r="H152" s="933"/>
      <c r="I152" s="933"/>
      <c r="J152" s="933"/>
      <c r="K152" s="933"/>
      <c r="L152" s="2361"/>
      <c r="M152" s="2361"/>
      <c r="N152" s="2362"/>
      <c r="O152" s="2362"/>
      <c r="P152" s="2362"/>
      <c r="Q152" s="2362"/>
      <c r="R152" s="933"/>
      <c r="S152" s="933"/>
      <c r="T152" s="2330"/>
    </row>
    <row r="153" spans="2:20" ht="21">
      <c r="B153" s="2348"/>
      <c r="C153" s="959" t="s">
        <v>2220</v>
      </c>
      <c r="D153" s="2337"/>
      <c r="E153" s="933"/>
      <c r="F153" s="933"/>
      <c r="G153" s="933"/>
      <c r="H153" s="933"/>
      <c r="I153" s="933"/>
      <c r="J153" s="933"/>
      <c r="K153" s="933"/>
      <c r="L153" s="2361"/>
      <c r="M153" s="2361"/>
      <c r="N153" s="2362"/>
      <c r="O153" s="2362"/>
      <c r="P153" s="2362"/>
      <c r="Q153" s="2362"/>
      <c r="R153" s="933"/>
      <c r="S153" s="933"/>
      <c r="T153" s="2330"/>
    </row>
    <row r="154" spans="2:20" ht="21">
      <c r="B154" s="2348"/>
      <c r="C154" s="2361"/>
      <c r="D154" s="2361"/>
      <c r="E154" s="2361"/>
      <c r="F154" s="2361"/>
      <c r="G154" s="2361"/>
      <c r="H154" s="2361"/>
      <c r="I154" s="2361"/>
      <c r="J154" s="2361"/>
      <c r="K154" s="2361"/>
      <c r="L154" s="2361"/>
      <c r="M154" s="2361"/>
      <c r="N154" s="2362"/>
      <c r="O154" s="2362"/>
      <c r="P154" s="2362"/>
      <c r="Q154" s="2362"/>
      <c r="R154" s="933"/>
      <c r="S154" s="933"/>
      <c r="T154" s="2330"/>
    </row>
    <row r="155" spans="2:20" ht="15.6">
      <c r="B155" s="2358"/>
      <c r="C155" s="2354"/>
      <c r="D155" s="2354"/>
      <c r="E155" s="2354"/>
      <c r="F155" s="2354"/>
      <c r="G155" s="2355"/>
      <c r="H155" s="2356"/>
      <c r="I155" s="2356"/>
      <c r="J155" s="2356"/>
      <c r="K155" s="2356"/>
      <c r="L155" s="2356"/>
      <c r="M155" s="2356"/>
      <c r="N155" s="2356"/>
      <c r="O155" s="2356"/>
      <c r="P155" s="2356"/>
      <c r="Q155" s="2356"/>
      <c r="R155" s="2356"/>
      <c r="S155" s="2356"/>
      <c r="T155" s="2359"/>
    </row>
    <row r="156" spans="2:20" ht="18">
      <c r="B156" s="779"/>
      <c r="C156" s="780" t="s">
        <v>2221</v>
      </c>
      <c r="D156" s="780"/>
      <c r="E156" s="780"/>
      <c r="F156" s="781"/>
      <c r="G156" s="782"/>
      <c r="H156" s="783"/>
      <c r="I156" s="783"/>
      <c r="J156" s="783"/>
      <c r="K156" s="783"/>
      <c r="L156" s="783"/>
      <c r="M156" s="783"/>
      <c r="N156" s="783"/>
      <c r="O156" s="784"/>
      <c r="P156" s="784"/>
      <c r="Q156" s="784"/>
      <c r="R156" s="785"/>
      <c r="S156" s="783"/>
      <c r="T156" s="786"/>
    </row>
    <row r="157" spans="2:20" ht="6.75" customHeight="1">
      <c r="B157" s="787"/>
      <c r="C157" s="788"/>
      <c r="D157" s="788"/>
      <c r="E157" s="788"/>
      <c r="F157" s="788"/>
      <c r="G157" s="788"/>
      <c r="H157" s="783"/>
      <c r="I157" s="783"/>
      <c r="J157" s="783"/>
      <c r="K157" s="783"/>
      <c r="L157" s="783"/>
      <c r="M157" s="783"/>
      <c r="N157" s="783"/>
      <c r="O157" s="783"/>
      <c r="P157" s="783"/>
      <c r="Q157" s="783"/>
      <c r="R157" s="783"/>
      <c r="S157" s="783"/>
      <c r="T157" s="786"/>
    </row>
    <row r="158" spans="2:20">
      <c r="B158" s="789"/>
      <c r="C158" s="3084" t="s">
        <v>2222</v>
      </c>
      <c r="D158" s="3084"/>
      <c r="E158" s="3084"/>
      <c r="F158" s="3084"/>
      <c r="G158" s="3084"/>
      <c r="H158" s="3084"/>
      <c r="I158" s="3084"/>
      <c r="J158" s="3084"/>
      <c r="K158" s="3084"/>
      <c r="L158" s="3084"/>
      <c r="M158" s="3084"/>
      <c r="N158" s="3084"/>
      <c r="O158" s="3084"/>
      <c r="P158" s="3084"/>
      <c r="Q158" s="3084"/>
      <c r="R158" s="3084"/>
      <c r="S158" s="790"/>
      <c r="T158" s="791"/>
    </row>
    <row r="159" spans="2:20" ht="6.75" customHeight="1">
      <c r="B159" s="789"/>
      <c r="C159" s="2295"/>
      <c r="D159" s="2295"/>
      <c r="E159" s="2295"/>
      <c r="F159" s="2296"/>
      <c r="G159" s="2296"/>
      <c r="H159" s="2296"/>
      <c r="I159" s="2296"/>
      <c r="J159" s="2296"/>
      <c r="K159" s="2296"/>
      <c r="L159" s="2296"/>
      <c r="M159" s="2296"/>
      <c r="N159" s="2296"/>
      <c r="O159" s="2296"/>
      <c r="P159" s="2296"/>
      <c r="Q159" s="2296"/>
      <c r="R159" s="2296"/>
      <c r="S159" s="790"/>
      <c r="T159" s="791"/>
    </row>
    <row r="160" spans="2:20">
      <c r="B160" s="789"/>
      <c r="C160" s="3060" t="s">
        <v>2223</v>
      </c>
      <c r="D160" s="3060"/>
      <c r="E160" s="3060"/>
      <c r="F160" s="3060"/>
      <c r="G160" s="3060"/>
      <c r="H160" s="3060"/>
      <c r="I160" s="3060"/>
      <c r="J160" s="3060"/>
      <c r="K160" s="3060"/>
      <c r="L160" s="3060"/>
      <c r="M160" s="3060"/>
      <c r="N160" s="3060"/>
      <c r="O160" s="3060"/>
      <c r="P160" s="3060"/>
      <c r="Q160" s="3060"/>
      <c r="R160" s="3060"/>
      <c r="S160" s="790"/>
      <c r="T160" s="791"/>
    </row>
    <row r="161" spans="2:20" ht="6.75" customHeight="1">
      <c r="B161" s="789"/>
      <c r="C161" s="936"/>
      <c r="D161" s="936"/>
      <c r="E161" s="936"/>
      <c r="F161" s="1179"/>
      <c r="G161" s="1179"/>
      <c r="H161" s="1179"/>
      <c r="I161" s="1179"/>
      <c r="J161" s="1179"/>
      <c r="K161" s="1179"/>
      <c r="L161" s="1179"/>
      <c r="M161" s="1179"/>
      <c r="N161" s="1179"/>
      <c r="O161" s="1179"/>
      <c r="P161" s="1179"/>
      <c r="Q161" s="1179"/>
      <c r="R161" s="1179"/>
      <c r="S161" s="790"/>
      <c r="T161" s="791"/>
    </row>
    <row r="162" spans="2:20" ht="6.75" customHeight="1">
      <c r="B162" s="787"/>
      <c r="C162" s="937"/>
      <c r="D162" s="937"/>
      <c r="E162" s="937"/>
      <c r="F162" s="934"/>
      <c r="G162" s="934"/>
      <c r="H162" s="934"/>
      <c r="I162" s="934"/>
      <c r="J162" s="934"/>
      <c r="K162" s="934"/>
      <c r="L162" s="934"/>
      <c r="M162" s="934"/>
      <c r="N162" s="934"/>
      <c r="O162" s="934"/>
      <c r="P162" s="934"/>
      <c r="Q162" s="934"/>
      <c r="R162" s="934"/>
      <c r="S162" s="935"/>
      <c r="T162" s="786"/>
    </row>
    <row r="163" spans="2:20" ht="6.75" customHeight="1">
      <c r="B163" s="2339"/>
      <c r="C163" s="2340"/>
      <c r="D163" s="2340"/>
      <c r="E163" s="2340"/>
      <c r="F163" s="2340"/>
      <c r="G163" s="2340"/>
      <c r="H163" s="955"/>
      <c r="I163" s="955"/>
      <c r="J163" s="955"/>
      <c r="K163" s="955"/>
      <c r="L163" s="955"/>
      <c r="M163" s="955"/>
      <c r="N163" s="955"/>
      <c r="O163" s="955"/>
      <c r="P163" s="955"/>
      <c r="Q163" s="955"/>
      <c r="R163" s="955"/>
      <c r="S163" s="955"/>
      <c r="T163" s="2341"/>
    </row>
    <row r="164" spans="2:20" ht="15.6">
      <c r="B164" s="2358"/>
      <c r="C164" s="2354"/>
      <c r="D164" s="2354"/>
      <c r="E164" s="2354"/>
      <c r="F164" s="2354"/>
      <c r="G164" s="2355"/>
      <c r="H164" s="2356"/>
      <c r="I164" s="2356"/>
      <c r="J164" s="2356"/>
      <c r="K164" s="2356"/>
      <c r="L164" s="2356"/>
      <c r="M164" s="2356"/>
      <c r="N164" s="2356"/>
      <c r="O164" s="2356"/>
      <c r="P164" s="2356"/>
      <c r="Q164" s="2356"/>
      <c r="R164" s="2356"/>
      <c r="S164" s="2356"/>
      <c r="T164" s="2359"/>
    </row>
    <row r="165" spans="2:20" ht="18">
      <c r="B165" s="779"/>
      <c r="C165" s="780" t="s">
        <v>2224</v>
      </c>
      <c r="D165" s="780"/>
      <c r="E165" s="780"/>
      <c r="F165" s="781"/>
      <c r="G165" s="782"/>
      <c r="H165" s="783"/>
      <c r="I165" s="783"/>
      <c r="J165" s="783"/>
      <c r="K165" s="783"/>
      <c r="L165" s="783"/>
      <c r="M165" s="783"/>
      <c r="N165" s="783"/>
      <c r="O165" s="784"/>
      <c r="P165" s="784"/>
      <c r="Q165" s="784"/>
      <c r="R165" s="785"/>
      <c r="S165" s="783"/>
      <c r="T165" s="786"/>
    </row>
    <row r="166" spans="2:20" ht="6.75" customHeight="1">
      <c r="B166" s="787"/>
      <c r="C166" s="788"/>
      <c r="D166" s="788"/>
      <c r="E166" s="788"/>
      <c r="F166" s="788"/>
      <c r="G166" s="788"/>
      <c r="H166" s="783"/>
      <c r="I166" s="783"/>
      <c r="J166" s="783"/>
      <c r="K166" s="783"/>
      <c r="L166" s="783"/>
      <c r="M166" s="783"/>
      <c r="N166" s="783"/>
      <c r="O166" s="783"/>
      <c r="P166" s="783"/>
      <c r="Q166" s="783"/>
      <c r="R166" s="783"/>
      <c r="S166" s="783"/>
      <c r="T166" s="786"/>
    </row>
    <row r="167" spans="2:20">
      <c r="B167" s="789"/>
      <c r="C167" s="3084" t="s">
        <v>2225</v>
      </c>
      <c r="D167" s="3084"/>
      <c r="E167" s="3084"/>
      <c r="F167" s="3084"/>
      <c r="G167" s="3084"/>
      <c r="H167" s="3084"/>
      <c r="I167" s="3084"/>
      <c r="J167" s="3084"/>
      <c r="K167" s="3084"/>
      <c r="L167" s="3084"/>
      <c r="M167" s="3084"/>
      <c r="N167" s="3084"/>
      <c r="O167" s="3084"/>
      <c r="P167" s="3084"/>
      <c r="Q167" s="3084"/>
      <c r="R167" s="3084"/>
      <c r="S167" s="790"/>
      <c r="T167" s="791"/>
    </row>
    <row r="168" spans="2:20" ht="6.75" customHeight="1">
      <c r="B168" s="789"/>
      <c r="C168" s="2295"/>
      <c r="D168" s="2295"/>
      <c r="E168" s="2295"/>
      <c r="F168" s="2296"/>
      <c r="G168" s="2296"/>
      <c r="H168" s="2296"/>
      <c r="I168" s="2296"/>
      <c r="J168" s="2296"/>
      <c r="K168" s="2296"/>
      <c r="L168" s="2296"/>
      <c r="M168" s="2296"/>
      <c r="N168" s="2296"/>
      <c r="O168" s="2296"/>
      <c r="P168" s="2296"/>
      <c r="Q168" s="2296"/>
      <c r="R168" s="2296"/>
      <c r="S168" s="790"/>
      <c r="T168" s="791"/>
    </row>
    <row r="169" spans="2:20">
      <c r="B169" s="789"/>
      <c r="C169" s="3060" t="s">
        <v>2226</v>
      </c>
      <c r="D169" s="3060"/>
      <c r="E169" s="3060"/>
      <c r="F169" s="3060"/>
      <c r="G169" s="3060"/>
      <c r="H169" s="3060"/>
      <c r="I169" s="3060"/>
      <c r="J169" s="3060"/>
      <c r="K169" s="3060"/>
      <c r="L169" s="3060"/>
      <c r="M169" s="3060"/>
      <c r="N169" s="3060"/>
      <c r="O169" s="3060"/>
      <c r="P169" s="3060"/>
      <c r="Q169" s="3060"/>
      <c r="R169" s="3060"/>
      <c r="S169" s="790"/>
      <c r="T169" s="791"/>
    </row>
    <row r="170" spans="2:20" ht="6.75" customHeight="1">
      <c r="B170" s="789"/>
      <c r="C170" s="936"/>
      <c r="D170" s="936"/>
      <c r="E170" s="936"/>
      <c r="F170" s="1179"/>
      <c r="G170" s="1179"/>
      <c r="H170" s="1179"/>
      <c r="I170" s="1179"/>
      <c r="J170" s="1179"/>
      <c r="K170" s="1179"/>
      <c r="L170" s="1179"/>
      <c r="M170" s="1179"/>
      <c r="N170" s="1179"/>
      <c r="O170" s="1179"/>
      <c r="P170" s="1179"/>
      <c r="Q170" s="1179"/>
      <c r="R170" s="1179"/>
      <c r="S170" s="790"/>
      <c r="T170" s="791"/>
    </row>
    <row r="171" spans="2:20" ht="6.75" customHeight="1">
      <c r="B171" s="787"/>
      <c r="C171" s="937"/>
      <c r="D171" s="937"/>
      <c r="E171" s="937"/>
      <c r="F171" s="934"/>
      <c r="G171" s="934"/>
      <c r="H171" s="934"/>
      <c r="I171" s="934"/>
      <c r="J171" s="934"/>
      <c r="K171" s="934"/>
      <c r="L171" s="934"/>
      <c r="M171" s="934"/>
      <c r="N171" s="934"/>
      <c r="O171" s="934"/>
      <c r="P171" s="934"/>
      <c r="Q171" s="934"/>
      <c r="R171" s="934"/>
      <c r="S171" s="935"/>
      <c r="T171" s="786"/>
    </row>
    <row r="172" spans="2:20" ht="15" thickBot="1">
      <c r="B172" s="792"/>
      <c r="C172" s="793"/>
      <c r="D172" s="793"/>
      <c r="E172" s="793"/>
      <c r="F172" s="793"/>
      <c r="G172" s="793"/>
      <c r="H172" s="794"/>
      <c r="I172" s="794"/>
      <c r="J172" s="794"/>
      <c r="K172" s="794"/>
      <c r="L172" s="794"/>
      <c r="M172" s="794"/>
      <c r="N172" s="794"/>
      <c r="O172" s="794"/>
      <c r="P172" s="794"/>
      <c r="Q172" s="794"/>
      <c r="R172" s="794"/>
      <c r="S172" s="794"/>
      <c r="T172" s="795"/>
    </row>
    <row r="173" spans="2:20" ht="27" customHeight="1">
      <c r="B173" s="588"/>
      <c r="C173" s="587"/>
      <c r="D173" s="587"/>
      <c r="E173" s="587"/>
      <c r="R173" s="1178"/>
      <c r="S173" s="1178"/>
      <c r="T173" s="1178"/>
    </row>
    <row r="174" spans="2:20" ht="27.75" customHeight="1">
      <c r="B174" s="938" t="s">
        <v>2227</v>
      </c>
      <c r="C174" s="842"/>
      <c r="D174" s="842"/>
      <c r="E174" s="842"/>
      <c r="F174" s="842"/>
      <c r="G174" s="842"/>
      <c r="H174" s="842"/>
      <c r="I174" s="842"/>
      <c r="J174" s="842"/>
      <c r="K174" s="842"/>
      <c r="L174" s="842"/>
      <c r="M174" s="842"/>
      <c r="N174" s="843"/>
      <c r="O174" s="843"/>
      <c r="P174" s="843"/>
      <c r="Q174" s="843"/>
      <c r="R174" s="771"/>
      <c r="S174" s="771"/>
      <c r="T174" s="771"/>
    </row>
    <row r="175" spans="2:20" ht="21.6" thickBot="1">
      <c r="B175" s="2301"/>
      <c r="C175" s="2302"/>
      <c r="D175" s="2302"/>
      <c r="E175" s="2302"/>
      <c r="F175" s="2302"/>
      <c r="G175" s="2302"/>
      <c r="H175" s="2302"/>
      <c r="I175" s="2302"/>
      <c r="J175" s="2302"/>
      <c r="K175" s="2302"/>
      <c r="L175" s="2302"/>
      <c r="M175" s="2302"/>
      <c r="N175" s="2303"/>
      <c r="O175" s="2303"/>
      <c r="P175" s="2303"/>
      <c r="Q175" s="2303"/>
    </row>
    <row r="176" spans="2:20" ht="12.75" customHeight="1">
      <c r="B176" s="2345"/>
      <c r="C176" s="2346"/>
      <c r="D176" s="2346"/>
      <c r="E176" s="2346"/>
      <c r="F176" s="2346"/>
      <c r="G176" s="2346"/>
      <c r="H176" s="2346"/>
      <c r="I176" s="2346"/>
      <c r="J176" s="2346"/>
      <c r="K176" s="2346"/>
      <c r="L176" s="2346"/>
      <c r="M176" s="2346"/>
      <c r="N176" s="2347"/>
      <c r="O176" s="2347"/>
      <c r="P176" s="2347"/>
      <c r="Q176" s="2347"/>
      <c r="R176" s="2326"/>
      <c r="S176" s="2326"/>
      <c r="T176" s="2327"/>
    </row>
    <row r="177" spans="2:20" ht="12.75" customHeight="1">
      <c r="B177" s="2348"/>
      <c r="C177" s="2365" t="s">
        <v>2228</v>
      </c>
      <c r="D177" s="2349"/>
      <c r="E177" s="2349"/>
      <c r="F177" s="2349"/>
      <c r="G177" s="2349"/>
      <c r="H177" s="2349"/>
      <c r="I177" s="2349"/>
      <c r="J177" s="2349"/>
      <c r="K177" s="2349"/>
      <c r="L177" s="2349"/>
      <c r="M177" s="2349"/>
      <c r="N177" s="2350"/>
      <c r="O177" s="2350"/>
      <c r="P177" s="2350"/>
      <c r="Q177" s="2350"/>
      <c r="R177" s="783"/>
      <c r="S177" s="783"/>
      <c r="T177" s="786"/>
    </row>
    <row r="178" spans="2:20" ht="12.75" customHeight="1">
      <c r="B178" s="2348"/>
      <c r="C178" s="2365"/>
      <c r="D178" s="2349"/>
      <c r="E178" s="2349"/>
      <c r="F178" s="2349"/>
      <c r="G178" s="2349"/>
      <c r="H178" s="2349"/>
      <c r="I178" s="2349"/>
      <c r="J178" s="2349"/>
      <c r="K178" s="2349"/>
      <c r="L178" s="2349"/>
      <c r="M178" s="2349"/>
      <c r="N178" s="2350"/>
      <c r="O178" s="2350"/>
      <c r="P178" s="2350"/>
      <c r="Q178" s="2350"/>
      <c r="R178" s="783"/>
      <c r="S178" s="783"/>
      <c r="T178" s="786"/>
    </row>
    <row r="179" spans="2:20" ht="33.75" customHeight="1">
      <c r="B179" s="2348"/>
      <c r="C179" s="3948" t="s">
        <v>2145</v>
      </c>
      <c r="D179" s="3949"/>
      <c r="E179" s="3950" t="s">
        <v>2178</v>
      </c>
      <c r="F179" s="3951"/>
      <c r="G179" s="3952"/>
      <c r="H179" s="3950" t="s">
        <v>2179</v>
      </c>
      <c r="I179" s="3952"/>
      <c r="J179" s="3950" t="s">
        <v>2180</v>
      </c>
      <c r="K179" s="3952"/>
      <c r="L179" s="2349"/>
      <c r="M179" s="2349"/>
      <c r="N179" s="2350"/>
      <c r="O179" s="2350"/>
      <c r="P179" s="2350"/>
      <c r="Q179" s="2350"/>
      <c r="R179" s="783"/>
      <c r="S179" s="783"/>
      <c r="T179" s="786"/>
    </row>
    <row r="180" spans="2:20" ht="21">
      <c r="B180" s="2348"/>
      <c r="C180" s="3948" t="s">
        <v>2150</v>
      </c>
      <c r="D180" s="3949"/>
      <c r="E180" s="3953" t="s">
        <v>2229</v>
      </c>
      <c r="F180" s="3954"/>
      <c r="G180" s="3955"/>
      <c r="H180" s="3953" t="s">
        <v>2230</v>
      </c>
      <c r="I180" s="3954"/>
      <c r="J180" s="3954"/>
      <c r="K180" s="3955"/>
      <c r="L180" s="2365" t="s">
        <v>2216</v>
      </c>
      <c r="M180" s="2349"/>
      <c r="N180" s="2350"/>
      <c r="O180" s="2350"/>
      <c r="P180" s="2350"/>
      <c r="Q180" s="2350"/>
      <c r="R180" s="783"/>
      <c r="S180" s="783"/>
      <c r="T180" s="786"/>
    </row>
    <row r="181" spans="2:20" ht="21">
      <c r="B181" s="2348"/>
      <c r="C181" s="3958" t="s">
        <v>2153</v>
      </c>
      <c r="D181" s="3959"/>
      <c r="E181" s="3953" t="s">
        <v>2231</v>
      </c>
      <c r="F181" s="3954"/>
      <c r="G181" s="3954"/>
      <c r="H181" s="3954"/>
      <c r="I181" s="3954"/>
      <c r="J181" s="3954"/>
      <c r="K181" s="3955"/>
      <c r="L181" s="2349"/>
      <c r="M181" s="2349"/>
      <c r="N181" s="2350"/>
      <c r="O181" s="2350"/>
      <c r="P181" s="2350"/>
      <c r="Q181" s="2350"/>
      <c r="R181" s="783"/>
      <c r="S181" s="783"/>
      <c r="T181" s="786"/>
    </row>
    <row r="182" spans="2:20" ht="21">
      <c r="B182" s="2348"/>
      <c r="C182" s="2334"/>
      <c r="D182" s="2334"/>
      <c r="E182" s="2335"/>
      <c r="F182" s="2335"/>
      <c r="G182" s="2335"/>
      <c r="H182" s="2335"/>
      <c r="I182" s="2335"/>
      <c r="J182" s="2335"/>
      <c r="K182" s="2335"/>
      <c r="L182" s="2349"/>
      <c r="M182" s="2349"/>
      <c r="N182" s="2350"/>
      <c r="O182" s="2350"/>
      <c r="P182" s="2350"/>
      <c r="Q182" s="2350"/>
      <c r="R182" s="783"/>
      <c r="S182" s="783"/>
      <c r="T182" s="786"/>
    </row>
    <row r="183" spans="2:20" ht="21">
      <c r="B183" s="2348"/>
      <c r="C183" s="2337" t="s">
        <v>2155</v>
      </c>
      <c r="D183" s="2335"/>
      <c r="E183" s="2335"/>
      <c r="F183" s="2335"/>
      <c r="G183" s="2335"/>
      <c r="H183" s="2335"/>
      <c r="I183" s="2335"/>
      <c r="J183" s="2335"/>
      <c r="K183" s="2335"/>
      <c r="L183" s="2349"/>
      <c r="M183" s="2349"/>
      <c r="N183" s="2350"/>
      <c r="O183" s="2350"/>
      <c r="P183" s="2350"/>
      <c r="Q183" s="2350"/>
      <c r="R183" s="783"/>
      <c r="S183" s="783"/>
      <c r="T183" s="786"/>
    </row>
    <row r="184" spans="2:20" ht="21">
      <c r="B184" s="2363"/>
      <c r="C184" s="959" t="s">
        <v>2156</v>
      </c>
      <c r="D184" s="2336"/>
      <c r="E184" s="2335"/>
      <c r="F184" s="2335"/>
      <c r="G184" s="2335"/>
      <c r="H184" s="2335"/>
      <c r="I184" s="2335"/>
      <c r="J184" s="2335"/>
      <c r="K184" s="2335"/>
      <c r="L184" s="2349"/>
      <c r="M184" s="2349"/>
      <c r="N184" s="2350"/>
      <c r="O184" s="2350"/>
      <c r="P184" s="2350"/>
      <c r="Q184" s="2350"/>
      <c r="R184" s="783"/>
      <c r="S184" s="783"/>
      <c r="T184" s="786"/>
    </row>
    <row r="185" spans="2:20" ht="21">
      <c r="B185" s="2348"/>
      <c r="C185" s="2370" t="s">
        <v>2219</v>
      </c>
      <c r="D185" s="2334"/>
      <c r="E185" s="2335"/>
      <c r="F185" s="2335"/>
      <c r="G185" s="2335"/>
      <c r="H185" s="2335"/>
      <c r="I185" s="2335"/>
      <c r="J185" s="2335"/>
      <c r="K185" s="2335"/>
      <c r="L185" s="2349"/>
      <c r="M185" s="2349"/>
      <c r="N185" s="2350"/>
      <c r="O185" s="2350"/>
      <c r="P185" s="2350"/>
      <c r="Q185" s="2350"/>
      <c r="R185" s="783"/>
      <c r="S185" s="783"/>
      <c r="T185" s="786"/>
    </row>
    <row r="186" spans="2:20" ht="30.75" customHeight="1">
      <c r="B186" s="2348"/>
      <c r="C186" s="2337" t="s">
        <v>2188</v>
      </c>
      <c r="D186" s="2335"/>
      <c r="E186" s="2335"/>
      <c r="F186" s="2335"/>
      <c r="G186" s="2335"/>
      <c r="H186" s="2335"/>
      <c r="I186" s="2335"/>
      <c r="J186" s="2335"/>
      <c r="K186" s="2335"/>
      <c r="L186" s="2349"/>
      <c r="M186" s="2349"/>
      <c r="N186" s="2350"/>
      <c r="O186" s="2350"/>
      <c r="P186" s="2350"/>
      <c r="Q186" s="2350"/>
      <c r="R186" s="783"/>
      <c r="S186" s="783"/>
      <c r="T186" s="786"/>
    </row>
    <row r="187" spans="2:20" ht="21">
      <c r="B187" s="2348"/>
      <c r="C187" s="959" t="s">
        <v>2232</v>
      </c>
      <c r="D187" s="2336"/>
      <c r="E187" s="2335"/>
      <c r="F187" s="2335"/>
      <c r="G187" s="2335"/>
      <c r="H187" s="2335"/>
      <c r="I187" s="2335"/>
      <c r="J187" s="2335"/>
      <c r="K187" s="2335"/>
      <c r="L187" s="2349"/>
      <c r="M187" s="2349"/>
      <c r="N187" s="2350"/>
      <c r="O187" s="2350"/>
      <c r="P187" s="2350"/>
      <c r="Q187" s="2350"/>
      <c r="R187" s="783"/>
      <c r="S187" s="783"/>
      <c r="T187" s="786"/>
    </row>
    <row r="188" spans="2:20" ht="21">
      <c r="B188" s="2348"/>
      <c r="C188" s="2334"/>
      <c r="D188" s="2334"/>
      <c r="E188" s="2335"/>
      <c r="F188" s="2335"/>
      <c r="G188" s="2335"/>
      <c r="H188" s="2335"/>
      <c r="I188" s="2335"/>
      <c r="J188" s="2335"/>
      <c r="K188" s="2335"/>
      <c r="L188" s="2349"/>
      <c r="M188" s="2349"/>
      <c r="N188" s="2350"/>
      <c r="O188" s="2350"/>
      <c r="P188" s="2350"/>
      <c r="Q188" s="2350"/>
      <c r="R188" s="783"/>
      <c r="S188" s="783"/>
      <c r="T188" s="786"/>
    </row>
    <row r="189" spans="2:20" ht="15.6">
      <c r="B189" s="2358"/>
      <c r="C189" s="2354"/>
      <c r="D189" s="2354"/>
      <c r="E189" s="2354"/>
      <c r="F189" s="2354"/>
      <c r="G189" s="2355"/>
      <c r="H189" s="2356"/>
      <c r="I189" s="2356"/>
      <c r="J189" s="2356"/>
      <c r="K189" s="2356"/>
      <c r="L189" s="2356"/>
      <c r="M189" s="2356"/>
      <c r="N189" s="2356"/>
      <c r="O189" s="2356"/>
      <c r="P189" s="2356"/>
      <c r="Q189" s="2356"/>
      <c r="R189" s="2356"/>
      <c r="S189" s="2356"/>
      <c r="T189" s="2359"/>
    </row>
    <row r="190" spans="2:20" ht="18">
      <c r="B190" s="779"/>
      <c r="C190" s="780" t="s">
        <v>100</v>
      </c>
      <c r="D190" s="780"/>
      <c r="E190" s="780"/>
      <c r="F190" s="781"/>
      <c r="G190" s="782"/>
      <c r="H190" s="783"/>
      <c r="I190" s="783"/>
      <c r="J190" s="783"/>
      <c r="K190" s="783"/>
      <c r="L190" s="783"/>
      <c r="M190" s="783"/>
      <c r="N190" s="783"/>
      <c r="O190" s="784"/>
      <c r="P190" s="784"/>
      <c r="Q190" s="784"/>
      <c r="R190" s="785"/>
      <c r="S190" s="783"/>
      <c r="T190" s="786"/>
    </row>
    <row r="191" spans="2:20" ht="12" customHeight="1">
      <c r="B191" s="787"/>
      <c r="C191" s="788"/>
      <c r="D191" s="788"/>
      <c r="E191" s="788"/>
      <c r="F191" s="788"/>
      <c r="G191" s="788"/>
      <c r="H191" s="783"/>
      <c r="I191" s="783"/>
      <c r="J191" s="783"/>
      <c r="K191" s="783"/>
      <c r="L191" s="783"/>
      <c r="M191" s="783"/>
      <c r="N191" s="783"/>
      <c r="O191" s="783"/>
      <c r="P191" s="783"/>
      <c r="Q191" s="783"/>
      <c r="R191" s="783"/>
      <c r="S191" s="783"/>
      <c r="T191" s="786"/>
    </row>
    <row r="192" spans="2:20" ht="19.5" customHeight="1">
      <c r="B192" s="789"/>
      <c r="C192" s="3060" t="s">
        <v>2233</v>
      </c>
      <c r="D192" s="3060"/>
      <c r="E192" s="3060"/>
      <c r="F192" s="3060"/>
      <c r="G192" s="3060"/>
      <c r="H192" s="3060"/>
      <c r="I192" s="3060"/>
      <c r="J192" s="3060"/>
      <c r="K192" s="3060"/>
      <c r="L192" s="3060"/>
      <c r="M192" s="3060"/>
      <c r="N192" s="3060"/>
      <c r="O192" s="3060"/>
      <c r="P192" s="3060"/>
      <c r="Q192" s="3060"/>
      <c r="R192" s="3060"/>
      <c r="S192" s="3060"/>
      <c r="T192" s="3986"/>
    </row>
    <row r="193" spans="2:20" ht="19.5" customHeight="1">
      <c r="B193" s="789"/>
      <c r="C193" s="933" t="s">
        <v>2234</v>
      </c>
      <c r="D193" s="801"/>
      <c r="E193" s="801"/>
      <c r="F193" s="801"/>
      <c r="G193" s="801"/>
      <c r="H193" s="801"/>
      <c r="I193" s="801"/>
      <c r="J193" s="801"/>
      <c r="K193" s="801"/>
      <c r="L193" s="801"/>
      <c r="M193" s="801"/>
      <c r="N193" s="801"/>
      <c r="O193" s="801"/>
      <c r="P193" s="801"/>
      <c r="Q193" s="801"/>
      <c r="R193" s="801"/>
      <c r="S193" s="807"/>
      <c r="T193" s="2333"/>
    </row>
    <row r="194" spans="2:20" ht="24" customHeight="1">
      <c r="B194" s="2367"/>
      <c r="C194" s="933" t="s">
        <v>2235</v>
      </c>
      <c r="D194" s="2295"/>
      <c r="E194" s="2295"/>
      <c r="F194" s="2296"/>
      <c r="G194" s="2296"/>
      <c r="H194" s="2296"/>
      <c r="I194" s="2296"/>
      <c r="J194" s="2296"/>
      <c r="K194" s="2296"/>
      <c r="L194" s="2296"/>
      <c r="M194" s="2296"/>
      <c r="N194" s="2296"/>
      <c r="O194" s="2296"/>
      <c r="P194" s="2296"/>
      <c r="Q194" s="2296"/>
      <c r="R194" s="2296"/>
      <c r="S194" s="790"/>
      <c r="T194" s="791"/>
    </row>
    <row r="195" spans="2:20" ht="19.5" customHeight="1">
      <c r="B195" s="2368"/>
      <c r="C195" s="801" t="s">
        <v>2236</v>
      </c>
      <c r="D195" s="2369"/>
      <c r="E195" s="2369"/>
      <c r="F195" s="2369"/>
      <c r="G195" s="2369"/>
      <c r="H195" s="2369"/>
      <c r="I195" s="2369"/>
      <c r="J195" s="2369"/>
      <c r="K195" s="2369"/>
      <c r="L195" s="2369"/>
      <c r="M195" s="2369"/>
      <c r="N195" s="2369"/>
      <c r="O195" s="2369"/>
      <c r="P195" s="2369"/>
      <c r="Q195" s="2369"/>
      <c r="R195" s="2369"/>
      <c r="S195" s="790"/>
      <c r="T195" s="791"/>
    </row>
    <row r="196" spans="2:20">
      <c r="B196" s="2339"/>
      <c r="C196" s="2340"/>
      <c r="D196" s="2340"/>
      <c r="E196" s="2340"/>
      <c r="F196" s="2340"/>
      <c r="G196" s="2340"/>
      <c r="H196" s="955"/>
      <c r="I196" s="955"/>
      <c r="J196" s="955"/>
      <c r="K196" s="955"/>
      <c r="L196" s="955"/>
      <c r="M196" s="955"/>
      <c r="N196" s="955"/>
      <c r="O196" s="955"/>
      <c r="P196" s="955"/>
      <c r="Q196" s="955"/>
      <c r="R196" s="955"/>
      <c r="S196" s="955"/>
      <c r="T196" s="2341"/>
    </row>
    <row r="197" spans="2:20" ht="15.6">
      <c r="B197" s="2358"/>
      <c r="C197" s="2354"/>
      <c r="D197" s="2354"/>
      <c r="E197" s="2354"/>
      <c r="F197" s="2354"/>
      <c r="G197" s="2355"/>
      <c r="H197" s="2356"/>
      <c r="I197" s="2356"/>
      <c r="J197" s="2356"/>
      <c r="K197" s="2356"/>
      <c r="L197" s="2356"/>
      <c r="M197" s="2356"/>
      <c r="N197" s="2356"/>
      <c r="O197" s="2356"/>
      <c r="P197" s="2356"/>
      <c r="Q197" s="2356"/>
      <c r="R197" s="2356"/>
      <c r="S197" s="2356"/>
      <c r="T197" s="2359"/>
    </row>
    <row r="198" spans="2:20" ht="18">
      <c r="B198" s="779"/>
      <c r="C198" s="780" t="s">
        <v>2237</v>
      </c>
      <c r="D198" s="780"/>
      <c r="E198" s="780"/>
      <c r="F198" s="781"/>
      <c r="G198" s="782"/>
      <c r="H198" s="783"/>
      <c r="I198" s="783"/>
      <c r="J198" s="783"/>
      <c r="K198" s="783"/>
      <c r="L198" s="783"/>
      <c r="M198" s="783"/>
      <c r="N198" s="783"/>
      <c r="O198" s="784"/>
      <c r="P198" s="784"/>
      <c r="Q198" s="784"/>
      <c r="R198" s="785"/>
      <c r="S198" s="783"/>
      <c r="T198" s="786"/>
    </row>
    <row r="199" spans="2:20" ht="12" customHeight="1">
      <c r="B199" s="787"/>
      <c r="C199" s="788"/>
      <c r="D199" s="788"/>
      <c r="E199" s="788"/>
      <c r="F199" s="788"/>
      <c r="G199" s="788"/>
      <c r="H199" s="783"/>
      <c r="I199" s="783"/>
      <c r="J199" s="783"/>
      <c r="K199" s="783"/>
      <c r="L199" s="783"/>
      <c r="M199" s="783"/>
      <c r="N199" s="783"/>
      <c r="O199" s="783"/>
      <c r="P199" s="783"/>
      <c r="Q199" s="783"/>
      <c r="R199" s="783"/>
      <c r="S199" s="783"/>
      <c r="T199" s="786"/>
    </row>
    <row r="200" spans="2:20" ht="18.75" customHeight="1">
      <c r="B200" s="789"/>
      <c r="C200" s="3956" t="s">
        <v>2238</v>
      </c>
      <c r="D200" s="3956"/>
      <c r="E200" s="3956"/>
      <c r="F200" s="3956"/>
      <c r="G200" s="3956"/>
      <c r="H200" s="3956"/>
      <c r="I200" s="3956"/>
      <c r="J200" s="3956"/>
      <c r="K200" s="3956"/>
      <c r="L200" s="3956"/>
      <c r="M200" s="3956"/>
      <c r="N200" s="3956"/>
      <c r="O200" s="3956"/>
      <c r="P200" s="3956"/>
      <c r="Q200" s="3956"/>
      <c r="R200" s="3956"/>
      <c r="S200" s="790"/>
      <c r="T200" s="791"/>
    </row>
    <row r="201" spans="2:20" ht="18.75" customHeight="1">
      <c r="B201" s="789"/>
      <c r="C201" s="801" t="s">
        <v>2239</v>
      </c>
      <c r="D201" s="2295"/>
      <c r="E201" s="2295"/>
      <c r="F201" s="2296"/>
      <c r="G201" s="2296"/>
      <c r="H201" s="2296"/>
      <c r="I201" s="2296"/>
      <c r="J201" s="2296"/>
      <c r="K201" s="2296"/>
      <c r="L201" s="2296"/>
      <c r="M201" s="2296"/>
      <c r="N201" s="2296"/>
      <c r="O201" s="2296"/>
      <c r="P201" s="2296"/>
      <c r="Q201" s="2296"/>
      <c r="R201" s="2296"/>
      <c r="S201" s="790"/>
      <c r="T201" s="791"/>
    </row>
    <row r="202" spans="2:20" ht="22.5" customHeight="1">
      <c r="B202" s="789"/>
      <c r="C202" s="3956" t="s">
        <v>2286</v>
      </c>
      <c r="D202" s="3956"/>
      <c r="E202" s="3956"/>
      <c r="F202" s="3956"/>
      <c r="G202" s="3956"/>
      <c r="H202" s="3956"/>
      <c r="I202" s="3956"/>
      <c r="J202" s="3956"/>
      <c r="K202" s="3956"/>
      <c r="L202" s="3956"/>
      <c r="M202" s="3956"/>
      <c r="N202" s="3956"/>
      <c r="O202" s="3956"/>
      <c r="P202" s="3956"/>
      <c r="Q202" s="3956"/>
      <c r="R202" s="3956"/>
      <c r="S202" s="790"/>
      <c r="T202" s="791"/>
    </row>
    <row r="203" spans="2:20" ht="18.75" customHeight="1">
      <c r="B203" s="789"/>
      <c r="C203" s="3946" t="s">
        <v>2240</v>
      </c>
      <c r="D203" s="3946"/>
      <c r="E203" s="3946"/>
      <c r="F203" s="3946"/>
      <c r="G203" s="3946"/>
      <c r="H203" s="3946"/>
      <c r="I203" s="3946"/>
      <c r="J203" s="3946"/>
      <c r="K203" s="3946"/>
      <c r="L203" s="3946"/>
      <c r="M203" s="3946"/>
      <c r="N203" s="3946"/>
      <c r="O203" s="3946"/>
      <c r="P203" s="3946"/>
      <c r="Q203" s="3946"/>
      <c r="R203" s="3946"/>
      <c r="S203" s="3946"/>
      <c r="T203" s="3947"/>
    </row>
    <row r="204" spans="2:20" ht="21.75" customHeight="1">
      <c r="B204" s="789"/>
      <c r="C204" s="933" t="s">
        <v>2241</v>
      </c>
      <c r="D204" s="933"/>
      <c r="E204" s="933"/>
      <c r="F204" s="933"/>
      <c r="G204" s="933"/>
      <c r="H204" s="933"/>
      <c r="I204" s="933"/>
      <c r="J204" s="933"/>
      <c r="K204" s="933"/>
      <c r="L204" s="933"/>
      <c r="M204" s="933"/>
      <c r="N204" s="933"/>
      <c r="O204" s="933"/>
      <c r="P204" s="933"/>
      <c r="Q204" s="933"/>
      <c r="R204" s="933"/>
      <c r="S204" s="933"/>
      <c r="T204" s="2330"/>
    </row>
    <row r="205" spans="2:20" ht="15" customHeight="1">
      <c r="B205" s="789"/>
      <c r="C205" s="2374" t="s">
        <v>2242</v>
      </c>
      <c r="D205" s="933"/>
      <c r="E205" s="933"/>
      <c r="F205" s="933"/>
      <c r="G205" s="933"/>
      <c r="H205" s="933"/>
      <c r="I205" s="933"/>
      <c r="J205" s="933"/>
      <c r="K205" s="933"/>
      <c r="L205" s="933"/>
      <c r="M205" s="933"/>
      <c r="N205" s="933"/>
      <c r="O205" s="933"/>
      <c r="P205" s="933"/>
      <c r="Q205" s="933"/>
      <c r="R205" s="933"/>
      <c r="S205" s="933"/>
      <c r="T205" s="2330"/>
    </row>
    <row r="206" spans="2:20" ht="18.75" customHeight="1">
      <c r="B206" s="787"/>
      <c r="C206" s="3964" t="s">
        <v>2243</v>
      </c>
      <c r="D206" s="3964"/>
      <c r="E206" s="3964"/>
      <c r="F206" s="3964"/>
      <c r="G206" s="3964"/>
      <c r="H206" s="3964"/>
      <c r="I206" s="3964"/>
      <c r="J206" s="3964"/>
      <c r="K206" s="3964"/>
      <c r="L206" s="3964"/>
      <c r="M206" s="3964"/>
      <c r="N206" s="3964"/>
      <c r="O206" s="3964"/>
      <c r="P206" s="3964"/>
      <c r="Q206" s="3964"/>
      <c r="R206" s="3964"/>
      <c r="S206" s="3964"/>
      <c r="T206" s="3965"/>
    </row>
    <row r="207" spans="2:20" ht="21.75" customHeight="1">
      <c r="B207" s="787"/>
      <c r="C207" s="959" t="s">
        <v>2244</v>
      </c>
      <c r="D207" s="2364"/>
      <c r="E207" s="2364"/>
      <c r="F207" s="2364"/>
      <c r="G207" s="2364"/>
      <c r="H207" s="2364"/>
      <c r="I207" s="2364"/>
      <c r="J207" s="2364"/>
      <c r="K207" s="2364"/>
      <c r="L207" s="2364"/>
      <c r="M207" s="2364"/>
      <c r="N207" s="2364"/>
      <c r="O207" s="2364"/>
      <c r="P207" s="2364"/>
      <c r="Q207" s="2364"/>
      <c r="R207" s="2364"/>
      <c r="S207" s="2364"/>
      <c r="T207" s="2331"/>
    </row>
    <row r="208" spans="2:20" ht="18.75" customHeight="1">
      <c r="B208" s="787"/>
      <c r="C208" s="2380" t="s">
        <v>2245</v>
      </c>
      <c r="D208" s="2364"/>
      <c r="E208" s="2364"/>
      <c r="F208" s="2364"/>
      <c r="G208" s="2364"/>
      <c r="H208" s="2364"/>
      <c r="I208" s="2364"/>
      <c r="J208" s="2364"/>
      <c r="K208" s="2364"/>
      <c r="L208" s="2364"/>
      <c r="M208" s="2364"/>
      <c r="N208" s="2364"/>
      <c r="O208" s="2364"/>
      <c r="P208" s="2364"/>
      <c r="Q208" s="2364"/>
      <c r="R208" s="2364"/>
      <c r="S208" s="2364"/>
      <c r="T208" s="2331"/>
    </row>
    <row r="209" spans="2:20">
      <c r="B209" s="2339"/>
      <c r="C209" s="2340"/>
      <c r="D209" s="2340"/>
      <c r="E209" s="2340"/>
      <c r="F209" s="2340"/>
      <c r="G209" s="2340"/>
      <c r="H209" s="955"/>
      <c r="I209" s="955"/>
      <c r="J209" s="955"/>
      <c r="K209" s="955"/>
      <c r="L209" s="955"/>
      <c r="M209" s="955"/>
      <c r="N209" s="955"/>
      <c r="O209" s="955"/>
      <c r="P209" s="955"/>
      <c r="Q209" s="955"/>
      <c r="R209" s="955"/>
      <c r="S209" s="955"/>
      <c r="T209" s="2341"/>
    </row>
    <row r="210" spans="2:20">
      <c r="B210" s="787"/>
      <c r="C210" s="788"/>
      <c r="D210" s="788"/>
      <c r="E210" s="788"/>
      <c r="F210" s="788"/>
      <c r="G210" s="788"/>
      <c r="H210" s="783"/>
      <c r="I210" s="783"/>
      <c r="J210" s="783"/>
      <c r="K210" s="783"/>
      <c r="L210" s="783"/>
      <c r="M210" s="783"/>
      <c r="N210" s="783"/>
      <c r="O210" s="783"/>
      <c r="P210" s="783"/>
      <c r="Q210" s="783"/>
      <c r="R210" s="783"/>
      <c r="S210" s="783"/>
      <c r="T210" s="786"/>
    </row>
    <row r="211" spans="2:20" ht="16.5" customHeight="1">
      <c r="B211" s="787"/>
      <c r="C211" s="2332" t="s">
        <v>2206</v>
      </c>
      <c r="D211" s="788"/>
      <c r="E211" s="788"/>
      <c r="F211" s="788"/>
      <c r="G211" s="788"/>
      <c r="H211" s="783"/>
      <c r="I211" s="783"/>
      <c r="J211" s="783"/>
      <c r="K211" s="783"/>
      <c r="L211" s="783"/>
      <c r="M211" s="783"/>
      <c r="N211" s="783"/>
      <c r="O211" s="783"/>
      <c r="P211" s="783"/>
      <c r="Q211" s="783"/>
      <c r="R211" s="783"/>
      <c r="S211" s="783"/>
      <c r="T211" s="786"/>
    </row>
    <row r="212" spans="2:20" ht="21.75" customHeight="1">
      <c r="B212" s="787"/>
      <c r="C212" s="788" t="s">
        <v>2246</v>
      </c>
      <c r="D212" s="788"/>
      <c r="E212" s="788"/>
      <c r="F212" s="788"/>
      <c r="G212" s="788"/>
      <c r="H212" s="783"/>
      <c r="I212" s="783"/>
      <c r="J212" s="783"/>
      <c r="K212" s="783"/>
      <c r="L212" s="783"/>
      <c r="M212" s="783"/>
      <c r="N212" s="783"/>
      <c r="O212" s="783"/>
      <c r="P212" s="783"/>
      <c r="Q212" s="783"/>
      <c r="R212" s="783"/>
      <c r="S212" s="783"/>
      <c r="T212" s="786"/>
    </row>
    <row r="213" spans="2:20">
      <c r="B213" s="787"/>
      <c r="C213" s="788" t="s">
        <v>2247</v>
      </c>
      <c r="D213" s="788"/>
      <c r="E213" s="788"/>
      <c r="F213" s="788"/>
      <c r="G213" s="788"/>
      <c r="H213" s="783"/>
      <c r="I213" s="783"/>
      <c r="J213" s="783"/>
      <c r="K213" s="783"/>
      <c r="L213" s="783"/>
      <c r="M213" s="783"/>
      <c r="N213" s="783"/>
      <c r="O213" s="783"/>
      <c r="P213" s="783"/>
      <c r="Q213" s="783"/>
      <c r="R213" s="783"/>
      <c r="S213" s="783"/>
      <c r="T213" s="786"/>
    </row>
    <row r="214" spans="2:20">
      <c r="B214" s="787"/>
      <c r="C214" s="788"/>
      <c r="D214" s="788"/>
      <c r="E214" s="788"/>
      <c r="F214" s="788"/>
      <c r="G214" s="788"/>
      <c r="H214" s="783"/>
      <c r="I214" s="783"/>
      <c r="J214" s="783"/>
      <c r="K214" s="783"/>
      <c r="L214" s="783"/>
      <c r="M214" s="783"/>
      <c r="N214" s="783"/>
      <c r="O214" s="783"/>
      <c r="P214" s="783"/>
      <c r="Q214" s="783"/>
      <c r="R214" s="783"/>
      <c r="S214" s="783"/>
      <c r="T214" s="786"/>
    </row>
    <row r="215" spans="2:20" ht="15" thickBot="1">
      <c r="B215" s="792"/>
      <c r="C215" s="793"/>
      <c r="D215" s="793"/>
      <c r="E215" s="793"/>
      <c r="F215" s="793"/>
      <c r="G215" s="793"/>
      <c r="H215" s="794"/>
      <c r="I215" s="794"/>
      <c r="J215" s="794"/>
      <c r="K215" s="794"/>
      <c r="L215" s="794"/>
      <c r="M215" s="794"/>
      <c r="N215" s="794"/>
      <c r="O215" s="794"/>
      <c r="P215" s="794"/>
      <c r="Q215" s="794"/>
      <c r="R215" s="794"/>
      <c r="S215" s="794"/>
      <c r="T215" s="795"/>
    </row>
    <row r="216" spans="2:20" ht="27" customHeight="1">
      <c r="B216" s="588"/>
      <c r="C216" s="587"/>
      <c r="D216" s="587"/>
      <c r="E216" s="587"/>
      <c r="R216" s="1178"/>
      <c r="S216" s="1178"/>
      <c r="T216" s="1178"/>
    </row>
    <row r="217" spans="2:20" ht="27.75" customHeight="1">
      <c r="B217" s="938" t="s">
        <v>2248</v>
      </c>
      <c r="C217" s="842"/>
      <c r="D217" s="842"/>
      <c r="E217" s="842"/>
      <c r="F217" s="842"/>
      <c r="G217" s="842"/>
      <c r="H217" s="842"/>
      <c r="I217" s="842"/>
      <c r="J217" s="842"/>
      <c r="K217" s="842"/>
      <c r="L217" s="842"/>
      <c r="M217" s="842"/>
      <c r="N217" s="843"/>
      <c r="O217" s="843"/>
      <c r="P217" s="843"/>
      <c r="Q217" s="843"/>
      <c r="R217" s="771"/>
      <c r="S217" s="771"/>
      <c r="T217" s="771"/>
    </row>
    <row r="218" spans="2:20" ht="21.6" thickBot="1">
      <c r="B218" s="2301"/>
      <c r="C218" s="2302"/>
      <c r="D218" s="2302"/>
      <c r="E218" s="2302"/>
      <c r="F218" s="2302"/>
      <c r="G218" s="2302"/>
      <c r="H218" s="2302"/>
      <c r="I218" s="2302"/>
      <c r="J218" s="2302"/>
      <c r="K218" s="2302"/>
      <c r="L218" s="2302"/>
      <c r="M218" s="2302"/>
      <c r="N218" s="2303"/>
      <c r="O218" s="2303"/>
      <c r="P218" s="2303"/>
      <c r="Q218" s="2303"/>
    </row>
    <row r="219" spans="2:20" ht="12.75" customHeight="1">
      <c r="B219" s="2345"/>
      <c r="C219" s="2346"/>
      <c r="D219" s="2346"/>
      <c r="E219" s="2346"/>
      <c r="F219" s="2346"/>
      <c r="G219" s="2346"/>
      <c r="H219" s="2346"/>
      <c r="I219" s="2346"/>
      <c r="J219" s="2346"/>
      <c r="K219" s="2346"/>
      <c r="L219" s="2346"/>
      <c r="M219" s="2346"/>
      <c r="N219" s="2347"/>
      <c r="O219" s="2347"/>
      <c r="P219" s="2347"/>
      <c r="Q219" s="2347"/>
      <c r="R219" s="2326"/>
      <c r="S219" s="2326"/>
      <c r="T219" s="2327"/>
    </row>
    <row r="220" spans="2:20" ht="12.75" customHeight="1">
      <c r="B220" s="2348"/>
      <c r="C220" s="2377" t="s">
        <v>2144</v>
      </c>
      <c r="D220" s="2349"/>
      <c r="E220" s="2349"/>
      <c r="F220" s="2349"/>
      <c r="G220" s="2349"/>
      <c r="H220" s="2349"/>
      <c r="I220" s="2349"/>
      <c r="J220" s="2349"/>
      <c r="K220" s="2349"/>
      <c r="L220" s="2349"/>
      <c r="M220" s="2349"/>
      <c r="N220" s="2350"/>
      <c r="O220" s="2350"/>
      <c r="P220" s="2350"/>
      <c r="Q220" s="2350"/>
      <c r="R220" s="783"/>
      <c r="S220" s="783"/>
      <c r="T220" s="786"/>
    </row>
    <row r="221" spans="2:20" ht="12.75" customHeight="1">
      <c r="B221" s="2348"/>
      <c r="C221" s="2349"/>
      <c r="D221" s="2349"/>
      <c r="E221" s="2349"/>
      <c r="F221" s="2349"/>
      <c r="G221" s="2349"/>
      <c r="H221" s="2349"/>
      <c r="I221" s="2349"/>
      <c r="J221" s="2349"/>
      <c r="K221" s="2349"/>
      <c r="L221" s="2349"/>
      <c r="M221" s="2349"/>
      <c r="N221" s="2350"/>
      <c r="O221" s="2350"/>
      <c r="P221" s="2350"/>
      <c r="Q221" s="2350"/>
      <c r="R221" s="783"/>
      <c r="S221" s="783"/>
      <c r="T221" s="786"/>
    </row>
    <row r="222" spans="2:20" ht="33.75" customHeight="1">
      <c r="B222" s="2348"/>
      <c r="C222" s="3948" t="s">
        <v>2145</v>
      </c>
      <c r="D222" s="3949"/>
      <c r="E222" s="3950" t="s">
        <v>2178</v>
      </c>
      <c r="F222" s="3951"/>
      <c r="G222" s="3952"/>
      <c r="H222" s="3950" t="s">
        <v>2179</v>
      </c>
      <c r="I222" s="3952"/>
      <c r="J222" s="3950" t="s">
        <v>2180</v>
      </c>
      <c r="K222" s="3952"/>
      <c r="L222" s="2350"/>
      <c r="M222" s="2349"/>
      <c r="N222" s="2350"/>
      <c r="O222" s="2350"/>
      <c r="P222" s="2350"/>
      <c r="Q222" s="2350"/>
      <c r="R222" s="783"/>
      <c r="S222" s="783"/>
      <c r="T222" s="786"/>
    </row>
    <row r="223" spans="2:20" ht="21">
      <c r="B223" s="2348"/>
      <c r="C223" s="3948" t="s">
        <v>2150</v>
      </c>
      <c r="D223" s="3949"/>
      <c r="E223" s="3961" t="s">
        <v>2249</v>
      </c>
      <c r="F223" s="3962"/>
      <c r="G223" s="3962"/>
      <c r="H223" s="3962"/>
      <c r="I223" s="3962"/>
      <c r="J223" s="3962"/>
      <c r="K223" s="3963"/>
      <c r="L223" s="2365" t="s">
        <v>2216</v>
      </c>
      <c r="M223" s="2349"/>
      <c r="N223" s="2350"/>
      <c r="O223" s="2350"/>
      <c r="P223" s="2350"/>
      <c r="Q223" s="2350"/>
      <c r="R223" s="783"/>
      <c r="S223" s="783"/>
      <c r="T223" s="786"/>
    </row>
    <row r="224" spans="2:20" ht="21">
      <c r="B224" s="2348"/>
      <c r="C224" s="3948" t="s">
        <v>2153</v>
      </c>
      <c r="D224" s="3960"/>
      <c r="E224" s="3961" t="s">
        <v>2250</v>
      </c>
      <c r="F224" s="3962"/>
      <c r="G224" s="3962"/>
      <c r="H224" s="3962"/>
      <c r="I224" s="3962"/>
      <c r="J224" s="3962"/>
      <c r="K224" s="3963"/>
      <c r="L224" s="2349"/>
      <c r="M224" s="2349"/>
      <c r="N224" s="2350"/>
      <c r="O224" s="2350"/>
      <c r="P224" s="2350"/>
      <c r="Q224" s="2350"/>
      <c r="R224" s="783"/>
      <c r="S224" s="783"/>
      <c r="T224" s="786"/>
    </row>
    <row r="225" spans="2:20" ht="21">
      <c r="B225" s="2348"/>
      <c r="C225" s="2334"/>
      <c r="D225" s="2334"/>
      <c r="E225" s="2335"/>
      <c r="F225" s="2335"/>
      <c r="G225" s="2335"/>
      <c r="H225" s="2335"/>
      <c r="I225" s="2335"/>
      <c r="J225" s="2335"/>
      <c r="K225" s="2335"/>
      <c r="L225" s="2349"/>
      <c r="M225" s="2349"/>
      <c r="N225" s="2350"/>
      <c r="O225" s="2350"/>
      <c r="P225" s="2350"/>
      <c r="Q225" s="2350"/>
      <c r="R225" s="783"/>
      <c r="S225" s="783"/>
      <c r="T225" s="786"/>
    </row>
    <row r="226" spans="2:20" ht="24" customHeight="1">
      <c r="B226" s="2348"/>
      <c r="C226" s="2337" t="s">
        <v>2155</v>
      </c>
      <c r="D226" s="2335"/>
      <c r="E226" s="2335"/>
      <c r="F226" s="2335"/>
      <c r="G226" s="2335"/>
      <c r="H226" s="2335"/>
      <c r="I226" s="2335"/>
      <c r="J226" s="2335"/>
      <c r="K226" s="2335"/>
      <c r="L226" s="2349"/>
      <c r="M226" s="2349"/>
      <c r="N226" s="2350"/>
      <c r="O226" s="2350"/>
      <c r="P226" s="2350"/>
      <c r="Q226" s="2350"/>
      <c r="R226" s="783"/>
      <c r="S226" s="783"/>
      <c r="T226" s="786"/>
    </row>
    <row r="227" spans="2:20" ht="21">
      <c r="B227" s="2351"/>
      <c r="C227" s="959" t="s">
        <v>2156</v>
      </c>
      <c r="D227" s="2337"/>
      <c r="E227" s="2335"/>
      <c r="F227" s="2335"/>
      <c r="G227" s="2335"/>
      <c r="H227" s="2335"/>
      <c r="I227" s="2335"/>
      <c r="J227" s="2335"/>
      <c r="K227" s="2335"/>
      <c r="L227" s="2349"/>
      <c r="M227" s="2349"/>
      <c r="N227" s="2350"/>
      <c r="O227" s="2350"/>
      <c r="P227" s="2350"/>
      <c r="Q227" s="2350"/>
      <c r="R227" s="783"/>
      <c r="S227" s="783"/>
      <c r="T227" s="786"/>
    </row>
    <row r="228" spans="2:20" ht="21">
      <c r="B228" s="2348"/>
      <c r="C228" s="959" t="s">
        <v>2219</v>
      </c>
      <c r="D228" s="2337"/>
      <c r="E228" s="2335"/>
      <c r="F228" s="2335"/>
      <c r="G228" s="2335"/>
      <c r="H228" s="2335"/>
      <c r="I228" s="2335"/>
      <c r="J228" s="2335"/>
      <c r="K228" s="2335"/>
      <c r="L228" s="2349"/>
      <c r="M228" s="2349"/>
      <c r="N228" s="2350"/>
      <c r="O228" s="2350"/>
      <c r="P228" s="2350"/>
      <c r="Q228" s="2350"/>
      <c r="R228" s="783"/>
      <c r="S228" s="783"/>
      <c r="T228" s="786"/>
    </row>
    <row r="229" spans="2:20" ht="24" customHeight="1">
      <c r="B229" s="2348"/>
      <c r="C229" s="2337" t="s">
        <v>2251</v>
      </c>
      <c r="D229" s="2349"/>
      <c r="E229" s="2349"/>
      <c r="F229" s="2349"/>
      <c r="G229" s="2349"/>
      <c r="H229" s="2349"/>
      <c r="I229" s="2349"/>
      <c r="J229" s="2349"/>
      <c r="K229" s="2349"/>
      <c r="L229" s="2349"/>
      <c r="M229" s="2349"/>
      <c r="N229" s="2350"/>
      <c r="O229" s="2350"/>
      <c r="P229" s="2350"/>
      <c r="Q229" s="2350"/>
      <c r="R229" s="783"/>
      <c r="S229" s="783"/>
      <c r="T229" s="786"/>
    </row>
    <row r="230" spans="2:20" ht="21" customHeight="1">
      <c r="B230" s="1198"/>
      <c r="C230" s="783" t="s">
        <v>2252</v>
      </c>
      <c r="D230" s="783"/>
      <c r="E230" s="783"/>
      <c r="F230" s="783"/>
      <c r="G230" s="783"/>
      <c r="H230" s="783"/>
      <c r="I230" s="783"/>
      <c r="J230" s="783"/>
      <c r="K230" s="783"/>
      <c r="L230" s="783"/>
      <c r="M230" s="783"/>
      <c r="N230" s="783"/>
      <c r="O230" s="783"/>
      <c r="P230" s="783"/>
      <c r="Q230" s="783"/>
      <c r="R230" s="783"/>
      <c r="S230" s="783"/>
      <c r="T230" s="786"/>
    </row>
    <row r="231" spans="2:20" ht="21" customHeight="1">
      <c r="B231" s="1198"/>
      <c r="C231" s="783" t="s">
        <v>2253</v>
      </c>
      <c r="D231" s="783"/>
      <c r="E231" s="783"/>
      <c r="F231" s="783"/>
      <c r="G231" s="783"/>
      <c r="H231" s="783"/>
      <c r="I231" s="783"/>
      <c r="J231" s="783"/>
      <c r="K231" s="783"/>
      <c r="L231" s="783"/>
      <c r="M231" s="783"/>
      <c r="N231" s="783"/>
      <c r="O231" s="783"/>
      <c r="P231" s="783"/>
      <c r="Q231" s="783"/>
      <c r="R231" s="783"/>
      <c r="S231" s="783"/>
      <c r="T231" s="786"/>
    </row>
    <row r="232" spans="2:20" ht="21" customHeight="1">
      <c r="B232" s="2352"/>
      <c r="C232" s="801" t="s">
        <v>2254</v>
      </c>
      <c r="D232" s="2343"/>
      <c r="E232" s="2343"/>
      <c r="F232" s="2343"/>
      <c r="G232" s="2342"/>
      <c r="H232" s="2344"/>
      <c r="I232" s="2344"/>
      <c r="J232" s="2344"/>
      <c r="K232" s="2344"/>
      <c r="L232" s="2344"/>
      <c r="M232" s="2344"/>
      <c r="N232" s="2344"/>
      <c r="O232" s="2344"/>
      <c r="P232" s="2344"/>
      <c r="Q232" s="2344"/>
      <c r="R232" s="2344"/>
      <c r="S232" s="2344"/>
      <c r="T232" s="2353"/>
    </row>
    <row r="233" spans="2:20" ht="24" customHeight="1">
      <c r="B233" s="787"/>
      <c r="C233" s="2337" t="s">
        <v>2206</v>
      </c>
      <c r="D233" s="788"/>
      <c r="E233" s="788"/>
      <c r="F233" s="788"/>
      <c r="G233" s="788"/>
      <c r="H233" s="783"/>
      <c r="I233" s="783"/>
      <c r="J233" s="783"/>
      <c r="K233" s="783"/>
      <c r="L233" s="783"/>
      <c r="M233" s="783"/>
      <c r="N233" s="783"/>
      <c r="O233" s="783"/>
      <c r="P233" s="783"/>
      <c r="Q233" s="783"/>
      <c r="R233" s="783"/>
      <c r="S233" s="783"/>
      <c r="T233" s="786"/>
    </row>
    <row r="234" spans="2:20" ht="21" customHeight="1">
      <c r="B234" s="789"/>
      <c r="C234" s="933" t="s">
        <v>2255</v>
      </c>
      <c r="D234" s="2295"/>
      <c r="E234" s="2295"/>
      <c r="F234" s="2296"/>
      <c r="G234" s="2296"/>
      <c r="H234" s="2296"/>
      <c r="I234" s="2296"/>
      <c r="J234" s="2296"/>
      <c r="K234" s="2296"/>
      <c r="L234" s="2296"/>
      <c r="M234" s="2296"/>
      <c r="N234" s="2296"/>
      <c r="O234" s="2296"/>
      <c r="P234" s="2296"/>
      <c r="Q234" s="2296"/>
      <c r="R234" s="2296"/>
      <c r="S234" s="790"/>
      <c r="T234" s="791"/>
    </row>
    <row r="235" spans="2:20" ht="15" thickBot="1">
      <c r="B235" s="792"/>
      <c r="C235" s="793"/>
      <c r="D235" s="793"/>
      <c r="E235" s="793"/>
      <c r="F235" s="793"/>
      <c r="G235" s="793"/>
      <c r="H235" s="794"/>
      <c r="I235" s="794"/>
      <c r="J235" s="794"/>
      <c r="K235" s="794"/>
      <c r="L235" s="794"/>
      <c r="M235" s="794"/>
      <c r="N235" s="794"/>
      <c r="O235" s="794"/>
      <c r="P235" s="794"/>
      <c r="Q235" s="794"/>
      <c r="R235" s="794"/>
      <c r="S235" s="794"/>
      <c r="T235" s="795"/>
    </row>
    <row r="236" spans="2:20" ht="27" customHeight="1">
      <c r="B236" s="588"/>
      <c r="C236" s="587"/>
      <c r="D236" s="587"/>
      <c r="E236" s="587"/>
      <c r="R236" s="1178"/>
      <c r="S236" s="1178"/>
      <c r="T236" s="1178"/>
    </row>
    <row r="237" spans="2:20" ht="27.75" customHeight="1">
      <c r="B237" s="938" t="s">
        <v>2256</v>
      </c>
      <c r="C237" s="842"/>
      <c r="D237" s="842"/>
      <c r="E237" s="842"/>
      <c r="F237" s="842"/>
      <c r="G237" s="842"/>
      <c r="H237" s="842"/>
      <c r="I237" s="842"/>
      <c r="J237" s="842"/>
      <c r="K237" s="842"/>
      <c r="L237" s="842"/>
      <c r="M237" s="842"/>
      <c r="N237" s="843"/>
      <c r="O237" s="843"/>
      <c r="P237" s="843"/>
      <c r="Q237" s="843"/>
      <c r="R237" s="771"/>
      <c r="S237" s="771"/>
      <c r="T237" s="771"/>
    </row>
    <row r="238" spans="2:20" ht="15" thickBot="1"/>
    <row r="239" spans="2:20" ht="12.75" customHeight="1">
      <c r="B239" s="2371"/>
      <c r="C239" s="2326"/>
      <c r="D239" s="2326"/>
      <c r="E239" s="2326"/>
      <c r="F239" s="2326"/>
      <c r="G239" s="2326"/>
      <c r="H239" s="2326"/>
      <c r="I239" s="2326"/>
      <c r="J239" s="2326"/>
      <c r="K239" s="2326"/>
      <c r="L239" s="2326"/>
      <c r="M239" s="2326"/>
      <c r="N239" s="2326"/>
      <c r="O239" s="2326"/>
      <c r="P239" s="2326"/>
      <c r="Q239" s="2326"/>
      <c r="R239" s="2326"/>
      <c r="S239" s="2326"/>
      <c r="T239" s="2327"/>
    </row>
    <row r="240" spans="2:20" ht="12.75" customHeight="1">
      <c r="B240" s="1198"/>
      <c r="C240" s="2377" t="s">
        <v>2144</v>
      </c>
      <c r="D240" s="783"/>
      <c r="E240" s="783"/>
      <c r="F240" s="783"/>
      <c r="G240" s="783"/>
      <c r="H240" s="783"/>
      <c r="I240" s="783"/>
      <c r="J240" s="783"/>
      <c r="K240" s="783"/>
      <c r="L240" s="783"/>
      <c r="M240" s="783"/>
      <c r="N240" s="783"/>
      <c r="O240" s="783"/>
      <c r="P240" s="783"/>
      <c r="Q240" s="783"/>
      <c r="R240" s="783"/>
      <c r="S240" s="783"/>
      <c r="T240" s="786"/>
    </row>
    <row r="241" spans="2:20" ht="12.75" customHeight="1">
      <c r="B241" s="1198"/>
      <c r="C241" s="783"/>
      <c r="D241" s="783"/>
      <c r="E241" s="783"/>
      <c r="F241" s="783"/>
      <c r="G241" s="783"/>
      <c r="H241" s="783"/>
      <c r="I241" s="783"/>
      <c r="J241" s="783"/>
      <c r="K241" s="783"/>
      <c r="L241" s="783"/>
      <c r="M241" s="783"/>
      <c r="N241" s="783"/>
      <c r="O241" s="783"/>
      <c r="P241" s="783"/>
      <c r="Q241" s="783"/>
      <c r="R241" s="783"/>
      <c r="S241" s="783"/>
      <c r="T241" s="786"/>
    </row>
    <row r="242" spans="2:20" ht="33.75" customHeight="1">
      <c r="B242" s="1198"/>
      <c r="C242" s="3948" t="s">
        <v>2145</v>
      </c>
      <c r="D242" s="3949"/>
      <c r="E242" s="3950" t="s">
        <v>2178</v>
      </c>
      <c r="F242" s="3951"/>
      <c r="G242" s="3952"/>
      <c r="H242" s="3950" t="s">
        <v>2179</v>
      </c>
      <c r="I242" s="3952"/>
      <c r="J242" s="3950" t="s">
        <v>2180</v>
      </c>
      <c r="K242" s="3952"/>
      <c r="L242" s="783"/>
      <c r="M242" s="783"/>
      <c r="N242" s="783"/>
      <c r="O242" s="783"/>
      <c r="P242" s="783"/>
      <c r="Q242" s="783"/>
      <c r="R242" s="783"/>
      <c r="S242" s="783"/>
      <c r="T242" s="786"/>
    </row>
    <row r="243" spans="2:20" ht="21" customHeight="1">
      <c r="B243" s="1198"/>
      <c r="C243" s="3948" t="s">
        <v>2150</v>
      </c>
      <c r="D243" s="3949"/>
      <c r="E243" s="3961" t="s">
        <v>2257</v>
      </c>
      <c r="F243" s="3962"/>
      <c r="G243" s="3962"/>
      <c r="H243" s="3962"/>
      <c r="I243" s="3962"/>
      <c r="J243" s="3962"/>
      <c r="K243" s="3963"/>
      <c r="L243" s="2366" t="s">
        <v>2216</v>
      </c>
      <c r="M243" s="783"/>
      <c r="N243" s="783"/>
      <c r="O243" s="783"/>
      <c r="P243" s="783"/>
      <c r="Q243" s="783"/>
      <c r="R243" s="783"/>
      <c r="S243" s="783"/>
      <c r="T243" s="786"/>
    </row>
    <row r="244" spans="2:20" ht="21" customHeight="1">
      <c r="B244" s="1198"/>
      <c r="C244" s="3948" t="s">
        <v>2153</v>
      </c>
      <c r="D244" s="3960"/>
      <c r="E244" s="3961" t="s">
        <v>2258</v>
      </c>
      <c r="F244" s="3962"/>
      <c r="G244" s="3962"/>
      <c r="H244" s="3962"/>
      <c r="I244" s="3962"/>
      <c r="J244" s="3962"/>
      <c r="K244" s="3963"/>
      <c r="L244" s="783"/>
      <c r="M244" s="783"/>
      <c r="N244" s="783"/>
      <c r="O244" s="783"/>
      <c r="P244" s="783"/>
      <c r="Q244" s="783"/>
      <c r="R244" s="783"/>
      <c r="S244" s="783"/>
      <c r="T244" s="786"/>
    </row>
    <row r="245" spans="2:20" ht="21" customHeight="1">
      <c r="B245" s="1198"/>
      <c r="C245" s="783"/>
      <c r="D245" s="783"/>
      <c r="E245" s="783"/>
      <c r="F245" s="783"/>
      <c r="G245" s="783"/>
      <c r="H245" s="783"/>
      <c r="I245" s="783"/>
      <c r="J245" s="783"/>
      <c r="K245" s="783"/>
      <c r="L245" s="783"/>
      <c r="M245" s="783"/>
      <c r="N245" s="783"/>
      <c r="O245" s="783"/>
      <c r="P245" s="783"/>
      <c r="Q245" s="783"/>
      <c r="R245" s="783"/>
      <c r="S245" s="783"/>
      <c r="T245" s="786"/>
    </row>
    <row r="246" spans="2:20" ht="24" customHeight="1">
      <c r="B246" s="1198"/>
      <c r="C246" s="2337" t="s">
        <v>2155</v>
      </c>
      <c r="D246" s="2335"/>
      <c r="E246" s="783"/>
      <c r="F246" s="783"/>
      <c r="G246" s="783"/>
      <c r="H246" s="783"/>
      <c r="I246" s="783"/>
      <c r="J246" s="783"/>
      <c r="K246" s="783"/>
      <c r="L246" s="783"/>
      <c r="M246" s="783"/>
      <c r="N246" s="783"/>
      <c r="O246" s="783"/>
      <c r="P246" s="783"/>
      <c r="Q246" s="783"/>
      <c r="R246" s="783"/>
      <c r="S246" s="783"/>
      <c r="T246" s="786"/>
    </row>
    <row r="247" spans="2:20" ht="21" customHeight="1">
      <c r="B247" s="1198"/>
      <c r="C247" s="783" t="s">
        <v>2156</v>
      </c>
      <c r="D247" s="783"/>
      <c r="E247" s="783"/>
      <c r="F247" s="783"/>
      <c r="G247" s="783"/>
      <c r="H247" s="783"/>
      <c r="I247" s="783"/>
      <c r="J247" s="783"/>
      <c r="K247" s="783"/>
      <c r="L247" s="783"/>
      <c r="M247" s="783"/>
      <c r="N247" s="783"/>
      <c r="O247" s="783"/>
      <c r="P247" s="783"/>
      <c r="Q247" s="783"/>
      <c r="R247" s="783"/>
      <c r="S247" s="783"/>
      <c r="T247" s="786"/>
    </row>
    <row r="248" spans="2:20" ht="21" customHeight="1">
      <c r="B248" s="1198"/>
      <c r="C248" s="783" t="s">
        <v>2219</v>
      </c>
      <c r="D248" s="783"/>
      <c r="E248" s="783"/>
      <c r="F248" s="783"/>
      <c r="G248" s="783"/>
      <c r="H248" s="783"/>
      <c r="I248" s="783"/>
      <c r="J248" s="783"/>
      <c r="K248" s="783"/>
      <c r="L248" s="783"/>
      <c r="M248" s="783"/>
      <c r="N248" s="783"/>
      <c r="O248" s="783"/>
      <c r="P248" s="783"/>
      <c r="Q248" s="783"/>
      <c r="R248" s="783"/>
      <c r="S248" s="783"/>
      <c r="T248" s="786"/>
    </row>
    <row r="249" spans="2:20" ht="24" customHeight="1">
      <c r="B249" s="1198"/>
      <c r="C249" s="2337" t="s">
        <v>2251</v>
      </c>
      <c r="D249" s="2349"/>
      <c r="E249" s="783"/>
      <c r="F249" s="783"/>
      <c r="G249" s="783"/>
      <c r="H249" s="783"/>
      <c r="I249" s="783"/>
      <c r="J249" s="783"/>
      <c r="K249" s="783"/>
      <c r="L249" s="783"/>
      <c r="M249" s="783"/>
      <c r="N249" s="783"/>
      <c r="O249" s="783"/>
      <c r="P249" s="783"/>
      <c r="Q249" s="783"/>
      <c r="R249" s="783"/>
      <c r="S249" s="783"/>
      <c r="T249" s="786"/>
    </row>
    <row r="250" spans="2:20" ht="21" customHeight="1">
      <c r="B250" s="1198"/>
      <c r="C250" s="783" t="s">
        <v>2259</v>
      </c>
      <c r="D250" s="783"/>
      <c r="E250" s="783"/>
      <c r="F250" s="783"/>
      <c r="G250" s="783"/>
      <c r="H250" s="783"/>
      <c r="I250" s="783"/>
      <c r="J250" s="783"/>
      <c r="K250" s="783"/>
      <c r="L250" s="783"/>
      <c r="M250" s="783"/>
      <c r="N250" s="783"/>
      <c r="O250" s="783"/>
      <c r="P250" s="783"/>
      <c r="Q250" s="783"/>
      <c r="R250" s="783"/>
      <c r="S250" s="783"/>
      <c r="T250" s="786"/>
    </row>
    <row r="251" spans="2:20">
      <c r="B251" s="1198"/>
      <c r="C251" s="783"/>
      <c r="D251" s="783"/>
      <c r="E251" s="783"/>
      <c r="F251" s="783"/>
      <c r="G251" s="783"/>
      <c r="H251" s="783"/>
      <c r="I251" s="783"/>
      <c r="J251" s="783"/>
      <c r="K251" s="783"/>
      <c r="L251" s="783"/>
      <c r="M251" s="783"/>
      <c r="N251" s="783"/>
      <c r="O251" s="783"/>
      <c r="P251" s="783"/>
      <c r="Q251" s="783"/>
      <c r="R251" s="783"/>
      <c r="S251" s="783"/>
      <c r="T251" s="786"/>
    </row>
    <row r="252" spans="2:20" ht="15.6">
      <c r="B252" s="2358"/>
      <c r="C252" s="2354"/>
      <c r="D252" s="2354"/>
      <c r="E252" s="2354"/>
      <c r="F252" s="2354"/>
      <c r="G252" s="2355"/>
      <c r="H252" s="2356"/>
      <c r="I252" s="2356"/>
      <c r="J252" s="2356"/>
      <c r="K252" s="2356"/>
      <c r="L252" s="2356"/>
      <c r="M252" s="2356"/>
      <c r="N252" s="2356"/>
      <c r="O252" s="2356"/>
      <c r="P252" s="2356"/>
      <c r="Q252" s="2356"/>
      <c r="R252" s="2356"/>
      <c r="S252" s="2356"/>
      <c r="T252" s="2359"/>
    </row>
    <row r="253" spans="2:20" ht="18">
      <c r="B253" s="779"/>
      <c r="C253" s="780" t="s">
        <v>497</v>
      </c>
      <c r="D253" s="780"/>
      <c r="E253" s="780"/>
      <c r="F253" s="781"/>
      <c r="G253" s="782"/>
      <c r="H253" s="783"/>
      <c r="I253" s="783"/>
      <c r="J253" s="783"/>
      <c r="K253" s="783"/>
      <c r="L253" s="783"/>
      <c r="M253" s="783"/>
      <c r="N253" s="783"/>
      <c r="O253" s="784"/>
      <c r="P253" s="784"/>
      <c r="Q253" s="784"/>
      <c r="R253" s="785"/>
      <c r="S253" s="783"/>
      <c r="T253" s="786"/>
    </row>
    <row r="254" spans="2:20">
      <c r="B254" s="787"/>
      <c r="C254" s="788"/>
      <c r="D254" s="788"/>
      <c r="E254" s="788"/>
      <c r="F254" s="788"/>
      <c r="G254" s="788"/>
      <c r="H254" s="783"/>
      <c r="I254" s="783"/>
      <c r="J254" s="783"/>
      <c r="K254" s="783"/>
      <c r="L254" s="783"/>
      <c r="M254" s="783"/>
      <c r="N254" s="783"/>
      <c r="O254" s="783"/>
      <c r="P254" s="783"/>
      <c r="Q254" s="783"/>
      <c r="R254" s="783"/>
      <c r="S254" s="783"/>
      <c r="T254" s="786"/>
    </row>
    <row r="255" spans="2:20" ht="34.5" customHeight="1">
      <c r="B255" s="789"/>
      <c r="C255" s="3060" t="s">
        <v>2260</v>
      </c>
      <c r="D255" s="3060"/>
      <c r="E255" s="3060"/>
      <c r="F255" s="3060"/>
      <c r="G255" s="3060"/>
      <c r="H255" s="3060"/>
      <c r="I255" s="3060"/>
      <c r="J255" s="3060"/>
      <c r="K255" s="3060"/>
      <c r="L255" s="3060"/>
      <c r="M255" s="3060"/>
      <c r="N255" s="3060"/>
      <c r="O255" s="3060"/>
      <c r="P255" s="3060"/>
      <c r="Q255" s="3060"/>
      <c r="R255" s="3060"/>
      <c r="S255" s="790"/>
      <c r="T255" s="791"/>
    </row>
    <row r="256" spans="2:20" ht="9.75" customHeight="1">
      <c r="B256" s="789"/>
      <c r="C256" s="2295"/>
      <c r="D256" s="2295"/>
      <c r="E256" s="2295"/>
      <c r="F256" s="2296"/>
      <c r="G256" s="2296"/>
      <c r="H256" s="2296"/>
      <c r="I256" s="2296"/>
      <c r="J256" s="2296"/>
      <c r="K256" s="2296"/>
      <c r="L256" s="2296"/>
      <c r="M256" s="2296"/>
      <c r="N256" s="2296"/>
      <c r="O256" s="2296"/>
      <c r="P256" s="2296"/>
      <c r="Q256" s="2296"/>
      <c r="R256" s="2296"/>
      <c r="S256" s="790"/>
      <c r="T256" s="791"/>
    </row>
    <row r="257" spans="2:20">
      <c r="B257" s="789"/>
      <c r="C257" s="3060" t="s">
        <v>2261</v>
      </c>
      <c r="D257" s="3060"/>
      <c r="E257" s="3060"/>
      <c r="F257" s="3060"/>
      <c r="G257" s="3060"/>
      <c r="H257" s="3060"/>
      <c r="I257" s="3060"/>
      <c r="J257" s="3060"/>
      <c r="K257" s="3060"/>
      <c r="L257" s="3060"/>
      <c r="M257" s="3060"/>
      <c r="N257" s="3060"/>
      <c r="O257" s="3060"/>
      <c r="P257" s="3060"/>
      <c r="Q257" s="3060"/>
      <c r="R257" s="3060"/>
      <c r="S257" s="790"/>
      <c r="T257" s="791"/>
    </row>
    <row r="258" spans="2:20">
      <c r="B258" s="2372"/>
      <c r="C258" s="3060"/>
      <c r="D258" s="3060"/>
      <c r="E258" s="3060"/>
      <c r="F258" s="3060"/>
      <c r="G258" s="3060"/>
      <c r="H258" s="3060"/>
      <c r="I258" s="3060"/>
      <c r="J258" s="3060"/>
      <c r="K258" s="3060"/>
      <c r="L258" s="3060"/>
      <c r="M258" s="3060"/>
      <c r="N258" s="3060"/>
      <c r="O258" s="3060"/>
      <c r="P258" s="3060"/>
      <c r="Q258" s="3060"/>
      <c r="R258" s="3060"/>
      <c r="S258" s="790"/>
      <c r="T258" s="791"/>
    </row>
    <row r="259" spans="2:20">
      <c r="B259" s="787"/>
      <c r="C259" s="3060"/>
      <c r="D259" s="3060"/>
      <c r="E259" s="3060"/>
      <c r="F259" s="3060"/>
      <c r="G259" s="3060"/>
      <c r="H259" s="3060"/>
      <c r="I259" s="3060"/>
      <c r="J259" s="3060"/>
      <c r="K259" s="3060"/>
      <c r="L259" s="3060"/>
      <c r="M259" s="3060"/>
      <c r="N259" s="3060"/>
      <c r="O259" s="3060"/>
      <c r="P259" s="3060"/>
      <c r="Q259" s="3060"/>
      <c r="R259" s="3060"/>
      <c r="S259" s="935"/>
      <c r="T259" s="786"/>
    </row>
    <row r="260" spans="2:20">
      <c r="B260" s="2339"/>
      <c r="C260" s="2340"/>
      <c r="D260" s="2340"/>
      <c r="E260" s="2340"/>
      <c r="F260" s="2340"/>
      <c r="G260" s="2340"/>
      <c r="H260" s="955"/>
      <c r="I260" s="955"/>
      <c r="J260" s="955"/>
      <c r="K260" s="955"/>
      <c r="L260" s="955"/>
      <c r="M260" s="955"/>
      <c r="N260" s="955"/>
      <c r="O260" s="955"/>
      <c r="P260" s="955"/>
      <c r="Q260" s="955"/>
      <c r="R260" s="955"/>
      <c r="S260" s="955"/>
      <c r="T260" s="2341"/>
    </row>
    <row r="261" spans="2:20" ht="15.6">
      <c r="B261" s="2358"/>
      <c r="C261" s="2354"/>
      <c r="D261" s="2354"/>
      <c r="E261" s="2354"/>
      <c r="F261" s="2354"/>
      <c r="G261" s="2355"/>
      <c r="H261" s="2356"/>
      <c r="I261" s="2356"/>
      <c r="J261" s="2356"/>
      <c r="K261" s="2356"/>
      <c r="L261" s="2356"/>
      <c r="M261" s="2356"/>
      <c r="N261" s="2356"/>
      <c r="O261" s="2356"/>
      <c r="P261" s="2356"/>
      <c r="Q261" s="2356"/>
      <c r="R261" s="2356"/>
      <c r="S261" s="2356"/>
      <c r="T261" s="2359"/>
    </row>
    <row r="262" spans="2:20" ht="18">
      <c r="B262" s="779"/>
      <c r="C262" s="780" t="s">
        <v>2262</v>
      </c>
      <c r="D262" s="780"/>
      <c r="E262" s="780"/>
      <c r="F262" s="781"/>
      <c r="G262" s="782"/>
      <c r="H262" s="783"/>
      <c r="I262" s="783"/>
      <c r="J262" s="783"/>
      <c r="K262" s="783"/>
      <c r="L262" s="783"/>
      <c r="M262" s="783"/>
      <c r="N262" s="783"/>
      <c r="O262" s="784"/>
      <c r="P262" s="784"/>
      <c r="Q262" s="784"/>
      <c r="R262" s="785"/>
      <c r="S262" s="783"/>
      <c r="T262" s="786"/>
    </row>
    <row r="263" spans="2:20">
      <c r="B263" s="787"/>
      <c r="C263" s="788"/>
      <c r="D263" s="788"/>
      <c r="E263" s="788"/>
      <c r="F263" s="788"/>
      <c r="G263" s="788"/>
      <c r="H263" s="783"/>
      <c r="I263" s="783"/>
      <c r="J263" s="783"/>
      <c r="K263" s="783"/>
      <c r="L263" s="783"/>
      <c r="M263" s="783"/>
      <c r="N263" s="783"/>
      <c r="O263" s="783"/>
      <c r="P263" s="783"/>
      <c r="Q263" s="783"/>
      <c r="R263" s="783"/>
      <c r="S263" s="783"/>
      <c r="T263" s="786"/>
    </row>
    <row r="264" spans="2:20" ht="34.5" customHeight="1">
      <c r="B264" s="789"/>
      <c r="C264" s="3060" t="s">
        <v>2263</v>
      </c>
      <c r="D264" s="3060"/>
      <c r="E264" s="3060"/>
      <c r="F264" s="3060"/>
      <c r="G264" s="3060"/>
      <c r="H264" s="3060"/>
      <c r="I264" s="3060"/>
      <c r="J264" s="3060"/>
      <c r="K264" s="3060"/>
      <c r="L264" s="3060"/>
      <c r="M264" s="3060"/>
      <c r="N264" s="3060"/>
      <c r="O264" s="3060"/>
      <c r="P264" s="3060"/>
      <c r="Q264" s="3060"/>
      <c r="R264" s="3060"/>
      <c r="S264" s="790"/>
      <c r="T264" s="791"/>
    </row>
    <row r="265" spans="2:20">
      <c r="B265" s="789"/>
      <c r="C265" s="801" t="s">
        <v>2264</v>
      </c>
      <c r="D265" s="801"/>
      <c r="E265" s="801"/>
      <c r="F265" s="1179"/>
      <c r="G265" s="1179"/>
      <c r="H265" s="1179"/>
      <c r="I265" s="1179"/>
      <c r="J265" s="1179"/>
      <c r="K265" s="1179"/>
      <c r="L265" s="1179"/>
      <c r="M265" s="1179"/>
      <c r="N265" s="1179"/>
      <c r="O265" s="1179"/>
      <c r="P265" s="1179"/>
      <c r="Q265" s="1179"/>
      <c r="R265" s="1179"/>
      <c r="S265" s="790"/>
      <c r="T265" s="791"/>
    </row>
    <row r="266" spans="2:20" ht="15" thickBot="1">
      <c r="B266" s="792"/>
      <c r="C266" s="793"/>
      <c r="D266" s="793"/>
      <c r="E266" s="793"/>
      <c r="F266" s="793"/>
      <c r="G266" s="793"/>
      <c r="H266" s="794"/>
      <c r="I266" s="794"/>
      <c r="J266" s="794"/>
      <c r="K266" s="794"/>
      <c r="L266" s="794"/>
      <c r="M266" s="794"/>
      <c r="N266" s="794"/>
      <c r="O266" s="794"/>
      <c r="P266" s="794"/>
      <c r="Q266" s="794"/>
      <c r="R266" s="794"/>
      <c r="S266" s="794"/>
      <c r="T266" s="795"/>
    </row>
    <row r="267" spans="2:20" ht="27" customHeight="1">
      <c r="B267" s="588"/>
      <c r="C267" s="587"/>
      <c r="D267" s="587"/>
      <c r="E267" s="587"/>
      <c r="R267" s="1178"/>
      <c r="S267" s="1178"/>
      <c r="T267" s="1178"/>
    </row>
    <row r="268" spans="2:20" ht="27" customHeight="1">
      <c r="B268" s="938" t="s">
        <v>2265</v>
      </c>
      <c r="C268" s="842"/>
      <c r="D268" s="842"/>
      <c r="E268" s="842"/>
      <c r="F268" s="842"/>
      <c r="G268" s="842"/>
      <c r="H268" s="842"/>
      <c r="I268" s="842"/>
      <c r="J268" s="842"/>
      <c r="K268" s="842"/>
      <c r="L268" s="842"/>
      <c r="M268" s="842"/>
      <c r="N268" s="843"/>
      <c r="O268" s="843"/>
      <c r="P268" s="843"/>
      <c r="Q268" s="843"/>
      <c r="R268" s="771"/>
      <c r="S268" s="771"/>
      <c r="T268" s="771"/>
    </row>
    <row r="269" spans="2:20" ht="15" thickBot="1"/>
    <row r="270" spans="2:20" ht="15.6">
      <c r="B270" s="774"/>
      <c r="C270" s="775"/>
      <c r="D270" s="775"/>
      <c r="E270" s="775"/>
      <c r="F270" s="775"/>
      <c r="G270" s="776"/>
      <c r="H270" s="777"/>
      <c r="I270" s="777"/>
      <c r="J270" s="777"/>
      <c r="K270" s="777"/>
      <c r="L270" s="777"/>
      <c r="M270" s="777"/>
      <c r="N270" s="777"/>
      <c r="O270" s="777"/>
      <c r="P270" s="777"/>
      <c r="Q270" s="777"/>
      <c r="R270" s="777"/>
      <c r="S270" s="777"/>
      <c r="T270" s="778"/>
    </row>
    <row r="271" spans="2:20" ht="18">
      <c r="B271" s="779"/>
      <c r="C271" s="780" t="s">
        <v>2266</v>
      </c>
      <c r="D271" s="780"/>
      <c r="E271" s="780"/>
      <c r="F271" s="781"/>
      <c r="G271" s="782"/>
      <c r="H271" s="783"/>
      <c r="I271" s="783"/>
      <c r="J271" s="783"/>
      <c r="K271" s="783"/>
      <c r="L271" s="783"/>
      <c r="M271" s="783"/>
      <c r="N271" s="783"/>
      <c r="O271" s="784"/>
      <c r="P271" s="784"/>
      <c r="Q271" s="784"/>
      <c r="R271" s="785"/>
      <c r="S271" s="783"/>
      <c r="T271" s="786"/>
    </row>
    <row r="272" spans="2:20" ht="11.25" customHeight="1">
      <c r="B272" s="787"/>
      <c r="C272" s="788"/>
      <c r="D272" s="788"/>
      <c r="E272" s="788"/>
      <c r="F272" s="788"/>
      <c r="G272" s="788"/>
      <c r="H272" s="783"/>
      <c r="I272" s="783"/>
      <c r="J272" s="783"/>
      <c r="K272" s="783"/>
      <c r="L272" s="783"/>
      <c r="M272" s="783"/>
      <c r="N272" s="783"/>
      <c r="O272" s="783"/>
      <c r="P272" s="783"/>
      <c r="Q272" s="783"/>
      <c r="R272" s="783"/>
      <c r="S272" s="783"/>
      <c r="T272" s="786"/>
    </row>
    <row r="273" spans="2:20">
      <c r="B273" s="789"/>
      <c r="C273" s="3060" t="s">
        <v>2267</v>
      </c>
      <c r="D273" s="3060"/>
      <c r="E273" s="3060"/>
      <c r="F273" s="3060"/>
      <c r="G273" s="3060"/>
      <c r="H273" s="3060"/>
      <c r="I273" s="3060"/>
      <c r="J273" s="3060"/>
      <c r="K273" s="3060"/>
      <c r="L273" s="3060"/>
      <c r="M273" s="3060"/>
      <c r="N273" s="3060"/>
      <c r="O273" s="3060"/>
      <c r="P273" s="3060"/>
      <c r="Q273" s="3060"/>
      <c r="R273" s="3060"/>
      <c r="S273" s="790"/>
      <c r="T273" s="791"/>
    </row>
    <row r="274" spans="2:20">
      <c r="B274" s="789"/>
      <c r="C274" s="3060"/>
      <c r="D274" s="3060"/>
      <c r="E274" s="3060"/>
      <c r="F274" s="3060"/>
      <c r="G274" s="3060"/>
      <c r="H274" s="3060"/>
      <c r="I274" s="3060"/>
      <c r="J274" s="3060"/>
      <c r="K274" s="3060"/>
      <c r="L274" s="3060"/>
      <c r="M274" s="3060"/>
      <c r="N274" s="3060"/>
      <c r="O274" s="3060"/>
      <c r="P274" s="3060"/>
      <c r="Q274" s="3060"/>
      <c r="R274" s="3060"/>
      <c r="S274" s="790"/>
      <c r="T274" s="791"/>
    </row>
    <row r="275" spans="2:20" ht="15" thickBot="1">
      <c r="B275" s="792"/>
      <c r="C275" s="793"/>
      <c r="D275" s="793"/>
      <c r="E275" s="793"/>
      <c r="F275" s="793"/>
      <c r="G275" s="793"/>
      <c r="H275" s="794"/>
      <c r="I275" s="794"/>
      <c r="J275" s="794"/>
      <c r="K275" s="794"/>
      <c r="L275" s="794"/>
      <c r="M275" s="794"/>
      <c r="N275" s="794"/>
      <c r="O275" s="794"/>
      <c r="P275" s="794"/>
      <c r="Q275" s="794"/>
      <c r="R275" s="794"/>
      <c r="S275" s="794"/>
      <c r="T275" s="795"/>
    </row>
    <row r="276" spans="2:20" ht="15" thickBot="1"/>
    <row r="277" spans="2:20" ht="15.6">
      <c r="B277" s="774"/>
      <c r="C277" s="775"/>
      <c r="D277" s="775"/>
      <c r="E277" s="775"/>
      <c r="F277" s="775"/>
      <c r="G277" s="776"/>
      <c r="H277" s="777"/>
      <c r="I277" s="777"/>
      <c r="J277" s="777"/>
      <c r="K277" s="777"/>
      <c r="L277" s="777"/>
      <c r="M277" s="777"/>
      <c r="N277" s="777"/>
      <c r="O277" s="777"/>
      <c r="P277" s="777"/>
      <c r="Q277" s="777"/>
      <c r="R277" s="777"/>
      <c r="S277" s="777"/>
      <c r="T277" s="778"/>
    </row>
    <row r="278" spans="2:20" ht="18">
      <c r="B278" s="779"/>
      <c r="C278" s="780" t="s">
        <v>2268</v>
      </c>
      <c r="D278" s="780"/>
      <c r="E278" s="780"/>
      <c r="F278" s="781"/>
      <c r="G278" s="782"/>
      <c r="H278" s="783"/>
      <c r="I278" s="783"/>
      <c r="J278" s="783"/>
      <c r="K278" s="783"/>
      <c r="L278" s="783"/>
      <c r="M278" s="783"/>
      <c r="N278" s="783"/>
      <c r="O278" s="784"/>
      <c r="P278" s="784"/>
      <c r="Q278" s="784"/>
      <c r="R278" s="785"/>
      <c r="S278" s="783"/>
      <c r="T278" s="786"/>
    </row>
    <row r="279" spans="2:20" ht="11.25" customHeight="1">
      <c r="B279" s="779"/>
      <c r="C279" s="780"/>
      <c r="D279" s="780"/>
      <c r="E279" s="780"/>
      <c r="F279" s="781"/>
      <c r="G279" s="782"/>
      <c r="H279" s="783"/>
      <c r="I279" s="783"/>
      <c r="J279" s="783"/>
      <c r="K279" s="783"/>
      <c r="L279" s="783"/>
      <c r="M279" s="783"/>
      <c r="N279" s="783"/>
      <c r="O279" s="784"/>
      <c r="P279" s="784"/>
      <c r="Q279" s="784"/>
      <c r="R279" s="785"/>
      <c r="S279" s="783"/>
      <c r="T279" s="786"/>
    </row>
    <row r="280" spans="2:20" s="6" customFormat="1" ht="22.5" customHeight="1">
      <c r="B280" s="799"/>
      <c r="C280" s="801" t="s">
        <v>2269</v>
      </c>
      <c r="D280" s="801"/>
      <c r="E280" s="801"/>
      <c r="F280" s="801"/>
      <c r="G280" s="801"/>
      <c r="H280" s="802"/>
      <c r="I280" s="802"/>
      <c r="J280" s="802"/>
      <c r="K280" s="802"/>
      <c r="L280" s="802"/>
      <c r="M280" s="802"/>
      <c r="N280" s="802"/>
      <c r="O280" s="802"/>
      <c r="P280" s="802"/>
      <c r="Q280" s="802"/>
      <c r="R280" s="802"/>
      <c r="S280" s="802"/>
      <c r="T280" s="803"/>
    </row>
    <row r="281" spans="2:20" ht="35.25" customHeight="1">
      <c r="B281" s="789"/>
      <c r="C281" s="3060" t="s">
        <v>2267</v>
      </c>
      <c r="D281" s="3060"/>
      <c r="E281" s="3060"/>
      <c r="F281" s="3060"/>
      <c r="G281" s="3060"/>
      <c r="H281" s="3060"/>
      <c r="I281" s="3060"/>
      <c r="J281" s="3060"/>
      <c r="K281" s="3060"/>
      <c r="L281" s="3060"/>
      <c r="M281" s="3060"/>
      <c r="N281" s="3060"/>
      <c r="O281" s="3060"/>
      <c r="P281" s="3060"/>
      <c r="Q281" s="3060"/>
      <c r="R281" s="3060"/>
      <c r="S281" s="790"/>
      <c r="T281" s="791"/>
    </row>
    <row r="282" spans="2:20" ht="15" thickBot="1">
      <c r="B282" s="792"/>
      <c r="C282" s="793"/>
      <c r="D282" s="793"/>
      <c r="E282" s="793"/>
      <c r="F282" s="793"/>
      <c r="G282" s="793"/>
      <c r="H282" s="794"/>
      <c r="I282" s="794"/>
      <c r="J282" s="794"/>
      <c r="K282" s="794"/>
      <c r="L282" s="794"/>
      <c r="M282" s="794"/>
      <c r="N282" s="794"/>
      <c r="O282" s="794"/>
      <c r="P282" s="794"/>
      <c r="Q282" s="794"/>
      <c r="R282" s="794"/>
      <c r="S282" s="794"/>
      <c r="T282" s="795"/>
    </row>
  </sheetData>
  <sheetProtection algorithmName="SHA-512" hashValue="t50Na20t2/Mt73NO2VmW1xqTFIkDwtXk0/n7aMF9eymz45a+RV1xXsbAHoi3vdhtrpwNyViYII2aoFoTSeNDzg==" saltValue="dxDsnHBBdmhYPB21YosShA==" spinCount="100000" sheet="1" objects="1" scenarios="1"/>
  <mergeCells count="84">
    <mergeCell ref="P3:T3"/>
    <mergeCell ref="C257:R259"/>
    <mergeCell ref="J93:K93"/>
    <mergeCell ref="J94:K94"/>
    <mergeCell ref="H93:I93"/>
    <mergeCell ref="E95:K95"/>
    <mergeCell ref="E143:G143"/>
    <mergeCell ref="H143:I143"/>
    <mergeCell ref="C224:D224"/>
    <mergeCell ref="E224:K224"/>
    <mergeCell ref="E223:K223"/>
    <mergeCell ref="C192:T192"/>
    <mergeCell ref="C222:D222"/>
    <mergeCell ref="E222:G222"/>
    <mergeCell ref="H222:I222"/>
    <mergeCell ref="J222:K222"/>
    <mergeCell ref="B5:U5"/>
    <mergeCell ref="B8:U8"/>
    <mergeCell ref="C53:D53"/>
    <mergeCell ref="C54:D54"/>
    <mergeCell ref="C55:D55"/>
    <mergeCell ref="E53:G53"/>
    <mergeCell ref="E54:G54"/>
    <mergeCell ref="H53:I53"/>
    <mergeCell ref="B13:F13"/>
    <mergeCell ref="J53:K53"/>
    <mergeCell ref="E55:K55"/>
    <mergeCell ref="H54:K54"/>
    <mergeCell ref="B19:D19"/>
    <mergeCell ref="B20:D20"/>
    <mergeCell ref="B15:D15"/>
    <mergeCell ref="B16:D16"/>
    <mergeCell ref="C57:R57"/>
    <mergeCell ref="C59:R59"/>
    <mergeCell ref="C109:R109"/>
    <mergeCell ref="C93:D93"/>
    <mergeCell ref="C94:D94"/>
    <mergeCell ref="C95:D95"/>
    <mergeCell ref="E93:G93"/>
    <mergeCell ref="E94:G94"/>
    <mergeCell ref="H94:I94"/>
    <mergeCell ref="C206:T206"/>
    <mergeCell ref="C223:D223"/>
    <mergeCell ref="C273:R274"/>
    <mergeCell ref="B11:T12"/>
    <mergeCell ref="E145:K145"/>
    <mergeCell ref="C143:D143"/>
    <mergeCell ref="C181:D181"/>
    <mergeCell ref="C144:D144"/>
    <mergeCell ref="E144:G144"/>
    <mergeCell ref="H144:I144"/>
    <mergeCell ref="J144:K144"/>
    <mergeCell ref="C160:R160"/>
    <mergeCell ref="C167:R167"/>
    <mergeCell ref="C169:R169"/>
    <mergeCell ref="E181:K181"/>
    <mergeCell ref="H180:K180"/>
    <mergeCell ref="C264:R264"/>
    <mergeCell ref="C281:R281"/>
    <mergeCell ref="C244:D244"/>
    <mergeCell ref="E244:K244"/>
    <mergeCell ref="C242:D242"/>
    <mergeCell ref="E242:G242"/>
    <mergeCell ref="H242:I242"/>
    <mergeCell ref="J242:K242"/>
    <mergeCell ref="C243:D243"/>
    <mergeCell ref="E243:K243"/>
    <mergeCell ref="C255:R255"/>
    <mergeCell ref="B14:D14"/>
    <mergeCell ref="B17:G17"/>
    <mergeCell ref="B18:D18"/>
    <mergeCell ref="C203:T203"/>
    <mergeCell ref="C179:D179"/>
    <mergeCell ref="E179:G179"/>
    <mergeCell ref="H179:I179"/>
    <mergeCell ref="J179:K179"/>
    <mergeCell ref="C180:D180"/>
    <mergeCell ref="E180:G180"/>
    <mergeCell ref="C200:R200"/>
    <mergeCell ref="C202:R202"/>
    <mergeCell ref="J143:K143"/>
    <mergeCell ref="C120:R120"/>
    <mergeCell ref="C158:R158"/>
    <mergeCell ref="C145:D145"/>
  </mergeCells>
  <hyperlinks>
    <hyperlink ref="B13" location="AIDE!A20" display="Partie 1 Identification" xr:uid="{00000000-0004-0000-1300-000000000000}"/>
    <hyperlink ref="B13:F13" location="AIDE!A21" display="Partie 1 Identification" xr:uid="{00000000-0004-0000-1300-000001000000}"/>
    <hyperlink ref="B15" location="AIDE!A83" display="Partie 3  Niveaux de service" xr:uid="{00000000-0004-0000-1300-000002000000}"/>
    <hyperlink ref="B16" location="AIDE!A132" display="Partie 4  Demande et risques" xr:uid="{00000000-0004-0000-1300-000003000000}"/>
    <hyperlink ref="B17:G17" location="AIDE!A173" display="Partie 5  Planification des coûts sur le cycle de vie" xr:uid="{00000000-0004-0000-1300-000004000000}"/>
    <hyperlink ref="B18:D18" location="AIDE!A216" display="Partie 6  Résumé financier" xr:uid="{00000000-0004-0000-1300-000005000000}"/>
    <hyperlink ref="B19:D19" location="AIDE!A236" display="Partie 7  Amélioration et suivi" xr:uid="{00000000-0004-0000-1300-000006000000}"/>
    <hyperlink ref="B20:D20" location="AIDE!A267" display="Partie 8  Sommaire" xr:uid="{00000000-0004-0000-1300-000007000000}"/>
    <hyperlink ref="B14:D14" location="AIDE!A47" display="Partie 2  Portrait des actifs" xr:uid="{00000000-0004-0000-1300-000008000000}"/>
    <hyperlink ref="B15:D15" location="AIDE!A87" display="Partie 3  Niveaux de service" xr:uid="{00000000-0004-0000-1300-000009000000}"/>
    <hyperlink ref="B16:D16" location="AIDE!A137" display="Partie 4  Demande et risques" xr:uid="{00000000-0004-0000-1300-00000A000000}"/>
  </hyperlinks>
  <pageMargins left="0.9055118110236221" right="0.6692913385826772" top="0.55118110236220474" bottom="0.55118110236220474" header="0.31496062992125984" footer="0.31496062992125984"/>
  <pageSetup scale="51" fitToHeight="0" orientation="landscape" r:id="rId1"/>
  <headerFooter>
    <oddFooter>&amp;L&amp;10Version 1.0    © CERIU, 2023&amp;R&amp;10Onglet AIDE
Page &amp;P de &amp;N</oddFooter>
  </headerFooter>
  <rowBreaks count="4" manualBreakCount="4">
    <brk id="46" max="16383" man="1"/>
    <brk id="137" max="16383" man="1"/>
    <brk id="196" max="16383" man="1"/>
    <brk id="23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249977111117893"/>
    <pageSetUpPr fitToPage="1"/>
  </sheetPr>
  <dimension ref="A1:R188"/>
  <sheetViews>
    <sheetView showGridLines="0" tabSelected="1" zoomScale="90" zoomScaleNormal="90" workbookViewId="0"/>
  </sheetViews>
  <sheetFormatPr baseColWidth="10" defaultColWidth="11.44140625" defaultRowHeight="14.4"/>
  <cols>
    <col min="1" max="1" width="1.5546875" style="28" customWidth="1"/>
    <col min="2" max="2" width="5.5546875" style="28" customWidth="1"/>
    <col min="3" max="3" width="5.88671875" style="28" customWidth="1"/>
    <col min="4" max="4" width="9.44140625" style="28" customWidth="1"/>
    <col min="5" max="5" width="25.5546875" style="28" customWidth="1"/>
    <col min="6" max="6" width="5.109375" style="28" customWidth="1"/>
    <col min="7" max="9" width="13.88671875" style="28" customWidth="1"/>
    <col min="10" max="10" width="44.44140625" style="28" customWidth="1"/>
    <col min="11" max="11" width="13.88671875" style="28" customWidth="1"/>
    <col min="12" max="12" width="15.109375" style="28" customWidth="1"/>
    <col min="13" max="13" width="1.6640625" style="28" customWidth="1"/>
    <col min="14" max="14" width="3.6640625" style="28" customWidth="1"/>
    <col min="15" max="16" width="19.44140625" style="28" customWidth="1"/>
    <col min="17" max="17" width="6.44140625" style="28" customWidth="1"/>
    <col min="18" max="18" width="1.6640625" style="28" customWidth="1"/>
    <col min="19" max="16384" width="11.44140625" style="28"/>
  </cols>
  <sheetData>
    <row r="1" spans="1:17" ht="6.75" customHeight="1" thickBot="1"/>
    <row r="2" spans="1:17" ht="14.4" customHeight="1">
      <c r="A2" s="1191"/>
      <c r="B2" s="3023" t="s">
        <v>109</v>
      </c>
      <c r="C2" s="3024"/>
      <c r="D2" s="3024"/>
      <c r="E2" s="3024"/>
      <c r="F2" s="3024"/>
      <c r="G2" s="3024"/>
      <c r="H2" s="3024"/>
      <c r="I2" s="3024"/>
      <c r="J2" s="3024"/>
      <c r="K2" s="3024"/>
      <c r="L2" s="3024"/>
      <c r="M2" s="3024"/>
      <c r="N2" s="3024"/>
      <c r="O2" s="3024"/>
      <c r="P2" s="3024"/>
      <c r="Q2" s="3025"/>
    </row>
    <row r="3" spans="1:17" ht="12.6" customHeight="1">
      <c r="A3" s="1191"/>
      <c r="B3" s="3026"/>
      <c r="C3" s="3027"/>
      <c r="D3" s="3027"/>
      <c r="E3" s="3027"/>
      <c r="F3" s="3027"/>
      <c r="G3" s="3027"/>
      <c r="H3" s="3027"/>
      <c r="I3" s="3027"/>
      <c r="J3" s="3027"/>
      <c r="K3" s="3027"/>
      <c r="L3" s="3027"/>
      <c r="M3" s="3027"/>
      <c r="N3" s="3027"/>
      <c r="O3" s="3027"/>
      <c r="P3" s="3027"/>
      <c r="Q3" s="3028"/>
    </row>
    <row r="4" spans="1:17" ht="14.4" customHeight="1">
      <c r="A4" s="1191"/>
      <c r="B4" s="3026"/>
      <c r="C4" s="3027"/>
      <c r="D4" s="3027"/>
      <c r="E4" s="3027"/>
      <c r="F4" s="3027"/>
      <c r="G4" s="3027"/>
      <c r="H4" s="3027"/>
      <c r="I4" s="3027"/>
      <c r="J4" s="3027"/>
      <c r="K4" s="3027"/>
      <c r="L4" s="3027"/>
      <c r="M4" s="3027"/>
      <c r="N4" s="3027"/>
      <c r="O4" s="3027"/>
      <c r="P4" s="3027"/>
      <c r="Q4" s="3028"/>
    </row>
    <row r="5" spans="1:17" ht="20.25" customHeight="1" thickBot="1">
      <c r="A5" s="1191"/>
      <c r="B5" s="3029"/>
      <c r="C5" s="3030"/>
      <c r="D5" s="3030"/>
      <c r="E5" s="3030"/>
      <c r="F5" s="3030"/>
      <c r="G5" s="3030"/>
      <c r="H5" s="3030"/>
      <c r="I5" s="3030"/>
      <c r="J5" s="3030"/>
      <c r="K5" s="3030"/>
      <c r="L5" s="3030"/>
      <c r="M5" s="3030"/>
      <c r="N5" s="3030"/>
      <c r="O5" s="3030"/>
      <c r="P5" s="3030"/>
      <c r="Q5" s="3031"/>
    </row>
    <row r="6" spans="1:17" ht="29.25" customHeight="1">
      <c r="B6" s="960"/>
      <c r="D6" s="2953" t="s">
        <v>4040</v>
      </c>
      <c r="E6" s="2947"/>
      <c r="G6" s="1178"/>
      <c r="N6" s="593"/>
      <c r="O6" s="593"/>
      <c r="P6" s="593"/>
      <c r="Q6" s="593"/>
    </row>
    <row r="7" spans="1:17" ht="12.75" customHeight="1">
      <c r="A7" s="1191"/>
      <c r="B7" s="1192"/>
      <c r="C7" s="1192"/>
      <c r="D7" s="963"/>
      <c r="F7" s="1192"/>
      <c r="G7" s="1192"/>
      <c r="H7" s="1192"/>
      <c r="I7" s="1192"/>
      <c r="J7" s="1192"/>
      <c r="K7" s="1192"/>
      <c r="L7" s="1192"/>
      <c r="M7" s="1192"/>
      <c r="N7" s="1192"/>
      <c r="O7" s="1192"/>
      <c r="P7" s="1192"/>
      <c r="Q7" s="1192"/>
    </row>
    <row r="8" spans="1:17" ht="35.25" customHeight="1">
      <c r="A8" s="1191"/>
      <c r="B8" s="1192"/>
      <c r="C8" s="1192"/>
      <c r="D8" s="1192"/>
      <c r="E8" s="1192"/>
      <c r="F8" s="1192"/>
      <c r="G8" s="1192"/>
      <c r="H8" s="1192"/>
      <c r="I8" s="1192"/>
      <c r="J8" s="1192"/>
      <c r="K8" s="1192"/>
      <c r="L8" s="1192"/>
      <c r="M8" s="1192"/>
      <c r="N8" s="1192"/>
      <c r="O8" s="1192"/>
      <c r="P8" s="1192"/>
      <c r="Q8" s="1192"/>
    </row>
    <row r="9" spans="1:17" ht="35.25" customHeight="1">
      <c r="A9" s="1191"/>
      <c r="B9" s="1192"/>
      <c r="C9" s="1192"/>
      <c r="D9" s="1192"/>
      <c r="E9" s="1192"/>
      <c r="F9" s="1192"/>
      <c r="G9" s="1192"/>
      <c r="H9" s="1192"/>
      <c r="I9" s="1192"/>
      <c r="J9" s="1192"/>
      <c r="K9" s="1192"/>
      <c r="L9" s="1192"/>
      <c r="M9" s="1192"/>
      <c r="N9" s="1192"/>
      <c r="O9" s="1192"/>
      <c r="P9" s="1192"/>
      <c r="Q9" s="1192"/>
    </row>
    <row r="10" spans="1:17" ht="35.25" customHeight="1">
      <c r="A10" s="1191"/>
      <c r="B10" s="1192"/>
      <c r="C10" s="1192"/>
      <c r="D10" s="1192"/>
      <c r="E10" s="1192"/>
      <c r="F10" s="1192"/>
      <c r="G10" s="1192"/>
      <c r="H10" s="1192"/>
      <c r="I10" s="1192"/>
      <c r="J10" s="1192"/>
      <c r="K10" s="1192"/>
      <c r="L10" s="1192"/>
      <c r="M10" s="1192"/>
      <c r="N10" s="1192"/>
      <c r="O10" s="1192"/>
      <c r="P10" s="1192"/>
      <c r="Q10" s="1192"/>
    </row>
    <row r="11" spans="1:17" ht="35.25" customHeight="1">
      <c r="A11" s="1191"/>
      <c r="B11" s="1192"/>
      <c r="C11" s="1192"/>
      <c r="D11" s="1192"/>
      <c r="E11" s="1192"/>
      <c r="F11" s="1192"/>
      <c r="G11" s="1192"/>
      <c r="H11" s="1192"/>
      <c r="I11" s="1192"/>
      <c r="J11" s="1192"/>
      <c r="K11" s="1192"/>
      <c r="L11" s="1192"/>
      <c r="M11" s="1192"/>
      <c r="N11" s="1192"/>
      <c r="O11" s="1192"/>
      <c r="P11" s="1192"/>
      <c r="Q11" s="1192"/>
    </row>
    <row r="12" spans="1:17" ht="16.5" customHeight="1">
      <c r="B12" s="3032" t="s">
        <v>110</v>
      </c>
      <c r="C12" s="3032"/>
      <c r="D12" s="3032"/>
      <c r="E12" s="3032"/>
      <c r="F12" s="3032"/>
      <c r="G12" s="3032"/>
      <c r="H12" s="3032"/>
      <c r="I12" s="3032"/>
      <c r="J12" s="3032"/>
      <c r="K12" s="3032"/>
      <c r="L12" s="3032"/>
      <c r="M12" s="3032"/>
      <c r="N12" s="3032"/>
      <c r="O12" s="3032"/>
      <c r="P12" s="3032"/>
      <c r="Q12" s="3032"/>
    </row>
    <row r="13" spans="1:17" ht="16.5" customHeight="1">
      <c r="B13" s="3032"/>
      <c r="C13" s="3032"/>
      <c r="D13" s="3032"/>
      <c r="E13" s="3032"/>
      <c r="F13" s="3032"/>
      <c r="G13" s="3032"/>
      <c r="H13" s="3032"/>
      <c r="I13" s="3032"/>
      <c r="J13" s="3032"/>
      <c r="K13" s="3032"/>
      <c r="L13" s="3032"/>
      <c r="M13" s="3032"/>
      <c r="N13" s="3032"/>
      <c r="O13" s="3032"/>
      <c r="P13" s="3032"/>
      <c r="Q13" s="3032"/>
    </row>
    <row r="14" spans="1:17" ht="14.4" customHeight="1" thickBot="1">
      <c r="B14" s="1193"/>
      <c r="C14" s="1193"/>
      <c r="D14" s="1193"/>
      <c r="E14" s="1193"/>
      <c r="F14" s="1193"/>
      <c r="G14" s="1193"/>
      <c r="H14" s="1193"/>
      <c r="I14" s="1193"/>
      <c r="J14" s="1193"/>
      <c r="K14" s="1193"/>
      <c r="L14" s="1193"/>
      <c r="M14" s="1193"/>
      <c r="N14" s="1193"/>
      <c r="O14" s="1193"/>
      <c r="P14" s="1193"/>
      <c r="Q14" s="1193"/>
    </row>
    <row r="15" spans="1:17" ht="14.4" customHeight="1">
      <c r="B15" s="3033" t="s">
        <v>111</v>
      </c>
      <c r="C15" s="3034"/>
      <c r="D15" s="3034"/>
      <c r="E15" s="3034"/>
      <c r="F15" s="3034"/>
      <c r="G15" s="3034"/>
      <c r="H15" s="3034"/>
      <c r="I15" s="3034"/>
      <c r="J15" s="3034"/>
      <c r="K15" s="3034"/>
      <c r="L15" s="3034"/>
      <c r="M15" s="3034"/>
      <c r="N15" s="3034"/>
      <c r="O15" s="3034"/>
      <c r="P15" s="3034"/>
      <c r="Q15" s="3035"/>
    </row>
    <row r="16" spans="1:17" ht="14.4" customHeight="1">
      <c r="B16" s="3036"/>
      <c r="C16" s="3037"/>
      <c r="D16" s="3037"/>
      <c r="E16" s="3037"/>
      <c r="F16" s="3037"/>
      <c r="G16" s="3037"/>
      <c r="H16" s="3037"/>
      <c r="I16" s="3037"/>
      <c r="J16" s="3037"/>
      <c r="K16" s="3037"/>
      <c r="L16" s="3037"/>
      <c r="M16" s="3037"/>
      <c r="N16" s="3037"/>
      <c r="O16" s="3037"/>
      <c r="P16" s="3037"/>
      <c r="Q16" s="3038"/>
    </row>
    <row r="17" spans="1:18" ht="14.4" customHeight="1">
      <c r="B17" s="3036"/>
      <c r="C17" s="3037"/>
      <c r="D17" s="3037"/>
      <c r="E17" s="3037"/>
      <c r="F17" s="3037"/>
      <c r="G17" s="3037"/>
      <c r="H17" s="3037"/>
      <c r="I17" s="3037"/>
      <c r="J17" s="3037"/>
      <c r="K17" s="3037"/>
      <c r="L17" s="3037"/>
      <c r="M17" s="3037"/>
      <c r="N17" s="3037"/>
      <c r="O17" s="3037"/>
      <c r="P17" s="3037"/>
      <c r="Q17" s="3038"/>
    </row>
    <row r="18" spans="1:18" ht="14.4" customHeight="1">
      <c r="B18" s="3036"/>
      <c r="C18" s="3037"/>
      <c r="D18" s="3037"/>
      <c r="E18" s="3037"/>
      <c r="F18" s="3037"/>
      <c r="G18" s="3037"/>
      <c r="H18" s="3037"/>
      <c r="I18" s="3037"/>
      <c r="J18" s="3037"/>
      <c r="K18" s="3037"/>
      <c r="L18" s="3037"/>
      <c r="M18" s="3037"/>
      <c r="N18" s="3037"/>
      <c r="O18" s="3037"/>
      <c r="P18" s="3037"/>
      <c r="Q18" s="3038"/>
    </row>
    <row r="19" spans="1:18" ht="14.4" customHeight="1">
      <c r="A19" s="1029"/>
      <c r="B19" s="3036"/>
      <c r="C19" s="3037"/>
      <c r="D19" s="3037"/>
      <c r="E19" s="3037"/>
      <c r="F19" s="3037"/>
      <c r="G19" s="3037"/>
      <c r="H19" s="3037"/>
      <c r="I19" s="3037"/>
      <c r="J19" s="3037"/>
      <c r="K19" s="3037"/>
      <c r="L19" s="3037"/>
      <c r="M19" s="3037"/>
      <c r="N19" s="3037"/>
      <c r="O19" s="3037"/>
      <c r="P19" s="3037"/>
      <c r="Q19" s="3038"/>
      <c r="R19" s="1029"/>
    </row>
    <row r="20" spans="1:18" ht="19.5" customHeight="1" thickBot="1">
      <c r="A20" s="1029"/>
      <c r="B20" s="3039"/>
      <c r="C20" s="3040"/>
      <c r="D20" s="3040"/>
      <c r="E20" s="3040"/>
      <c r="F20" s="3040"/>
      <c r="G20" s="3040"/>
      <c r="H20" s="3040"/>
      <c r="I20" s="3040"/>
      <c r="J20" s="3040"/>
      <c r="K20" s="3040"/>
      <c r="L20" s="3040"/>
      <c r="M20" s="3040"/>
      <c r="N20" s="3040"/>
      <c r="O20" s="3040"/>
      <c r="P20" s="3040"/>
      <c r="Q20" s="3041"/>
      <c r="R20" s="1029"/>
    </row>
    <row r="21" spans="1:18" ht="14.4" customHeight="1">
      <c r="A21" s="1029"/>
      <c r="B21" s="1194"/>
      <c r="C21" s="1194"/>
      <c r="D21" s="1194"/>
      <c r="E21" s="1194"/>
      <c r="F21" s="1194"/>
      <c r="G21" s="1194"/>
      <c r="H21" s="1194"/>
      <c r="I21" s="1194"/>
      <c r="J21" s="1194"/>
      <c r="K21" s="1194"/>
      <c r="L21" s="1194"/>
      <c r="M21" s="1194"/>
      <c r="N21" s="1194"/>
      <c r="O21" s="1194"/>
      <c r="P21" s="1194"/>
      <c r="Q21" s="1194"/>
      <c r="R21" s="1029"/>
    </row>
    <row r="22" spans="1:18" ht="14.4" customHeight="1">
      <c r="A22" s="1029"/>
      <c r="B22" s="1194"/>
      <c r="C22" s="1194"/>
      <c r="D22" s="1194"/>
      <c r="E22" s="1194"/>
      <c r="F22" s="1194"/>
      <c r="G22" s="1194"/>
      <c r="H22" s="1194"/>
      <c r="I22" s="1194"/>
      <c r="J22" s="1194"/>
      <c r="K22" s="1194"/>
      <c r="L22" s="1194"/>
      <c r="M22" s="1194"/>
      <c r="N22" s="1194"/>
      <c r="O22" s="1194"/>
      <c r="P22" s="1194"/>
      <c r="Q22" s="1194"/>
      <c r="R22" s="1029"/>
    </row>
    <row r="23" spans="1:18" ht="16.5" customHeight="1">
      <c r="A23" s="1029"/>
      <c r="B23" s="3032" t="s">
        <v>112</v>
      </c>
      <c r="C23" s="3032"/>
      <c r="D23" s="3032"/>
      <c r="E23" s="3032"/>
      <c r="F23" s="3032"/>
      <c r="G23" s="3032"/>
      <c r="H23" s="3032"/>
      <c r="I23" s="3032"/>
      <c r="J23" s="3032"/>
      <c r="K23" s="3032"/>
      <c r="L23" s="3032"/>
      <c r="M23" s="3032"/>
      <c r="N23" s="3032"/>
      <c r="O23" s="3032"/>
      <c r="P23" s="3032"/>
      <c r="Q23" s="3032"/>
      <c r="R23" s="1029"/>
    </row>
    <row r="24" spans="1:18" ht="16.5" customHeight="1">
      <c r="A24" s="1029"/>
      <c r="B24" s="3032"/>
      <c r="C24" s="3032"/>
      <c r="D24" s="3032"/>
      <c r="E24" s="3032"/>
      <c r="F24" s="3032"/>
      <c r="G24" s="3032"/>
      <c r="H24" s="3032"/>
      <c r="I24" s="3032"/>
      <c r="J24" s="3032"/>
      <c r="K24" s="3032"/>
      <c r="L24" s="3032"/>
      <c r="M24" s="3032"/>
      <c r="N24" s="3032"/>
      <c r="O24" s="3032"/>
      <c r="P24" s="3032"/>
      <c r="Q24" s="3032"/>
      <c r="R24" s="1029"/>
    </row>
    <row r="25" spans="1:18" ht="14.4" customHeight="1" thickBot="1">
      <c r="A25" s="1029"/>
      <c r="B25" s="1029"/>
      <c r="C25" s="1029"/>
      <c r="D25" s="1029"/>
      <c r="E25" s="1029"/>
      <c r="F25" s="1029"/>
      <c r="G25" s="1029"/>
      <c r="H25" s="1029"/>
      <c r="I25" s="1029"/>
      <c r="J25" s="1029"/>
      <c r="K25" s="1029"/>
      <c r="L25" s="1029"/>
      <c r="M25" s="1029"/>
      <c r="N25" s="1029"/>
      <c r="O25" s="1029"/>
      <c r="P25" s="1029"/>
      <c r="Q25" s="1029"/>
      <c r="R25" s="1029"/>
    </row>
    <row r="26" spans="1:18" ht="21.75" customHeight="1" thickBot="1">
      <c r="A26" s="1029"/>
      <c r="B26" s="1195"/>
      <c r="C26" s="1196"/>
      <c r="D26" s="1196"/>
      <c r="E26" s="1196"/>
      <c r="F26" s="1196"/>
      <c r="G26" s="1196"/>
      <c r="H26" s="1196"/>
      <c r="I26" s="1196"/>
      <c r="J26" s="1196"/>
      <c r="K26" s="1196"/>
      <c r="L26" s="1196"/>
      <c r="M26" s="1196"/>
      <c r="N26" s="1196"/>
      <c r="O26" s="1196"/>
      <c r="P26" s="1196"/>
      <c r="Q26" s="1197"/>
      <c r="R26" s="1029"/>
    </row>
    <row r="27" spans="1:18" ht="14.4" customHeight="1">
      <c r="A27" s="1029"/>
      <c r="B27" s="1198"/>
      <c r="C27" s="3017" t="s">
        <v>113</v>
      </c>
      <c r="D27" s="3018"/>
      <c r="E27" s="3018"/>
      <c r="F27" s="3018"/>
      <c r="G27" s="3042" t="s">
        <v>114</v>
      </c>
      <c r="H27" s="3018"/>
      <c r="I27" s="3018"/>
      <c r="J27" s="3018"/>
      <c r="K27" s="3018"/>
      <c r="L27" s="3018"/>
      <c r="M27" s="3043"/>
      <c r="N27" s="3048" t="s">
        <v>115</v>
      </c>
      <c r="O27" s="3049"/>
      <c r="P27" s="3054" t="s">
        <v>116</v>
      </c>
      <c r="Q27" s="786"/>
      <c r="R27" s="1029"/>
    </row>
    <row r="28" spans="1:18" ht="14.4" customHeight="1">
      <c r="A28" s="1029"/>
      <c r="B28" s="1199"/>
      <c r="C28" s="3019"/>
      <c r="D28" s="3020"/>
      <c r="E28" s="3020"/>
      <c r="F28" s="3020"/>
      <c r="G28" s="3044"/>
      <c r="H28" s="3020"/>
      <c r="I28" s="3020"/>
      <c r="J28" s="3020"/>
      <c r="K28" s="3020"/>
      <c r="L28" s="3020"/>
      <c r="M28" s="3045"/>
      <c r="N28" s="3050"/>
      <c r="O28" s="3051"/>
      <c r="P28" s="3055"/>
      <c r="Q28" s="786"/>
      <c r="R28" s="1029"/>
    </row>
    <row r="29" spans="1:18" ht="15" customHeight="1" thickBot="1">
      <c r="A29" s="1029"/>
      <c r="B29" s="1199"/>
      <c r="C29" s="3021"/>
      <c r="D29" s="3022"/>
      <c r="E29" s="3022"/>
      <c r="F29" s="3022"/>
      <c r="G29" s="3046"/>
      <c r="H29" s="3022"/>
      <c r="I29" s="3022"/>
      <c r="J29" s="3022"/>
      <c r="K29" s="3022"/>
      <c r="L29" s="3022"/>
      <c r="M29" s="3047"/>
      <c r="N29" s="3052"/>
      <c r="O29" s="3053"/>
      <c r="P29" s="3056"/>
      <c r="Q29" s="786"/>
      <c r="R29" s="1029"/>
    </row>
    <row r="30" spans="1:18" ht="6" customHeight="1">
      <c r="A30" s="1029"/>
      <c r="B30" s="1200"/>
      <c r="C30" s="1201"/>
      <c r="D30" s="1202"/>
      <c r="E30" s="3010" t="s">
        <v>117</v>
      </c>
      <c r="F30" s="3010"/>
      <c r="G30" s="282"/>
      <c r="H30" s="1203"/>
      <c r="I30" s="1203"/>
      <c r="J30" s="1203"/>
      <c r="K30" s="1203"/>
      <c r="L30" s="1203"/>
      <c r="M30" s="1204"/>
      <c r="N30" s="1205"/>
      <c r="O30" s="1204"/>
      <c r="P30" s="1206"/>
      <c r="Q30" s="786"/>
      <c r="R30" s="1029"/>
    </row>
    <row r="31" spans="1:18" ht="17.25" customHeight="1">
      <c r="A31" s="1029"/>
      <c r="B31" s="1200"/>
      <c r="C31" s="1207"/>
      <c r="D31" s="52"/>
      <c r="E31" s="3000"/>
      <c r="F31" s="3000"/>
      <c r="G31" s="3002" t="s">
        <v>118</v>
      </c>
      <c r="H31" s="3003"/>
      <c r="I31" s="3003"/>
      <c r="J31" s="3003"/>
      <c r="K31" s="3003"/>
      <c r="L31" s="3003"/>
      <c r="M31" s="1208"/>
      <c r="N31" s="3002" t="s">
        <v>119</v>
      </c>
      <c r="O31" s="3006"/>
      <c r="P31" s="3015" t="s">
        <v>120</v>
      </c>
      <c r="Q31" s="786"/>
      <c r="R31" s="1029"/>
    </row>
    <row r="32" spans="1:18" ht="17.25" customHeight="1">
      <c r="A32" s="1029"/>
      <c r="B32" s="1200"/>
      <c r="C32" s="1207"/>
      <c r="D32" s="52"/>
      <c r="E32" s="3000"/>
      <c r="F32" s="3000"/>
      <c r="G32" s="3002"/>
      <c r="H32" s="3003"/>
      <c r="I32" s="3003"/>
      <c r="J32" s="3003"/>
      <c r="K32" s="3003"/>
      <c r="L32" s="3003"/>
      <c r="M32" s="1208"/>
      <c r="N32" s="3002"/>
      <c r="O32" s="3006"/>
      <c r="P32" s="3015"/>
      <c r="Q32" s="786"/>
      <c r="R32" s="1029"/>
    </row>
    <row r="33" spans="1:18" ht="17.25" customHeight="1">
      <c r="A33" s="1029"/>
      <c r="B33" s="1200"/>
      <c r="C33" s="1207"/>
      <c r="D33" s="52"/>
      <c r="E33" s="3000"/>
      <c r="F33" s="3000"/>
      <c r="G33" s="3002"/>
      <c r="H33" s="3003"/>
      <c r="I33" s="3003"/>
      <c r="J33" s="3003"/>
      <c r="K33" s="3003"/>
      <c r="L33" s="3003"/>
      <c r="M33" s="1208"/>
      <c r="N33" s="3002"/>
      <c r="O33" s="3006"/>
      <c r="P33" s="3015"/>
      <c r="Q33" s="786"/>
      <c r="R33" s="1029"/>
    </row>
    <row r="34" spans="1:18" ht="17.25" customHeight="1">
      <c r="A34" s="1029"/>
      <c r="B34" s="1200"/>
      <c r="C34" s="1207"/>
      <c r="D34" s="52"/>
      <c r="E34" s="3011"/>
      <c r="F34" s="3011"/>
      <c r="G34" s="3002"/>
      <c r="H34" s="3003"/>
      <c r="I34" s="3003"/>
      <c r="J34" s="3003"/>
      <c r="K34" s="3003"/>
      <c r="L34" s="3003"/>
      <c r="M34" s="1208"/>
      <c r="N34" s="3002"/>
      <c r="O34" s="3006"/>
      <c r="P34" s="3015"/>
      <c r="Q34" s="786"/>
      <c r="R34" s="1029"/>
    </row>
    <row r="35" spans="1:18" ht="6" customHeight="1">
      <c r="A35" s="1029"/>
      <c r="B35" s="1200"/>
      <c r="C35" s="1209"/>
      <c r="D35" s="1210"/>
      <c r="E35" s="3010" t="s">
        <v>121</v>
      </c>
      <c r="F35" s="3010"/>
      <c r="G35" s="1211"/>
      <c r="H35" s="1212"/>
      <c r="I35" s="1212"/>
      <c r="J35" s="1212"/>
      <c r="K35" s="1212"/>
      <c r="L35" s="1212"/>
      <c r="M35" s="1213"/>
      <c r="N35" s="1214"/>
      <c r="O35" s="1215"/>
      <c r="P35" s="1216"/>
      <c r="Q35" s="786"/>
      <c r="R35" s="1029"/>
    </row>
    <row r="36" spans="1:18" ht="16.5" customHeight="1">
      <c r="A36" s="1029"/>
      <c r="B36" s="1200"/>
      <c r="C36" s="1207"/>
      <c r="D36" s="52"/>
      <c r="E36" s="3000"/>
      <c r="F36" s="3000"/>
      <c r="G36" s="3002" t="s">
        <v>122</v>
      </c>
      <c r="H36" s="3003"/>
      <c r="I36" s="3003"/>
      <c r="J36" s="3003"/>
      <c r="K36" s="3003"/>
      <c r="L36" s="3003"/>
      <c r="M36" s="1208"/>
      <c r="N36" s="3002" t="s">
        <v>123</v>
      </c>
      <c r="O36" s="3006"/>
      <c r="P36" s="3015" t="s">
        <v>124</v>
      </c>
      <c r="Q36" s="786"/>
      <c r="R36" s="1029"/>
    </row>
    <row r="37" spans="1:18" ht="16.5" customHeight="1">
      <c r="A37" s="1029"/>
      <c r="B37" s="1200"/>
      <c r="C37" s="1207"/>
      <c r="D37" s="52"/>
      <c r="E37" s="3000"/>
      <c r="F37" s="3000"/>
      <c r="G37" s="3002"/>
      <c r="H37" s="3003"/>
      <c r="I37" s="3003"/>
      <c r="J37" s="3003"/>
      <c r="K37" s="3003"/>
      <c r="L37" s="3003"/>
      <c r="M37" s="1208"/>
      <c r="N37" s="3002"/>
      <c r="O37" s="3006"/>
      <c r="P37" s="3015"/>
      <c r="Q37" s="786"/>
      <c r="R37" s="1029"/>
    </row>
    <row r="38" spans="1:18" ht="16.5" customHeight="1">
      <c r="A38" s="1029"/>
      <c r="B38" s="1200"/>
      <c r="C38" s="1207"/>
      <c r="D38" s="52"/>
      <c r="E38" s="3000"/>
      <c r="F38" s="3000"/>
      <c r="G38" s="3002"/>
      <c r="H38" s="3003"/>
      <c r="I38" s="3003"/>
      <c r="J38" s="3003"/>
      <c r="K38" s="3003"/>
      <c r="L38" s="3003"/>
      <c r="M38" s="1208"/>
      <c r="N38" s="3002"/>
      <c r="O38" s="3006"/>
      <c r="P38" s="3015"/>
      <c r="Q38" s="786"/>
      <c r="R38" s="1029"/>
    </row>
    <row r="39" spans="1:18" ht="16.5" customHeight="1">
      <c r="A39" s="1029"/>
      <c r="B39" s="1200"/>
      <c r="C39" s="1217"/>
      <c r="D39" s="1218"/>
      <c r="E39" s="3011"/>
      <c r="F39" s="3011"/>
      <c r="G39" s="3012"/>
      <c r="H39" s="3013"/>
      <c r="I39" s="3013"/>
      <c r="J39" s="3013"/>
      <c r="K39" s="3013"/>
      <c r="L39" s="3013"/>
      <c r="M39" s="1219"/>
      <c r="N39" s="3012"/>
      <c r="O39" s="3014"/>
      <c r="P39" s="3016"/>
      <c r="Q39" s="786"/>
      <c r="R39" s="1029"/>
    </row>
    <row r="40" spans="1:18" ht="6" customHeight="1">
      <c r="A40" s="1029"/>
      <c r="B40" s="1200"/>
      <c r="C40" s="1209"/>
      <c r="D40" s="1210"/>
      <c r="E40" s="3010" t="s">
        <v>125</v>
      </c>
      <c r="F40" s="3010"/>
      <c r="G40" s="1211"/>
      <c r="H40" s="1212"/>
      <c r="I40" s="1212"/>
      <c r="J40" s="1212"/>
      <c r="K40" s="1212"/>
      <c r="L40" s="1212"/>
      <c r="M40" s="1213"/>
      <c r="N40" s="1214"/>
      <c r="O40" s="1215"/>
      <c r="P40" s="1216"/>
      <c r="Q40" s="786"/>
      <c r="R40" s="1029"/>
    </row>
    <row r="41" spans="1:18" ht="16.5" customHeight="1">
      <c r="A41" s="1029"/>
      <c r="B41" s="1200"/>
      <c r="C41" s="1207"/>
      <c r="D41" s="52"/>
      <c r="E41" s="3000"/>
      <c r="F41" s="3000"/>
      <c r="G41" s="3002" t="s">
        <v>126</v>
      </c>
      <c r="H41" s="3003"/>
      <c r="I41" s="3003"/>
      <c r="J41" s="3003"/>
      <c r="K41" s="3003"/>
      <c r="L41" s="3003"/>
      <c r="M41" s="1208"/>
      <c r="N41" s="3002" t="s">
        <v>123</v>
      </c>
      <c r="O41" s="3006"/>
      <c r="P41" s="3015" t="s">
        <v>127</v>
      </c>
      <c r="Q41" s="786"/>
      <c r="R41" s="1029"/>
    </row>
    <row r="42" spans="1:18" ht="16.5" customHeight="1">
      <c r="A42" s="1029"/>
      <c r="B42" s="1200"/>
      <c r="C42" s="1207"/>
      <c r="D42" s="52"/>
      <c r="E42" s="3000"/>
      <c r="F42" s="3000"/>
      <c r="G42" s="3002"/>
      <c r="H42" s="3003"/>
      <c r="I42" s="3003"/>
      <c r="J42" s="3003"/>
      <c r="K42" s="3003"/>
      <c r="L42" s="3003"/>
      <c r="M42" s="1208"/>
      <c r="N42" s="3002"/>
      <c r="O42" s="3006"/>
      <c r="P42" s="3015"/>
      <c r="Q42" s="786"/>
      <c r="R42" s="1029"/>
    </row>
    <row r="43" spans="1:18" ht="16.5" customHeight="1">
      <c r="A43" s="1029"/>
      <c r="B43" s="1200"/>
      <c r="C43" s="1207"/>
      <c r="D43" s="52"/>
      <c r="E43" s="3000"/>
      <c r="F43" s="3000"/>
      <c r="G43" s="3002"/>
      <c r="H43" s="3003"/>
      <c r="I43" s="3003"/>
      <c r="J43" s="3003"/>
      <c r="K43" s="3003"/>
      <c r="L43" s="3003"/>
      <c r="M43" s="1208"/>
      <c r="N43" s="3002"/>
      <c r="O43" s="3006"/>
      <c r="P43" s="3015"/>
      <c r="Q43" s="786"/>
      <c r="R43" s="1029"/>
    </row>
    <row r="44" spans="1:18" ht="16.5" customHeight="1">
      <c r="A44" s="1029"/>
      <c r="B44" s="1200"/>
      <c r="C44" s="1217"/>
      <c r="D44" s="1218"/>
      <c r="E44" s="3011"/>
      <c r="F44" s="3011"/>
      <c r="G44" s="3012"/>
      <c r="H44" s="3013"/>
      <c r="I44" s="3013"/>
      <c r="J44" s="3013"/>
      <c r="K44" s="3013"/>
      <c r="L44" s="3013"/>
      <c r="M44" s="1219"/>
      <c r="N44" s="3012"/>
      <c r="O44" s="3014"/>
      <c r="P44" s="3016"/>
      <c r="Q44" s="786"/>
      <c r="R44" s="1029"/>
    </row>
    <row r="45" spans="1:18" ht="6" customHeight="1">
      <c r="A45" s="1029"/>
      <c r="B45" s="1200"/>
      <c r="C45" s="1207"/>
      <c r="D45" s="52"/>
      <c r="E45" s="3000" t="s">
        <v>128</v>
      </c>
      <c r="F45" s="3000"/>
      <c r="G45" s="282"/>
      <c r="H45" s="1220"/>
      <c r="I45" s="1220"/>
      <c r="J45" s="1220"/>
      <c r="K45" s="1220"/>
      <c r="L45" s="1220"/>
      <c r="M45" s="1208"/>
      <c r="N45" s="1221"/>
      <c r="O45" s="1222"/>
      <c r="P45" s="1223"/>
      <c r="Q45" s="786"/>
      <c r="R45" s="1029"/>
    </row>
    <row r="46" spans="1:18" ht="16.5" customHeight="1">
      <c r="A46" s="1029"/>
      <c r="B46" s="1200"/>
      <c r="C46" s="1207"/>
      <c r="D46" s="52"/>
      <c r="E46" s="3000"/>
      <c r="F46" s="3000"/>
      <c r="G46" s="3002" t="s">
        <v>2396</v>
      </c>
      <c r="H46" s="3003"/>
      <c r="I46" s="3003"/>
      <c r="J46" s="3003"/>
      <c r="K46" s="3003"/>
      <c r="L46" s="3003"/>
      <c r="M46" s="1208"/>
      <c r="N46" s="3002" t="s">
        <v>119</v>
      </c>
      <c r="O46" s="3006"/>
      <c r="P46" s="3008" t="s">
        <v>129</v>
      </c>
      <c r="Q46" s="786"/>
      <c r="R46" s="1029"/>
    </row>
    <row r="47" spans="1:18" ht="16.5" customHeight="1">
      <c r="A47" s="1029"/>
      <c r="B47" s="1200"/>
      <c r="C47" s="1207"/>
      <c r="D47" s="52"/>
      <c r="E47" s="3000"/>
      <c r="F47" s="3000"/>
      <c r="G47" s="3002"/>
      <c r="H47" s="3003"/>
      <c r="I47" s="3003"/>
      <c r="J47" s="3003"/>
      <c r="K47" s="3003"/>
      <c r="L47" s="3003"/>
      <c r="M47" s="1208"/>
      <c r="N47" s="3002"/>
      <c r="O47" s="3006"/>
      <c r="P47" s="3008"/>
      <c r="Q47" s="786"/>
      <c r="R47" s="1029"/>
    </row>
    <row r="48" spans="1:18" ht="16.5" customHeight="1">
      <c r="A48" s="1029"/>
      <c r="B48" s="1200"/>
      <c r="C48" s="1207"/>
      <c r="D48" s="52"/>
      <c r="E48" s="3000"/>
      <c r="F48" s="3000"/>
      <c r="G48" s="3002"/>
      <c r="H48" s="3003"/>
      <c r="I48" s="3003"/>
      <c r="J48" s="3003"/>
      <c r="K48" s="3003"/>
      <c r="L48" s="3003"/>
      <c r="M48" s="1208"/>
      <c r="N48" s="3002"/>
      <c r="O48" s="3006"/>
      <c r="P48" s="3008"/>
      <c r="Q48" s="786"/>
      <c r="R48" s="1029"/>
    </row>
    <row r="49" spans="1:18" ht="16.5" customHeight="1" thickBot="1">
      <c r="A49" s="1029"/>
      <c r="B49" s="1200"/>
      <c r="C49" s="1224"/>
      <c r="D49" s="1225"/>
      <c r="E49" s="3001"/>
      <c r="F49" s="3001"/>
      <c r="G49" s="3004"/>
      <c r="H49" s="3005"/>
      <c r="I49" s="3005"/>
      <c r="J49" s="3005"/>
      <c r="K49" s="3005"/>
      <c r="L49" s="3005"/>
      <c r="M49" s="1226"/>
      <c r="N49" s="3004"/>
      <c r="O49" s="3007"/>
      <c r="P49" s="3009"/>
      <c r="Q49" s="786"/>
      <c r="R49" s="1029"/>
    </row>
    <row r="50" spans="1:18" ht="27" customHeight="1" thickBot="1">
      <c r="A50" s="1029"/>
      <c r="B50" s="1227"/>
      <c r="C50" s="1228"/>
      <c r="D50" s="1228"/>
      <c r="E50" s="1229"/>
      <c r="F50" s="1229"/>
      <c r="G50" s="1230"/>
      <c r="H50" s="1230"/>
      <c r="I50" s="1230"/>
      <c r="J50" s="1230"/>
      <c r="K50" s="1230"/>
      <c r="L50" s="1230"/>
      <c r="M50" s="1231"/>
      <c r="N50" s="1230"/>
      <c r="O50" s="1230"/>
      <c r="P50" s="1230"/>
      <c r="Q50" s="795"/>
      <c r="R50" s="1029"/>
    </row>
    <row r="51" spans="1:18" ht="10.5" customHeight="1">
      <c r="A51" s="1029"/>
      <c r="B51" s="1029"/>
      <c r="C51" s="1029"/>
      <c r="D51" s="1029"/>
      <c r="E51" s="1029"/>
      <c r="F51" s="1029"/>
      <c r="G51" s="1029"/>
      <c r="H51" s="1029"/>
      <c r="I51" s="1029"/>
      <c r="J51" s="1029"/>
      <c r="K51" s="1029"/>
      <c r="L51" s="1029"/>
      <c r="M51" s="1029"/>
      <c r="N51" s="1029"/>
      <c r="O51" s="1029"/>
      <c r="P51" s="1029"/>
      <c r="Q51" s="1029"/>
      <c r="R51" s="1029"/>
    </row>
    <row r="52" spans="1:18">
      <c r="A52" s="1029"/>
      <c r="B52" s="1029"/>
      <c r="C52" s="1029"/>
      <c r="D52" s="1029"/>
      <c r="E52" s="1029"/>
      <c r="F52" s="1029"/>
      <c r="G52" s="1029"/>
      <c r="H52" s="1029"/>
      <c r="I52" s="1029"/>
      <c r="J52" s="1029"/>
      <c r="K52" s="1029"/>
      <c r="L52" s="1029"/>
      <c r="M52" s="1029"/>
      <c r="N52" s="1029"/>
      <c r="O52" s="1029"/>
      <c r="P52" s="1029"/>
      <c r="Q52" s="1029"/>
      <c r="R52" s="1029"/>
    </row>
    <row r="53" spans="1:18">
      <c r="A53" s="1029"/>
      <c r="B53" s="1029"/>
      <c r="C53" s="1029"/>
      <c r="D53" s="1029"/>
      <c r="E53" s="1029"/>
      <c r="F53" s="1029"/>
      <c r="G53" s="1029"/>
      <c r="H53" s="1029"/>
      <c r="I53" s="1029"/>
      <c r="J53" s="1029"/>
      <c r="K53" s="1029"/>
      <c r="L53" s="1029"/>
      <c r="M53" s="1029"/>
      <c r="N53" s="1029"/>
      <c r="O53" s="1029"/>
      <c r="P53" s="1029"/>
      <c r="Q53" s="1029"/>
      <c r="R53" s="1029"/>
    </row>
    <row r="54" spans="1:18">
      <c r="A54" s="1029"/>
      <c r="B54" s="1029"/>
      <c r="C54" s="1029"/>
      <c r="D54" s="1029"/>
      <c r="E54" s="1029"/>
      <c r="F54" s="1029"/>
      <c r="G54" s="1029"/>
      <c r="H54" s="1029"/>
      <c r="I54" s="1029"/>
      <c r="J54" s="1029"/>
      <c r="K54" s="1029"/>
      <c r="L54" s="1029"/>
      <c r="M54" s="1029"/>
      <c r="N54" s="1029"/>
      <c r="O54" s="1029"/>
      <c r="P54" s="1029"/>
      <c r="Q54" s="1029"/>
      <c r="R54" s="1029"/>
    </row>
    <row r="55" spans="1:18">
      <c r="A55" s="1029"/>
      <c r="B55" s="1029"/>
      <c r="C55" s="1029"/>
      <c r="D55" s="1029"/>
      <c r="E55" s="1029"/>
      <c r="F55" s="1029"/>
      <c r="G55" s="1029"/>
      <c r="H55" s="1029"/>
      <c r="I55" s="1029"/>
      <c r="J55" s="1029"/>
      <c r="K55" s="1029"/>
      <c r="L55" s="1029"/>
      <c r="M55" s="1029"/>
      <c r="N55" s="1029"/>
      <c r="O55" s="1029"/>
      <c r="P55" s="1029"/>
      <c r="Q55" s="1029"/>
      <c r="R55" s="1029"/>
    </row>
    <row r="56" spans="1:18">
      <c r="A56" s="1029"/>
      <c r="B56" s="1029"/>
      <c r="C56" s="1029"/>
      <c r="D56" s="1029"/>
      <c r="E56" s="1029"/>
      <c r="F56" s="1029"/>
      <c r="G56" s="1029"/>
      <c r="H56" s="1029"/>
      <c r="I56" s="1029"/>
      <c r="J56" s="1029"/>
      <c r="K56" s="1029"/>
      <c r="L56" s="1029"/>
      <c r="M56" s="1029"/>
      <c r="N56" s="1029"/>
      <c r="O56" s="1029"/>
      <c r="P56" s="1029"/>
      <c r="Q56" s="1029"/>
      <c r="R56" s="1029"/>
    </row>
    <row r="57" spans="1:18">
      <c r="A57" s="1029"/>
      <c r="B57" s="1029"/>
      <c r="C57" s="1029"/>
      <c r="D57" s="1029"/>
      <c r="E57" s="1029"/>
      <c r="F57" s="1029"/>
      <c r="G57" s="1029"/>
      <c r="H57" s="1029"/>
      <c r="I57" s="1029"/>
      <c r="J57" s="1029"/>
      <c r="K57" s="1029"/>
      <c r="L57" s="1029"/>
      <c r="M57" s="1029"/>
      <c r="N57" s="1029"/>
      <c r="O57" s="1029"/>
      <c r="P57" s="1029"/>
      <c r="Q57" s="1029"/>
      <c r="R57" s="1029"/>
    </row>
    <row r="58" spans="1:18">
      <c r="A58" s="1029"/>
      <c r="B58" s="1029"/>
      <c r="C58" s="1029"/>
      <c r="D58" s="1029"/>
      <c r="E58" s="1029"/>
      <c r="F58" s="1029"/>
      <c r="G58" s="1029"/>
      <c r="H58" s="1029"/>
      <c r="I58" s="1029"/>
      <c r="J58" s="1029"/>
      <c r="K58" s="1029"/>
      <c r="L58" s="1029"/>
      <c r="M58" s="1029"/>
      <c r="N58" s="1029"/>
      <c r="O58" s="1029"/>
      <c r="P58" s="1029"/>
      <c r="Q58" s="1029"/>
      <c r="R58" s="1029"/>
    </row>
    <row r="59" spans="1:18">
      <c r="A59" s="1029"/>
      <c r="B59" s="1029"/>
      <c r="C59" s="1029"/>
      <c r="D59" s="1029"/>
      <c r="E59" s="1029"/>
      <c r="F59" s="1029"/>
      <c r="G59" s="1029"/>
      <c r="H59" s="1029"/>
      <c r="I59" s="1029"/>
      <c r="J59" s="1029"/>
      <c r="K59" s="1029"/>
      <c r="L59" s="1029"/>
      <c r="M59" s="1029"/>
      <c r="N59" s="1029"/>
      <c r="O59" s="1029"/>
      <c r="P59" s="1029"/>
      <c r="Q59" s="1029"/>
      <c r="R59" s="1029"/>
    </row>
    <row r="60" spans="1:18">
      <c r="A60" s="1029"/>
      <c r="B60" s="1029"/>
      <c r="C60" s="1029"/>
      <c r="D60" s="1029"/>
      <c r="E60" s="1029"/>
      <c r="F60" s="1029"/>
      <c r="G60" s="1029"/>
      <c r="H60" s="1029"/>
      <c r="I60" s="1029"/>
      <c r="J60" s="1029"/>
      <c r="K60" s="1029"/>
      <c r="L60" s="1029"/>
      <c r="M60" s="1029"/>
      <c r="N60" s="1029"/>
      <c r="O60" s="1029"/>
      <c r="P60" s="1029"/>
      <c r="Q60" s="1029"/>
      <c r="R60" s="1029"/>
    </row>
    <row r="61" spans="1:18">
      <c r="A61" s="1029"/>
      <c r="B61" s="1029"/>
      <c r="C61" s="1029"/>
      <c r="D61" s="1029"/>
      <c r="E61" s="1029"/>
      <c r="F61" s="1029"/>
      <c r="G61" s="1029"/>
      <c r="H61" s="1029"/>
      <c r="I61" s="1029"/>
      <c r="J61" s="1029"/>
      <c r="K61" s="1029"/>
      <c r="L61" s="1029"/>
      <c r="M61" s="1029"/>
      <c r="N61" s="1029"/>
      <c r="O61" s="1029"/>
      <c r="P61" s="1029"/>
      <c r="Q61" s="1029"/>
      <c r="R61" s="1029"/>
    </row>
    <row r="62" spans="1:18">
      <c r="A62" s="1029"/>
      <c r="B62" s="1029"/>
      <c r="C62" s="1029"/>
      <c r="D62" s="1029"/>
      <c r="E62" s="1029"/>
      <c r="F62" s="1029"/>
      <c r="G62" s="1029"/>
      <c r="H62" s="1029"/>
      <c r="I62" s="1029"/>
      <c r="J62" s="1029"/>
      <c r="K62" s="1029"/>
      <c r="L62" s="1029"/>
      <c r="M62" s="1029"/>
      <c r="N62" s="1029"/>
      <c r="O62" s="1029"/>
      <c r="P62" s="1029"/>
      <c r="Q62" s="1029"/>
      <c r="R62" s="1029"/>
    </row>
    <row r="63" spans="1:18">
      <c r="A63" s="1029"/>
      <c r="B63" s="1029"/>
      <c r="C63" s="1029"/>
      <c r="D63" s="1029"/>
      <c r="E63" s="1029"/>
      <c r="F63" s="1029"/>
      <c r="G63" s="1029"/>
      <c r="H63" s="1029"/>
      <c r="I63" s="1029"/>
      <c r="J63" s="1029"/>
      <c r="K63" s="1029"/>
      <c r="L63" s="1029"/>
      <c r="M63" s="1029"/>
      <c r="N63" s="1029"/>
      <c r="O63" s="1029"/>
      <c r="P63" s="1029"/>
      <c r="Q63" s="1029"/>
      <c r="R63" s="1029"/>
    </row>
    <row r="64" spans="1:18">
      <c r="A64" s="1029"/>
      <c r="B64" s="1029"/>
      <c r="C64" s="1029"/>
      <c r="D64" s="1029"/>
      <c r="E64" s="1029"/>
      <c r="F64" s="1029"/>
      <c r="G64" s="1029"/>
      <c r="H64" s="1029"/>
      <c r="I64" s="1029"/>
      <c r="J64" s="1029"/>
      <c r="K64" s="1029"/>
      <c r="L64" s="1029"/>
      <c r="M64" s="1029"/>
      <c r="N64" s="1029"/>
      <c r="O64" s="1029"/>
      <c r="P64" s="1029"/>
      <c r="Q64" s="1029"/>
      <c r="R64" s="1029"/>
    </row>
    <row r="65" spans="1:18">
      <c r="A65" s="1029"/>
      <c r="B65" s="1029"/>
      <c r="C65" s="1029"/>
      <c r="D65" s="1029"/>
      <c r="E65" s="1029"/>
      <c r="F65" s="1029"/>
      <c r="G65" s="1029"/>
      <c r="H65" s="1029"/>
      <c r="I65" s="1029"/>
      <c r="J65" s="1029"/>
      <c r="K65" s="1029"/>
      <c r="L65" s="1029"/>
      <c r="M65" s="1029"/>
      <c r="N65" s="1029"/>
      <c r="O65" s="1029"/>
      <c r="P65" s="1029"/>
      <c r="Q65" s="1029"/>
      <c r="R65" s="1029"/>
    </row>
    <row r="66" spans="1:18">
      <c r="A66" s="1029"/>
      <c r="B66" s="1029"/>
      <c r="C66" s="1029"/>
      <c r="D66" s="1029"/>
      <c r="E66" s="1029"/>
      <c r="F66" s="1029"/>
      <c r="G66" s="1029"/>
      <c r="H66" s="1029"/>
      <c r="I66" s="1029"/>
      <c r="J66" s="1029"/>
      <c r="K66" s="1029"/>
      <c r="L66" s="1029"/>
      <c r="M66" s="1029"/>
      <c r="N66" s="1029"/>
      <c r="O66" s="1029"/>
      <c r="P66" s="1029"/>
      <c r="Q66" s="1029"/>
      <c r="R66" s="1029"/>
    </row>
    <row r="67" spans="1:18">
      <c r="A67" s="1029"/>
      <c r="B67" s="1029"/>
      <c r="C67" s="1029"/>
      <c r="D67" s="1029"/>
      <c r="E67" s="1029"/>
      <c r="F67" s="1029"/>
      <c r="G67" s="1029"/>
      <c r="H67" s="1029"/>
      <c r="I67" s="1029"/>
      <c r="J67" s="1029"/>
      <c r="K67" s="1029"/>
      <c r="L67" s="1029"/>
      <c r="M67" s="1029"/>
      <c r="N67" s="1029"/>
      <c r="O67" s="1029"/>
      <c r="P67" s="1029"/>
      <c r="Q67" s="1029"/>
      <c r="R67" s="1029"/>
    </row>
    <row r="68" spans="1:18">
      <c r="A68" s="1029"/>
      <c r="B68" s="1029"/>
      <c r="C68" s="1029"/>
      <c r="D68" s="1029"/>
      <c r="E68" s="1029"/>
      <c r="F68" s="1029"/>
      <c r="G68" s="1029"/>
      <c r="H68" s="1029"/>
      <c r="I68" s="1029"/>
      <c r="J68" s="1029"/>
      <c r="K68" s="1029"/>
      <c r="L68" s="1029"/>
      <c r="M68" s="1029"/>
      <c r="N68" s="1029"/>
      <c r="O68" s="1029"/>
      <c r="P68" s="1029"/>
      <c r="Q68" s="1029"/>
      <c r="R68" s="1029"/>
    </row>
    <row r="69" spans="1:18">
      <c r="A69" s="1029"/>
      <c r="B69" s="1029"/>
      <c r="C69" s="1029"/>
      <c r="D69" s="1029"/>
      <c r="E69" s="1029"/>
      <c r="F69" s="1029"/>
      <c r="G69" s="1029"/>
      <c r="H69" s="1029"/>
      <c r="I69" s="1029"/>
      <c r="J69" s="1029"/>
      <c r="K69" s="1029"/>
      <c r="L69" s="1029"/>
      <c r="M69" s="1029"/>
      <c r="N69" s="1029"/>
      <c r="O69" s="1029"/>
      <c r="P69" s="1029"/>
      <c r="Q69" s="1029"/>
      <c r="R69" s="1029"/>
    </row>
    <row r="70" spans="1:18">
      <c r="A70" s="1029"/>
      <c r="B70" s="1029"/>
      <c r="C70" s="1029"/>
      <c r="D70" s="1029"/>
      <c r="E70" s="1029"/>
      <c r="F70" s="1029"/>
      <c r="G70" s="1029"/>
      <c r="H70" s="1029"/>
      <c r="I70" s="1029"/>
      <c r="J70" s="1029"/>
      <c r="K70" s="1029"/>
      <c r="L70" s="1029"/>
      <c r="M70" s="1029"/>
      <c r="N70" s="1029"/>
      <c r="O70" s="1029"/>
      <c r="P70" s="1029"/>
      <c r="Q70" s="1029"/>
      <c r="R70" s="1029"/>
    </row>
    <row r="71" spans="1:18">
      <c r="A71" s="1029"/>
      <c r="B71" s="1029"/>
      <c r="C71" s="1029"/>
      <c r="D71" s="1029"/>
      <c r="E71" s="1029"/>
      <c r="F71" s="1029"/>
      <c r="G71" s="1029"/>
      <c r="H71" s="1029"/>
      <c r="I71" s="1029"/>
      <c r="J71" s="1029"/>
      <c r="K71" s="1029"/>
      <c r="L71" s="1029"/>
      <c r="M71" s="1029"/>
      <c r="N71" s="1029"/>
      <c r="O71" s="1029"/>
      <c r="P71" s="1029"/>
      <c r="Q71" s="1029"/>
      <c r="R71" s="1029"/>
    </row>
    <row r="72" spans="1:18">
      <c r="A72" s="1029"/>
      <c r="B72" s="1029"/>
      <c r="C72" s="1029"/>
      <c r="D72" s="1029"/>
      <c r="E72" s="1029"/>
      <c r="F72" s="1029"/>
      <c r="G72" s="1029"/>
      <c r="H72" s="1029"/>
      <c r="I72" s="1029"/>
      <c r="J72" s="1029"/>
      <c r="K72" s="1029"/>
      <c r="L72" s="1029"/>
      <c r="M72" s="1029"/>
      <c r="N72" s="1029"/>
      <c r="O72" s="1029"/>
      <c r="P72" s="1029"/>
      <c r="Q72" s="1029"/>
      <c r="R72" s="1029"/>
    </row>
    <row r="73" spans="1:18">
      <c r="A73" s="1029"/>
      <c r="B73" s="1029"/>
      <c r="C73" s="1029"/>
      <c r="D73" s="1029"/>
      <c r="E73" s="1029"/>
      <c r="F73" s="1029"/>
      <c r="G73" s="1029"/>
      <c r="H73" s="1029"/>
      <c r="I73" s="1029"/>
      <c r="J73" s="1029"/>
      <c r="K73" s="1029"/>
      <c r="L73" s="1029"/>
      <c r="M73" s="1029"/>
      <c r="N73" s="1029"/>
      <c r="O73" s="1029"/>
      <c r="P73" s="1029"/>
      <c r="Q73" s="1029"/>
      <c r="R73" s="1029"/>
    </row>
    <row r="74" spans="1:18">
      <c r="A74" s="1029"/>
      <c r="B74" s="1029"/>
      <c r="C74" s="1029"/>
      <c r="D74" s="1029"/>
      <c r="E74" s="1029"/>
      <c r="F74" s="1029"/>
      <c r="G74" s="1029"/>
      <c r="H74" s="1029"/>
      <c r="I74" s="1029"/>
      <c r="J74" s="1029"/>
      <c r="K74" s="1029"/>
      <c r="L74" s="1029"/>
      <c r="M74" s="1029"/>
      <c r="N74" s="1029"/>
      <c r="O74" s="1029"/>
      <c r="P74" s="1029"/>
      <c r="Q74" s="1029"/>
      <c r="R74" s="1029"/>
    </row>
    <row r="75" spans="1:18">
      <c r="A75" s="1029"/>
      <c r="B75" s="1029"/>
      <c r="C75" s="1029"/>
      <c r="D75" s="1029"/>
      <c r="E75" s="1029"/>
      <c r="F75" s="1029"/>
      <c r="G75" s="1029"/>
      <c r="H75" s="1029"/>
      <c r="I75" s="1029"/>
      <c r="J75" s="1029"/>
      <c r="K75" s="1029"/>
      <c r="L75" s="1029"/>
      <c r="M75" s="1029"/>
      <c r="N75" s="1029"/>
      <c r="O75" s="1029"/>
      <c r="P75" s="1029"/>
      <c r="Q75" s="1029"/>
      <c r="R75" s="1029"/>
    </row>
    <row r="76" spans="1:18">
      <c r="A76" s="1029"/>
      <c r="B76" s="1029"/>
      <c r="C76" s="1029"/>
      <c r="D76" s="1029"/>
      <c r="E76" s="1029"/>
      <c r="F76" s="1029"/>
      <c r="G76" s="1029"/>
      <c r="H76" s="1029"/>
      <c r="I76" s="1029"/>
      <c r="J76" s="1029"/>
      <c r="K76" s="1029"/>
      <c r="L76" s="1029"/>
      <c r="M76" s="1029"/>
      <c r="N76" s="1029"/>
      <c r="O76" s="1029"/>
      <c r="P76" s="1029"/>
      <c r="Q76" s="1029"/>
      <c r="R76" s="1029"/>
    </row>
    <row r="77" spans="1:18">
      <c r="A77" s="1029"/>
      <c r="B77" s="1029"/>
      <c r="C77" s="1029"/>
      <c r="D77" s="1029"/>
      <c r="E77" s="1029"/>
      <c r="F77" s="1029"/>
      <c r="G77" s="1029"/>
      <c r="H77" s="1029"/>
      <c r="I77" s="1029"/>
      <c r="J77" s="1029"/>
      <c r="K77" s="1029"/>
      <c r="L77" s="1029"/>
      <c r="M77" s="1029"/>
      <c r="N77" s="1029"/>
      <c r="O77" s="1029"/>
      <c r="P77" s="1029"/>
      <c r="Q77" s="1029"/>
      <c r="R77" s="1029"/>
    </row>
    <row r="78" spans="1:18">
      <c r="A78" s="1029"/>
      <c r="B78" s="1029"/>
      <c r="C78" s="1029"/>
      <c r="D78" s="1029"/>
      <c r="E78" s="1029"/>
      <c r="F78" s="1029"/>
      <c r="G78" s="1029"/>
      <c r="H78" s="1029"/>
      <c r="I78" s="1029"/>
      <c r="J78" s="1029"/>
      <c r="K78" s="1029"/>
      <c r="L78" s="1029"/>
      <c r="M78" s="1029"/>
      <c r="N78" s="1029"/>
      <c r="O78" s="1029"/>
      <c r="P78" s="1029"/>
      <c r="Q78" s="1029"/>
      <c r="R78" s="1029"/>
    </row>
    <row r="79" spans="1:18">
      <c r="A79" s="1029"/>
      <c r="B79" s="1029"/>
      <c r="C79" s="1029"/>
      <c r="D79" s="1029"/>
      <c r="E79" s="1029"/>
      <c r="F79" s="1029"/>
      <c r="G79" s="1029"/>
      <c r="H79" s="1029"/>
      <c r="I79" s="1029"/>
      <c r="J79" s="1029"/>
      <c r="K79" s="1029"/>
      <c r="L79" s="1029"/>
      <c r="M79" s="1029"/>
      <c r="N79" s="1029"/>
      <c r="O79" s="1029"/>
      <c r="P79" s="1029"/>
      <c r="Q79" s="1029"/>
      <c r="R79" s="1029"/>
    </row>
    <row r="80" spans="1:18">
      <c r="A80" s="1029"/>
      <c r="B80" s="1029"/>
      <c r="C80" s="1029"/>
      <c r="D80" s="1029"/>
      <c r="E80" s="1029"/>
      <c r="F80" s="1029"/>
      <c r="G80" s="1029"/>
      <c r="H80" s="1029"/>
      <c r="I80" s="1029"/>
      <c r="J80" s="1029"/>
      <c r="K80" s="1029"/>
      <c r="L80" s="1029"/>
      <c r="M80" s="1029"/>
      <c r="N80" s="1029"/>
      <c r="O80" s="1029"/>
      <c r="P80" s="1029"/>
      <c r="Q80" s="1029"/>
      <c r="R80" s="1029"/>
    </row>
    <row r="81" spans="1:18">
      <c r="A81" s="1029"/>
      <c r="B81" s="1029"/>
      <c r="C81" s="1029"/>
      <c r="D81" s="1029"/>
      <c r="E81" s="1029"/>
      <c r="F81" s="1029"/>
      <c r="G81" s="1029"/>
      <c r="H81" s="1029"/>
      <c r="I81" s="1029"/>
      <c r="J81" s="1029"/>
      <c r="K81" s="1029"/>
      <c r="L81" s="1029"/>
      <c r="M81" s="1029"/>
      <c r="N81" s="1029"/>
      <c r="O81" s="1029"/>
      <c r="P81" s="1029"/>
      <c r="Q81" s="1029"/>
      <c r="R81" s="1029"/>
    </row>
    <row r="82" spans="1:18">
      <c r="A82" s="1029"/>
      <c r="B82" s="1029"/>
      <c r="C82" s="1029"/>
      <c r="D82" s="1029"/>
      <c r="E82" s="1029"/>
      <c r="F82" s="1029"/>
      <c r="G82" s="1029"/>
      <c r="H82" s="1029"/>
      <c r="I82" s="1029"/>
      <c r="J82" s="1029"/>
      <c r="K82" s="1029"/>
      <c r="L82" s="1029"/>
      <c r="M82" s="1029"/>
      <c r="N82" s="1029"/>
      <c r="O82" s="1029"/>
      <c r="P82" s="1029"/>
      <c r="Q82" s="1029"/>
      <c r="R82" s="1029"/>
    </row>
    <row r="83" spans="1:18">
      <c r="A83" s="1029"/>
      <c r="B83" s="1029"/>
      <c r="C83" s="1029"/>
      <c r="D83" s="1029"/>
      <c r="E83" s="1029"/>
      <c r="F83" s="1029"/>
      <c r="G83" s="1029"/>
      <c r="H83" s="1029"/>
      <c r="I83" s="1029"/>
      <c r="J83" s="1029"/>
      <c r="K83" s="1029"/>
      <c r="L83" s="1029"/>
      <c r="M83" s="1029"/>
      <c r="N83" s="1029"/>
      <c r="O83" s="1029"/>
      <c r="P83" s="1029"/>
      <c r="Q83" s="1029"/>
      <c r="R83" s="1029"/>
    </row>
    <row r="84" spans="1:18">
      <c r="A84" s="1029"/>
      <c r="B84" s="1029"/>
      <c r="C84" s="1029"/>
      <c r="D84" s="1029"/>
      <c r="E84" s="1029"/>
      <c r="F84" s="1029"/>
      <c r="G84" s="1029"/>
      <c r="H84" s="1029"/>
      <c r="I84" s="1029"/>
      <c r="J84" s="1029"/>
      <c r="K84" s="1029"/>
      <c r="L84" s="1029"/>
      <c r="M84" s="1029"/>
      <c r="N84" s="1029"/>
      <c r="O84" s="1029"/>
      <c r="P84" s="1029"/>
      <c r="Q84" s="1029"/>
      <c r="R84" s="1029"/>
    </row>
    <row r="85" spans="1:18">
      <c r="A85" s="1029"/>
      <c r="B85" s="1029"/>
      <c r="C85" s="1029"/>
      <c r="D85" s="1029"/>
      <c r="E85" s="1029"/>
      <c r="F85" s="1029"/>
      <c r="G85" s="1029"/>
      <c r="H85" s="1029"/>
      <c r="I85" s="1029"/>
      <c r="J85" s="1029"/>
      <c r="K85" s="1029"/>
      <c r="L85" s="1029"/>
      <c r="M85" s="1029"/>
      <c r="N85" s="1029"/>
      <c r="O85" s="1029"/>
      <c r="P85" s="1029"/>
      <c r="Q85" s="1029"/>
      <c r="R85" s="1029"/>
    </row>
    <row r="86" spans="1:18">
      <c r="A86" s="1029"/>
      <c r="B86" s="1029"/>
      <c r="C86" s="1029"/>
      <c r="D86" s="1029"/>
      <c r="E86" s="1029"/>
      <c r="F86" s="1029"/>
      <c r="G86" s="1029"/>
      <c r="H86" s="1029"/>
      <c r="I86" s="1029"/>
      <c r="J86" s="1029"/>
      <c r="K86" s="1029"/>
      <c r="L86" s="1029"/>
      <c r="M86" s="1029"/>
      <c r="N86" s="1029"/>
      <c r="O86" s="1029"/>
      <c r="P86" s="1029"/>
      <c r="Q86" s="1029"/>
      <c r="R86" s="1029"/>
    </row>
    <row r="87" spans="1:18">
      <c r="A87" s="1029"/>
      <c r="B87" s="1029"/>
      <c r="C87" s="1029"/>
      <c r="D87" s="1029"/>
      <c r="E87" s="1029"/>
      <c r="F87" s="1029"/>
      <c r="G87" s="1029"/>
      <c r="H87" s="1029"/>
      <c r="I87" s="1029"/>
      <c r="J87" s="1029"/>
      <c r="K87" s="1029"/>
      <c r="L87" s="1029"/>
      <c r="M87" s="1029"/>
      <c r="N87" s="1029"/>
      <c r="O87" s="1029"/>
      <c r="P87" s="1029"/>
      <c r="Q87" s="1029"/>
      <c r="R87" s="1029"/>
    </row>
    <row r="88" spans="1:18">
      <c r="A88" s="1029"/>
      <c r="B88" s="1029"/>
      <c r="C88" s="1029"/>
      <c r="D88" s="1029"/>
      <c r="E88" s="1029"/>
      <c r="F88" s="1029"/>
      <c r="G88" s="1029"/>
      <c r="H88" s="1029"/>
      <c r="I88" s="1029"/>
      <c r="J88" s="1029"/>
      <c r="K88" s="1029"/>
      <c r="L88" s="1029"/>
      <c r="M88" s="1029"/>
      <c r="N88" s="1029"/>
      <c r="O88" s="1029"/>
      <c r="P88" s="1029"/>
      <c r="Q88" s="1029"/>
      <c r="R88" s="1029"/>
    </row>
    <row r="89" spans="1:18">
      <c r="A89" s="1029"/>
      <c r="B89" s="1029"/>
      <c r="C89" s="1029"/>
      <c r="D89" s="1029"/>
      <c r="E89" s="1029"/>
      <c r="F89" s="1029"/>
      <c r="G89" s="1029"/>
      <c r="H89" s="1029"/>
      <c r="I89" s="1029"/>
      <c r="J89" s="1029"/>
      <c r="K89" s="1029"/>
      <c r="L89" s="1029"/>
      <c r="M89" s="1029"/>
      <c r="N89" s="1029"/>
      <c r="O89" s="1029"/>
      <c r="P89" s="1029"/>
      <c r="Q89" s="1029"/>
      <c r="R89" s="1029"/>
    </row>
    <row r="90" spans="1:18">
      <c r="A90" s="1029"/>
      <c r="B90" s="1029"/>
      <c r="C90" s="1029"/>
      <c r="D90" s="1029"/>
      <c r="E90" s="1029"/>
      <c r="F90" s="1029"/>
      <c r="G90" s="1029"/>
      <c r="H90" s="1029"/>
      <c r="I90" s="1029"/>
      <c r="J90" s="1029"/>
      <c r="K90" s="1029"/>
      <c r="L90" s="1029"/>
      <c r="M90" s="1029"/>
      <c r="N90" s="1029"/>
      <c r="O90" s="1029"/>
      <c r="P90" s="1029"/>
      <c r="Q90" s="1029"/>
      <c r="R90" s="1029"/>
    </row>
    <row r="91" spans="1:18">
      <c r="A91" s="1029"/>
      <c r="B91" s="1029"/>
      <c r="C91" s="1029"/>
      <c r="D91" s="1029"/>
      <c r="E91" s="1029"/>
      <c r="F91" s="1029"/>
      <c r="G91" s="1029"/>
      <c r="H91" s="1029"/>
      <c r="I91" s="1029"/>
      <c r="J91" s="1029"/>
      <c r="K91" s="1029"/>
      <c r="L91" s="1029"/>
      <c r="M91" s="1029"/>
      <c r="N91" s="1029"/>
      <c r="O91" s="1029"/>
      <c r="P91" s="1029"/>
      <c r="Q91" s="1029"/>
      <c r="R91" s="1029"/>
    </row>
    <row r="92" spans="1:18">
      <c r="A92" s="1029"/>
      <c r="B92" s="1029"/>
      <c r="C92" s="1029"/>
      <c r="D92" s="1029"/>
      <c r="E92" s="1029"/>
      <c r="F92" s="1029"/>
      <c r="G92" s="1029"/>
      <c r="H92" s="1029"/>
      <c r="I92" s="1029"/>
      <c r="J92" s="1029"/>
      <c r="K92" s="1029"/>
      <c r="L92" s="1029"/>
      <c r="M92" s="1029"/>
      <c r="N92" s="1029"/>
      <c r="O92" s="1029"/>
      <c r="P92" s="1029"/>
      <c r="Q92" s="1029"/>
      <c r="R92" s="1029"/>
    </row>
    <row r="93" spans="1:18">
      <c r="A93" s="1029"/>
      <c r="B93" s="1029"/>
      <c r="C93" s="1029"/>
      <c r="D93" s="1029"/>
      <c r="E93" s="1029"/>
      <c r="F93" s="1029"/>
      <c r="G93" s="1029"/>
      <c r="H93" s="1029"/>
      <c r="I93" s="1029"/>
      <c r="J93" s="1029"/>
      <c r="K93" s="1029"/>
      <c r="L93" s="1029"/>
      <c r="M93" s="1029"/>
      <c r="N93" s="1029"/>
      <c r="O93" s="1029"/>
      <c r="P93" s="1029"/>
      <c r="Q93" s="1029"/>
      <c r="R93" s="1029"/>
    </row>
    <row r="94" spans="1:18">
      <c r="A94" s="1029"/>
      <c r="B94" s="1029"/>
      <c r="C94" s="1029"/>
      <c r="D94" s="1029"/>
      <c r="E94" s="1029"/>
      <c r="F94" s="1029"/>
      <c r="G94" s="1029"/>
      <c r="H94" s="1029"/>
      <c r="I94" s="1029"/>
      <c r="J94" s="1029"/>
      <c r="K94" s="1029"/>
      <c r="L94" s="1029"/>
      <c r="M94" s="1029"/>
      <c r="N94" s="1029"/>
      <c r="O94" s="1029"/>
      <c r="P94" s="1029"/>
      <c r="Q94" s="1029"/>
      <c r="R94" s="1029"/>
    </row>
    <row r="95" spans="1:18">
      <c r="A95" s="1029"/>
      <c r="B95" s="1029"/>
      <c r="C95" s="1029"/>
      <c r="D95" s="1029"/>
      <c r="E95" s="1029"/>
      <c r="F95" s="1029"/>
      <c r="G95" s="1029"/>
      <c r="H95" s="1029"/>
      <c r="I95" s="1029"/>
      <c r="J95" s="1029"/>
      <c r="K95" s="1029"/>
      <c r="L95" s="1029"/>
      <c r="M95" s="1029"/>
      <c r="N95" s="1029"/>
      <c r="O95" s="1029"/>
      <c r="P95" s="1029"/>
      <c r="Q95" s="1029"/>
      <c r="R95" s="1029"/>
    </row>
    <row r="96" spans="1:18">
      <c r="A96" s="1029"/>
      <c r="B96" s="1029"/>
      <c r="C96" s="1029"/>
      <c r="D96" s="1029"/>
      <c r="E96" s="1029"/>
      <c r="F96" s="1029"/>
      <c r="G96" s="1029"/>
      <c r="H96" s="1029"/>
      <c r="I96" s="1029"/>
      <c r="J96" s="1029"/>
      <c r="K96" s="1029"/>
      <c r="L96" s="1029"/>
      <c r="M96" s="1029"/>
      <c r="N96" s="1029"/>
      <c r="O96" s="1029"/>
      <c r="P96" s="1029"/>
      <c r="Q96" s="1029"/>
      <c r="R96" s="1029"/>
    </row>
    <row r="97" spans="1:18">
      <c r="A97" s="1029"/>
      <c r="B97" s="1029"/>
      <c r="C97" s="1029"/>
      <c r="D97" s="1029"/>
      <c r="E97" s="1029"/>
      <c r="F97" s="1029"/>
      <c r="G97" s="1029"/>
      <c r="H97" s="1029"/>
      <c r="I97" s="1029"/>
      <c r="J97" s="1029"/>
      <c r="K97" s="1029"/>
      <c r="L97" s="1029"/>
      <c r="M97" s="1029"/>
      <c r="N97" s="1029"/>
      <c r="O97" s="1029"/>
      <c r="P97" s="1029"/>
      <c r="Q97" s="1029"/>
      <c r="R97" s="1029"/>
    </row>
    <row r="98" spans="1:18">
      <c r="A98" s="1029"/>
      <c r="B98" s="1029"/>
      <c r="C98" s="1029"/>
      <c r="D98" s="1029"/>
      <c r="E98" s="1029"/>
      <c r="F98" s="1029"/>
      <c r="G98" s="1029"/>
      <c r="H98" s="1029"/>
      <c r="I98" s="1029"/>
      <c r="J98" s="1029"/>
      <c r="K98" s="1029"/>
      <c r="L98" s="1029"/>
      <c r="M98" s="1029"/>
      <c r="N98" s="1029"/>
      <c r="O98" s="1029"/>
      <c r="P98" s="1029"/>
      <c r="Q98" s="1029"/>
      <c r="R98" s="1029"/>
    </row>
    <row r="99" spans="1:18">
      <c r="A99" s="1029"/>
      <c r="B99" s="1029"/>
      <c r="C99" s="1029"/>
      <c r="D99" s="1029"/>
      <c r="E99" s="1029"/>
      <c r="F99" s="1029"/>
      <c r="G99" s="1029"/>
      <c r="H99" s="1029"/>
      <c r="I99" s="1029"/>
      <c r="J99" s="1029"/>
      <c r="K99" s="1029"/>
      <c r="L99" s="1029"/>
      <c r="M99" s="1029"/>
      <c r="N99" s="1029"/>
      <c r="O99" s="1029"/>
      <c r="P99" s="1029"/>
      <c r="Q99" s="1029"/>
      <c r="R99" s="1029"/>
    </row>
    <row r="100" spans="1:18">
      <c r="A100" s="1029"/>
      <c r="B100" s="1029"/>
      <c r="C100" s="1029"/>
      <c r="D100" s="1029"/>
      <c r="E100" s="1029"/>
      <c r="F100" s="1029"/>
      <c r="G100" s="1029"/>
      <c r="H100" s="1029"/>
      <c r="I100" s="1029"/>
      <c r="J100" s="1029"/>
      <c r="K100" s="1029"/>
      <c r="L100" s="1029"/>
      <c r="M100" s="1029"/>
      <c r="N100" s="1029"/>
      <c r="O100" s="1029"/>
      <c r="P100" s="1029"/>
      <c r="Q100" s="1029"/>
      <c r="R100" s="1029"/>
    </row>
    <row r="101" spans="1:18">
      <c r="A101" s="1029"/>
      <c r="B101" s="1029"/>
      <c r="C101" s="1029"/>
      <c r="D101" s="1029"/>
      <c r="E101" s="1029"/>
      <c r="F101" s="1029"/>
      <c r="G101" s="1029"/>
      <c r="H101" s="1029"/>
      <c r="I101" s="1029"/>
      <c r="J101" s="1029"/>
      <c r="K101" s="1029"/>
      <c r="L101" s="1029"/>
      <c r="M101" s="1029"/>
      <c r="N101" s="1029"/>
      <c r="O101" s="1029"/>
      <c r="P101" s="1029"/>
      <c r="Q101" s="1029"/>
      <c r="R101" s="1029"/>
    </row>
    <row r="102" spans="1:18">
      <c r="A102" s="1029"/>
      <c r="B102" s="1029"/>
      <c r="C102" s="1029"/>
      <c r="D102" s="1029"/>
      <c r="E102" s="1029"/>
      <c r="F102" s="1029"/>
      <c r="G102" s="1029"/>
      <c r="H102" s="1029"/>
      <c r="I102" s="1029"/>
      <c r="J102" s="1029"/>
      <c r="K102" s="1029"/>
      <c r="L102" s="1029"/>
      <c r="M102" s="1029"/>
      <c r="N102" s="1029"/>
      <c r="O102" s="1029"/>
      <c r="P102" s="1029"/>
      <c r="Q102" s="1029"/>
      <c r="R102" s="1029"/>
    </row>
    <row r="103" spans="1:18">
      <c r="A103" s="1029"/>
      <c r="B103" s="1029"/>
      <c r="C103" s="1029"/>
      <c r="D103" s="1029"/>
      <c r="E103" s="1029"/>
      <c r="F103" s="1029"/>
      <c r="G103" s="1029"/>
      <c r="H103" s="1029"/>
      <c r="I103" s="1029"/>
      <c r="J103" s="1029"/>
      <c r="K103" s="1029"/>
      <c r="L103" s="1029"/>
      <c r="M103" s="1029"/>
      <c r="N103" s="1029"/>
      <c r="O103" s="1029"/>
      <c r="P103" s="1029"/>
      <c r="Q103" s="1029"/>
      <c r="R103" s="1029"/>
    </row>
    <row r="104" spans="1:18">
      <c r="A104" s="1029"/>
      <c r="B104" s="1029"/>
      <c r="C104" s="1029"/>
      <c r="D104" s="1029"/>
      <c r="E104" s="1029"/>
      <c r="F104" s="1029"/>
      <c r="G104" s="1029"/>
      <c r="H104" s="1029"/>
      <c r="I104" s="1029"/>
      <c r="J104" s="1029"/>
      <c r="K104" s="1029"/>
      <c r="L104" s="1029"/>
      <c r="M104" s="1029"/>
      <c r="N104" s="1029"/>
      <c r="O104" s="1029"/>
      <c r="P104" s="1029"/>
      <c r="Q104" s="1029"/>
      <c r="R104" s="1029"/>
    </row>
    <row r="105" spans="1:18">
      <c r="A105" s="1029"/>
      <c r="B105" s="1029"/>
      <c r="C105" s="1029"/>
      <c r="D105" s="1029"/>
      <c r="E105" s="1029"/>
      <c r="F105" s="1029"/>
      <c r="G105" s="1029"/>
      <c r="H105" s="1029"/>
      <c r="I105" s="1029"/>
      <c r="J105" s="1029"/>
      <c r="K105" s="1029"/>
      <c r="L105" s="1029"/>
      <c r="M105" s="1029"/>
      <c r="N105" s="1029"/>
      <c r="O105" s="1029"/>
      <c r="P105" s="1029"/>
      <c r="Q105" s="1029"/>
      <c r="R105" s="1029"/>
    </row>
    <row r="106" spans="1:18">
      <c r="A106" s="1029"/>
      <c r="B106" s="1029"/>
      <c r="C106" s="1029"/>
      <c r="D106" s="1029"/>
      <c r="E106" s="1029"/>
      <c r="F106" s="1029"/>
      <c r="G106" s="1029"/>
      <c r="H106" s="1029"/>
      <c r="I106" s="1029"/>
      <c r="J106" s="1029"/>
      <c r="K106" s="1029"/>
      <c r="L106" s="1029"/>
      <c r="M106" s="1029"/>
      <c r="N106" s="1029"/>
      <c r="O106" s="1029"/>
      <c r="P106" s="1029"/>
      <c r="Q106" s="1029"/>
      <c r="R106" s="1029"/>
    </row>
    <row r="107" spans="1:18">
      <c r="A107" s="1029"/>
      <c r="B107" s="1029"/>
      <c r="C107" s="1029"/>
      <c r="D107" s="1029"/>
      <c r="E107" s="1029"/>
      <c r="F107" s="1029"/>
      <c r="G107" s="1029"/>
      <c r="H107" s="1029"/>
      <c r="I107" s="1029"/>
      <c r="J107" s="1029"/>
      <c r="K107" s="1029"/>
      <c r="L107" s="1029"/>
      <c r="M107" s="1029"/>
      <c r="N107" s="1029"/>
      <c r="O107" s="1029"/>
      <c r="P107" s="1029"/>
      <c r="Q107" s="1029"/>
      <c r="R107" s="1029"/>
    </row>
    <row r="108" spans="1:18">
      <c r="A108" s="1029"/>
      <c r="B108" s="1029"/>
      <c r="C108" s="1029"/>
      <c r="D108" s="1029"/>
      <c r="E108" s="1029"/>
      <c r="F108" s="1029"/>
      <c r="G108" s="1029"/>
      <c r="H108" s="1029"/>
      <c r="I108" s="1029"/>
      <c r="J108" s="1029"/>
      <c r="K108" s="1029"/>
      <c r="L108" s="1029"/>
      <c r="M108" s="1029"/>
      <c r="N108" s="1029"/>
      <c r="O108" s="1029"/>
      <c r="P108" s="1029"/>
      <c r="Q108" s="1029"/>
      <c r="R108" s="1029"/>
    </row>
    <row r="109" spans="1:18">
      <c r="A109" s="1029"/>
      <c r="B109" s="1029"/>
      <c r="C109" s="1029"/>
      <c r="D109" s="1029"/>
      <c r="E109" s="1029"/>
      <c r="F109" s="1029"/>
      <c r="G109" s="1029"/>
      <c r="H109" s="1029"/>
      <c r="I109" s="1029"/>
      <c r="J109" s="1029"/>
      <c r="K109" s="1029"/>
      <c r="L109" s="1029"/>
      <c r="M109" s="1029"/>
      <c r="N109" s="1029"/>
      <c r="O109" s="1029"/>
      <c r="P109" s="1029"/>
      <c r="Q109" s="1029"/>
      <c r="R109" s="1029"/>
    </row>
    <row r="110" spans="1:18">
      <c r="A110" s="1029"/>
      <c r="B110" s="1029"/>
      <c r="C110" s="1029"/>
      <c r="D110" s="1029"/>
      <c r="E110" s="1029"/>
      <c r="F110" s="1029"/>
      <c r="G110" s="1029"/>
      <c r="H110" s="1029"/>
      <c r="I110" s="1029"/>
      <c r="J110" s="1029"/>
      <c r="K110" s="1029"/>
      <c r="L110" s="1029"/>
      <c r="M110" s="1029"/>
      <c r="N110" s="1029"/>
      <c r="O110" s="1029"/>
      <c r="P110" s="1029"/>
      <c r="Q110" s="1029"/>
      <c r="R110" s="1029"/>
    </row>
    <row r="111" spans="1:18">
      <c r="A111" s="1029"/>
      <c r="B111" s="1029"/>
      <c r="C111" s="1029"/>
      <c r="D111" s="1029"/>
      <c r="E111" s="1029"/>
      <c r="F111" s="1029"/>
      <c r="G111" s="1029"/>
      <c r="H111" s="1029"/>
      <c r="I111" s="1029"/>
      <c r="J111" s="1029"/>
      <c r="K111" s="1029"/>
      <c r="L111" s="1029"/>
      <c r="M111" s="1029"/>
      <c r="N111" s="1029"/>
      <c r="O111" s="1029"/>
      <c r="P111" s="1029"/>
      <c r="Q111" s="1029"/>
      <c r="R111" s="1029"/>
    </row>
    <row r="112" spans="1:18">
      <c r="A112" s="1029"/>
      <c r="B112" s="1029"/>
      <c r="C112" s="1029"/>
      <c r="D112" s="1029"/>
      <c r="E112" s="1029"/>
      <c r="F112" s="1029"/>
      <c r="G112" s="1029"/>
      <c r="H112" s="1029"/>
      <c r="I112" s="1029"/>
      <c r="J112" s="1029"/>
      <c r="K112" s="1029"/>
      <c r="L112" s="1029"/>
      <c r="M112" s="1029"/>
      <c r="N112" s="1029"/>
      <c r="O112" s="1029"/>
      <c r="P112" s="1029"/>
      <c r="Q112" s="1029"/>
      <c r="R112" s="1029"/>
    </row>
    <row r="113" spans="1:18">
      <c r="A113" s="1029"/>
      <c r="B113" s="1029"/>
      <c r="C113" s="1029"/>
      <c r="D113" s="1029"/>
      <c r="E113" s="1029"/>
      <c r="F113" s="1029"/>
      <c r="G113" s="1029"/>
      <c r="H113" s="1029"/>
      <c r="I113" s="1029"/>
      <c r="J113" s="1029"/>
      <c r="K113" s="1029"/>
      <c r="L113" s="1029"/>
      <c r="M113" s="1029"/>
      <c r="N113" s="1029"/>
      <c r="O113" s="1029"/>
      <c r="P113" s="1029"/>
      <c r="Q113" s="1029"/>
      <c r="R113" s="1029"/>
    </row>
    <row r="114" spans="1:18">
      <c r="A114" s="1029"/>
      <c r="B114" s="1029"/>
      <c r="C114" s="1029"/>
      <c r="D114" s="1029"/>
      <c r="E114" s="1029"/>
      <c r="F114" s="1029"/>
      <c r="G114" s="1029"/>
      <c r="H114" s="1029"/>
      <c r="I114" s="1029"/>
      <c r="J114" s="1029"/>
      <c r="K114" s="1029"/>
      <c r="L114" s="1029"/>
      <c r="M114" s="1029"/>
      <c r="N114" s="1029"/>
      <c r="O114" s="1029"/>
      <c r="P114" s="1029"/>
      <c r="Q114" s="1029"/>
      <c r="R114" s="1029"/>
    </row>
    <row r="115" spans="1:18">
      <c r="A115" s="1029"/>
      <c r="B115" s="1029"/>
      <c r="C115" s="1029"/>
      <c r="D115" s="1029"/>
      <c r="E115" s="1029"/>
      <c r="F115" s="1029"/>
      <c r="G115" s="1029"/>
      <c r="H115" s="1029"/>
      <c r="I115" s="1029"/>
      <c r="J115" s="1029"/>
      <c r="K115" s="1029"/>
      <c r="L115" s="1029"/>
      <c r="M115" s="1029"/>
      <c r="N115" s="1029"/>
      <c r="O115" s="1029"/>
      <c r="P115" s="1029"/>
      <c r="Q115" s="1029"/>
      <c r="R115" s="1029"/>
    </row>
    <row r="116" spans="1:18">
      <c r="A116" s="1029"/>
      <c r="B116" s="1029"/>
      <c r="C116" s="1029"/>
      <c r="D116" s="1029"/>
      <c r="E116" s="1029"/>
      <c r="F116" s="1029"/>
      <c r="G116" s="1029"/>
      <c r="H116" s="1029"/>
      <c r="I116" s="1029"/>
      <c r="J116" s="1029"/>
      <c r="K116" s="1029"/>
      <c r="L116" s="1029"/>
      <c r="M116" s="1029"/>
      <c r="N116" s="1029"/>
      <c r="O116" s="1029"/>
      <c r="P116" s="1029"/>
      <c r="Q116" s="1029"/>
      <c r="R116" s="1029"/>
    </row>
    <row r="117" spans="1:18">
      <c r="A117" s="1029"/>
      <c r="B117" s="1029"/>
      <c r="C117" s="1029"/>
      <c r="D117" s="1029"/>
      <c r="E117" s="1029"/>
      <c r="F117" s="1029"/>
      <c r="G117" s="1029"/>
      <c r="H117" s="1029"/>
      <c r="I117" s="1029"/>
      <c r="J117" s="1029"/>
      <c r="K117" s="1029"/>
      <c r="L117" s="1029"/>
      <c r="M117" s="1029"/>
      <c r="N117" s="1029"/>
      <c r="O117" s="1029"/>
      <c r="P117" s="1029"/>
      <c r="Q117" s="1029"/>
      <c r="R117" s="1029"/>
    </row>
    <row r="118" spans="1:18">
      <c r="A118" s="1029"/>
      <c r="B118" s="1029"/>
      <c r="C118" s="1029"/>
      <c r="D118" s="1029"/>
      <c r="E118" s="1029"/>
      <c r="F118" s="1029"/>
      <c r="G118" s="1029"/>
      <c r="H118" s="1029"/>
      <c r="I118" s="1029"/>
      <c r="J118" s="1029"/>
      <c r="K118" s="1029"/>
      <c r="L118" s="1029"/>
      <c r="M118" s="1029"/>
      <c r="N118" s="1029"/>
      <c r="O118" s="1029"/>
      <c r="P118" s="1029"/>
      <c r="Q118" s="1029"/>
      <c r="R118" s="1029"/>
    </row>
    <row r="119" spans="1:18">
      <c r="A119" s="1029"/>
      <c r="B119" s="1029"/>
      <c r="C119" s="1029"/>
      <c r="D119" s="1029"/>
      <c r="E119" s="1029"/>
      <c r="F119" s="1029"/>
      <c r="G119" s="1029"/>
      <c r="H119" s="1029"/>
      <c r="I119" s="1029"/>
      <c r="J119" s="1029"/>
      <c r="K119" s="1029"/>
      <c r="L119" s="1029"/>
      <c r="M119" s="1029"/>
      <c r="N119" s="1029"/>
      <c r="O119" s="1029"/>
      <c r="P119" s="1029"/>
      <c r="Q119" s="1029"/>
      <c r="R119" s="1029"/>
    </row>
    <row r="120" spans="1:18">
      <c r="A120" s="1029"/>
      <c r="B120" s="1029"/>
      <c r="C120" s="1029"/>
      <c r="D120" s="1029"/>
      <c r="E120" s="1029"/>
      <c r="F120" s="1029"/>
      <c r="G120" s="1029"/>
      <c r="H120" s="1029"/>
      <c r="I120" s="1029"/>
      <c r="J120" s="1029"/>
      <c r="K120" s="1029"/>
      <c r="L120" s="1029"/>
      <c r="M120" s="1029"/>
      <c r="N120" s="1029"/>
      <c r="O120" s="1029"/>
      <c r="P120" s="1029"/>
      <c r="Q120" s="1029"/>
      <c r="R120" s="1029"/>
    </row>
    <row r="121" spans="1:18">
      <c r="A121" s="1029"/>
      <c r="B121" s="1029"/>
      <c r="C121" s="1029"/>
      <c r="D121" s="1029"/>
      <c r="E121" s="1029"/>
      <c r="F121" s="1029"/>
      <c r="G121" s="1029"/>
      <c r="H121" s="1029"/>
      <c r="I121" s="1029"/>
      <c r="J121" s="1029"/>
      <c r="K121" s="1029"/>
      <c r="L121" s="1029"/>
      <c r="M121" s="1029"/>
      <c r="N121" s="1029"/>
      <c r="O121" s="1029"/>
      <c r="P121" s="1029"/>
      <c r="Q121" s="1029"/>
      <c r="R121" s="1029"/>
    </row>
    <row r="122" spans="1:18">
      <c r="A122" s="1029"/>
      <c r="B122" s="1029"/>
      <c r="C122" s="1029"/>
      <c r="D122" s="1029"/>
      <c r="E122" s="1029"/>
      <c r="F122" s="1029"/>
      <c r="G122" s="1029"/>
      <c r="H122" s="1029"/>
      <c r="I122" s="1029"/>
      <c r="J122" s="1029"/>
      <c r="K122" s="1029"/>
      <c r="L122" s="1029"/>
      <c r="M122" s="1029"/>
      <c r="N122" s="1029"/>
      <c r="O122" s="1029"/>
      <c r="P122" s="1029"/>
      <c r="Q122" s="1029"/>
      <c r="R122" s="1029"/>
    </row>
    <row r="123" spans="1:18">
      <c r="A123" s="1029"/>
      <c r="B123" s="1029"/>
      <c r="C123" s="1029"/>
      <c r="D123" s="1029"/>
      <c r="E123" s="1029"/>
      <c r="F123" s="1029"/>
      <c r="G123" s="1029"/>
      <c r="H123" s="1029"/>
      <c r="I123" s="1029"/>
      <c r="J123" s="1029"/>
      <c r="K123" s="1029"/>
      <c r="L123" s="1029"/>
      <c r="M123" s="1029"/>
      <c r="N123" s="1029"/>
      <c r="O123" s="1029"/>
      <c r="P123" s="1029"/>
      <c r="Q123" s="1029"/>
      <c r="R123" s="1029"/>
    </row>
    <row r="124" spans="1:18">
      <c r="A124" s="1029"/>
      <c r="B124" s="1029"/>
      <c r="C124" s="1029"/>
      <c r="D124" s="1029"/>
      <c r="E124" s="1029"/>
      <c r="F124" s="1029"/>
      <c r="G124" s="1029"/>
      <c r="H124" s="1029"/>
      <c r="I124" s="1029"/>
      <c r="J124" s="1029"/>
      <c r="K124" s="1029"/>
      <c r="L124" s="1029"/>
      <c r="M124" s="1029"/>
      <c r="N124" s="1029"/>
      <c r="O124" s="1029"/>
      <c r="P124" s="1029"/>
      <c r="Q124" s="1029"/>
      <c r="R124" s="1029"/>
    </row>
    <row r="125" spans="1:18">
      <c r="A125" s="1029"/>
      <c r="B125" s="1029"/>
      <c r="C125" s="1029"/>
      <c r="D125" s="1029"/>
      <c r="E125" s="1029"/>
      <c r="F125" s="1029"/>
      <c r="G125" s="1029"/>
      <c r="H125" s="1029"/>
      <c r="I125" s="1029"/>
      <c r="J125" s="1029"/>
      <c r="K125" s="1029"/>
      <c r="L125" s="1029"/>
      <c r="M125" s="1029"/>
      <c r="N125" s="1029"/>
      <c r="O125" s="1029"/>
      <c r="P125" s="1029"/>
      <c r="Q125" s="1029"/>
      <c r="R125" s="1029"/>
    </row>
    <row r="126" spans="1:18">
      <c r="A126" s="1029"/>
      <c r="B126" s="1029"/>
      <c r="C126" s="1029"/>
      <c r="D126" s="1029"/>
      <c r="E126" s="1029"/>
      <c r="F126" s="1029"/>
      <c r="G126" s="1029"/>
      <c r="H126" s="1029"/>
      <c r="I126" s="1029"/>
      <c r="J126" s="1029"/>
      <c r="K126" s="1029"/>
      <c r="L126" s="1029"/>
      <c r="M126" s="1029"/>
      <c r="N126" s="1029"/>
      <c r="O126" s="1029"/>
      <c r="P126" s="1029"/>
      <c r="Q126" s="1029"/>
      <c r="R126" s="1029"/>
    </row>
    <row r="127" spans="1:18">
      <c r="A127" s="1029"/>
      <c r="B127" s="1029"/>
      <c r="C127" s="1029"/>
      <c r="D127" s="1029"/>
      <c r="E127" s="1029"/>
      <c r="F127" s="1029"/>
      <c r="G127" s="1029"/>
      <c r="H127" s="1029"/>
      <c r="I127" s="1029"/>
      <c r="J127" s="1029"/>
      <c r="K127" s="1029"/>
      <c r="L127" s="1029"/>
      <c r="M127" s="1029"/>
      <c r="N127" s="1029"/>
      <c r="O127" s="1029"/>
      <c r="P127" s="1029"/>
      <c r="Q127" s="1029"/>
      <c r="R127" s="1029"/>
    </row>
    <row r="128" spans="1:18">
      <c r="A128" s="1029"/>
      <c r="B128" s="1029"/>
      <c r="C128" s="1029"/>
      <c r="D128" s="1029"/>
      <c r="E128" s="1029"/>
      <c r="F128" s="1029"/>
      <c r="G128" s="1029"/>
      <c r="H128" s="1029"/>
      <c r="I128" s="1029"/>
      <c r="J128" s="1029"/>
      <c r="K128" s="1029"/>
      <c r="L128" s="1029"/>
      <c r="M128" s="1029"/>
      <c r="N128" s="1029"/>
      <c r="O128" s="1029"/>
      <c r="P128" s="1029"/>
      <c r="Q128" s="1029"/>
      <c r="R128" s="1029"/>
    </row>
    <row r="129" spans="1:18">
      <c r="A129" s="1029"/>
      <c r="B129" s="1029"/>
      <c r="C129" s="1029"/>
      <c r="D129" s="1029"/>
      <c r="E129" s="1029"/>
      <c r="F129" s="1029"/>
      <c r="G129" s="1029"/>
      <c r="H129" s="1029"/>
      <c r="I129" s="1029"/>
      <c r="J129" s="1029"/>
      <c r="K129" s="1029"/>
      <c r="L129" s="1029"/>
      <c r="M129" s="1029"/>
      <c r="N129" s="1029"/>
      <c r="O129" s="1029"/>
      <c r="P129" s="1029"/>
      <c r="Q129" s="1029"/>
      <c r="R129" s="1029"/>
    </row>
    <row r="130" spans="1:18">
      <c r="A130" s="1029"/>
      <c r="B130" s="1029"/>
      <c r="C130" s="1029"/>
      <c r="D130" s="1029"/>
      <c r="E130" s="1029"/>
      <c r="F130" s="1029"/>
      <c r="G130" s="1029"/>
      <c r="H130" s="1029"/>
      <c r="I130" s="1029"/>
      <c r="J130" s="1029"/>
      <c r="K130" s="1029"/>
      <c r="L130" s="1029"/>
      <c r="M130" s="1029"/>
      <c r="N130" s="1029"/>
      <c r="O130" s="1029"/>
      <c r="P130" s="1029"/>
      <c r="Q130" s="1029"/>
      <c r="R130" s="1029"/>
    </row>
    <row r="131" spans="1:18">
      <c r="A131" s="1029"/>
      <c r="B131" s="1029"/>
      <c r="C131" s="1029"/>
      <c r="D131" s="1029"/>
      <c r="E131" s="1029"/>
      <c r="F131" s="1029"/>
      <c r="G131" s="1029"/>
      <c r="H131" s="1029"/>
      <c r="I131" s="1029"/>
      <c r="J131" s="1029"/>
      <c r="K131" s="1029"/>
      <c r="L131" s="1029"/>
      <c r="M131" s="1029"/>
      <c r="N131" s="1029"/>
      <c r="O131" s="1029"/>
      <c r="P131" s="1029"/>
      <c r="Q131" s="1029"/>
      <c r="R131" s="1029"/>
    </row>
    <row r="132" spans="1:18">
      <c r="A132" s="1029"/>
      <c r="B132" s="1029"/>
      <c r="C132" s="1029"/>
      <c r="D132" s="1029"/>
      <c r="E132" s="1029"/>
      <c r="F132" s="1029"/>
      <c r="G132" s="1029"/>
      <c r="H132" s="1029"/>
      <c r="I132" s="1029"/>
      <c r="J132" s="1029"/>
      <c r="K132" s="1029"/>
      <c r="L132" s="1029"/>
      <c r="M132" s="1029"/>
      <c r="N132" s="1029"/>
      <c r="O132" s="1029"/>
      <c r="P132" s="1029"/>
      <c r="Q132" s="1029"/>
      <c r="R132" s="1029"/>
    </row>
    <row r="133" spans="1:18">
      <c r="A133" s="1029"/>
      <c r="B133" s="1029"/>
      <c r="C133" s="1029"/>
      <c r="D133" s="1029"/>
      <c r="E133" s="1029"/>
      <c r="F133" s="1029"/>
      <c r="G133" s="1029"/>
      <c r="H133" s="1029"/>
      <c r="I133" s="1029"/>
      <c r="J133" s="1029"/>
      <c r="K133" s="1029"/>
      <c r="L133" s="1029"/>
      <c r="M133" s="1029"/>
      <c r="N133" s="1029"/>
      <c r="O133" s="1029"/>
      <c r="P133" s="1029"/>
      <c r="Q133" s="1029"/>
      <c r="R133" s="1029"/>
    </row>
    <row r="134" spans="1:18">
      <c r="A134" s="1029"/>
      <c r="B134" s="1029"/>
      <c r="C134" s="1029"/>
      <c r="D134" s="1029"/>
      <c r="E134" s="1029"/>
      <c r="F134" s="1029"/>
      <c r="G134" s="1029"/>
      <c r="H134" s="1029"/>
      <c r="I134" s="1029"/>
      <c r="J134" s="1029"/>
      <c r="K134" s="1029"/>
      <c r="L134" s="1029"/>
      <c r="M134" s="1029"/>
      <c r="N134" s="1029"/>
      <c r="O134" s="1029"/>
      <c r="P134" s="1029"/>
      <c r="Q134" s="1029"/>
      <c r="R134" s="1029"/>
    </row>
    <row r="135" spans="1:18">
      <c r="A135" s="1029"/>
      <c r="B135" s="1029"/>
      <c r="C135" s="1029"/>
      <c r="D135" s="1029"/>
      <c r="E135" s="1029"/>
      <c r="F135" s="1029"/>
      <c r="G135" s="1029"/>
      <c r="H135" s="1029"/>
      <c r="I135" s="1029"/>
      <c r="J135" s="1029"/>
      <c r="K135" s="1029"/>
      <c r="L135" s="1029"/>
      <c r="M135" s="1029"/>
      <c r="N135" s="1029"/>
      <c r="O135" s="1029"/>
      <c r="P135" s="1029"/>
      <c r="Q135" s="1029"/>
      <c r="R135" s="1029"/>
    </row>
    <row r="136" spans="1:18">
      <c r="A136" s="1029"/>
      <c r="B136" s="1029"/>
      <c r="C136" s="1029"/>
      <c r="D136" s="1029"/>
      <c r="E136" s="1029"/>
      <c r="F136" s="1029"/>
      <c r="G136" s="1029"/>
      <c r="H136" s="1029"/>
      <c r="I136" s="1029"/>
      <c r="J136" s="1029"/>
      <c r="K136" s="1029"/>
      <c r="L136" s="1029"/>
      <c r="M136" s="1029"/>
      <c r="N136" s="1029"/>
      <c r="O136" s="1029"/>
      <c r="P136" s="1029"/>
      <c r="Q136" s="1029"/>
      <c r="R136" s="1029"/>
    </row>
    <row r="137" spans="1:18">
      <c r="A137" s="1029"/>
      <c r="B137" s="1029"/>
      <c r="C137" s="1029"/>
      <c r="D137" s="1029"/>
      <c r="E137" s="1029"/>
      <c r="F137" s="1029"/>
      <c r="G137" s="1029"/>
      <c r="H137" s="1029"/>
      <c r="I137" s="1029"/>
      <c r="J137" s="1029"/>
      <c r="K137" s="1029"/>
      <c r="L137" s="1029"/>
      <c r="M137" s="1029"/>
      <c r="N137" s="1029"/>
      <c r="O137" s="1029"/>
      <c r="P137" s="1029"/>
      <c r="Q137" s="1029"/>
      <c r="R137" s="1029"/>
    </row>
    <row r="138" spans="1:18">
      <c r="A138" s="1029"/>
      <c r="B138" s="1029"/>
      <c r="C138" s="1029"/>
      <c r="D138" s="1029"/>
      <c r="E138" s="1029"/>
      <c r="F138" s="1029"/>
      <c r="G138" s="1029"/>
      <c r="H138" s="1029"/>
      <c r="I138" s="1029"/>
      <c r="J138" s="1029"/>
      <c r="K138" s="1029"/>
      <c r="L138" s="1029"/>
      <c r="M138" s="1029"/>
      <c r="N138" s="1029"/>
      <c r="O138" s="1029"/>
      <c r="P138" s="1029"/>
      <c r="Q138" s="1029"/>
      <c r="R138" s="1029"/>
    </row>
    <row r="139" spans="1:18">
      <c r="A139" s="1029"/>
      <c r="B139" s="1029"/>
      <c r="C139" s="1029"/>
      <c r="D139" s="1029"/>
      <c r="E139" s="1029"/>
      <c r="F139" s="1029"/>
      <c r="G139" s="1029"/>
      <c r="H139" s="1029"/>
      <c r="I139" s="1029"/>
      <c r="J139" s="1029"/>
      <c r="K139" s="1029"/>
      <c r="L139" s="1029"/>
      <c r="M139" s="1029"/>
      <c r="N139" s="1029"/>
      <c r="O139" s="1029"/>
      <c r="P139" s="1029"/>
      <c r="Q139" s="1029"/>
      <c r="R139" s="1029"/>
    </row>
    <row r="140" spans="1:18">
      <c r="A140" s="1029"/>
      <c r="B140" s="1029"/>
      <c r="C140" s="1029"/>
      <c r="D140" s="1029"/>
      <c r="E140" s="1029"/>
      <c r="F140" s="1029"/>
      <c r="G140" s="1029"/>
      <c r="H140" s="1029"/>
      <c r="I140" s="1029"/>
      <c r="J140" s="1029"/>
      <c r="K140" s="1029"/>
      <c r="L140" s="1029"/>
      <c r="M140" s="1029"/>
      <c r="N140" s="1029"/>
      <c r="O140" s="1029"/>
      <c r="P140" s="1029"/>
      <c r="Q140" s="1029"/>
      <c r="R140" s="1029"/>
    </row>
    <row r="141" spans="1:18">
      <c r="A141" s="1029"/>
      <c r="B141" s="1029"/>
      <c r="C141" s="1029"/>
      <c r="D141" s="1029"/>
      <c r="E141" s="1029"/>
      <c r="F141" s="1029"/>
      <c r="G141" s="1029"/>
      <c r="H141" s="1029"/>
      <c r="I141" s="1029"/>
      <c r="J141" s="1029"/>
      <c r="K141" s="1029"/>
      <c r="L141" s="1029"/>
      <c r="M141" s="1029"/>
      <c r="N141" s="1029"/>
      <c r="O141" s="1029"/>
      <c r="P141" s="1029"/>
      <c r="Q141" s="1029"/>
      <c r="R141" s="1029"/>
    </row>
    <row r="142" spans="1:18">
      <c r="A142" s="1029"/>
      <c r="B142" s="1029"/>
      <c r="C142" s="1029"/>
      <c r="D142" s="1029"/>
      <c r="E142" s="1029"/>
      <c r="F142" s="1029"/>
      <c r="G142" s="1029"/>
      <c r="H142" s="1029"/>
      <c r="I142" s="1029"/>
      <c r="J142" s="1029"/>
      <c r="K142" s="1029"/>
      <c r="L142" s="1029"/>
      <c r="M142" s="1029"/>
      <c r="N142" s="1029"/>
      <c r="O142" s="1029"/>
      <c r="P142" s="1029"/>
      <c r="Q142" s="1029"/>
      <c r="R142" s="1029"/>
    </row>
    <row r="143" spans="1:18">
      <c r="A143" s="1029"/>
      <c r="B143" s="1029"/>
      <c r="C143" s="1029"/>
      <c r="D143" s="1029"/>
      <c r="E143" s="1029"/>
      <c r="F143" s="1029"/>
      <c r="G143" s="1029"/>
      <c r="H143" s="1029"/>
      <c r="I143" s="1029"/>
      <c r="J143" s="1029"/>
      <c r="K143" s="1029"/>
      <c r="L143" s="1029"/>
      <c r="M143" s="1029"/>
      <c r="N143" s="1029"/>
      <c r="O143" s="1029"/>
      <c r="P143" s="1029"/>
      <c r="Q143" s="1029"/>
      <c r="R143" s="1029"/>
    </row>
    <row r="144" spans="1:18">
      <c r="A144" s="1029"/>
      <c r="B144" s="1029"/>
      <c r="C144" s="1029"/>
      <c r="D144" s="1029"/>
      <c r="E144" s="1029"/>
      <c r="F144" s="1029"/>
      <c r="G144" s="1029"/>
      <c r="H144" s="1029"/>
      <c r="I144" s="1029"/>
      <c r="J144" s="1029"/>
      <c r="K144" s="1029"/>
      <c r="L144" s="1029"/>
      <c r="M144" s="1029"/>
      <c r="N144" s="1029"/>
      <c r="O144" s="1029"/>
      <c r="P144" s="1029"/>
      <c r="Q144" s="1029"/>
      <c r="R144" s="1029"/>
    </row>
    <row r="145" spans="1:18">
      <c r="A145" s="1029"/>
      <c r="B145" s="1029"/>
      <c r="C145" s="1029"/>
      <c r="D145" s="1029"/>
      <c r="E145" s="1029"/>
      <c r="F145" s="1029"/>
      <c r="G145" s="1029"/>
      <c r="H145" s="1029"/>
      <c r="I145" s="1029"/>
      <c r="J145" s="1029"/>
      <c r="K145" s="1029"/>
      <c r="L145" s="1029"/>
      <c r="M145" s="1029"/>
      <c r="N145" s="1029"/>
      <c r="O145" s="1029"/>
      <c r="P145" s="1029"/>
      <c r="Q145" s="1029"/>
      <c r="R145" s="1029"/>
    </row>
    <row r="146" spans="1:18">
      <c r="A146" s="1029"/>
      <c r="B146" s="1029"/>
      <c r="C146" s="1029"/>
      <c r="D146" s="1029"/>
      <c r="E146" s="1029"/>
      <c r="F146" s="1029"/>
      <c r="G146" s="1029"/>
      <c r="H146" s="1029"/>
      <c r="I146" s="1029"/>
      <c r="J146" s="1029"/>
      <c r="K146" s="1029"/>
      <c r="L146" s="1029"/>
      <c r="M146" s="1029"/>
      <c r="N146" s="1029"/>
      <c r="O146" s="1029"/>
      <c r="P146" s="1029"/>
      <c r="Q146" s="1029"/>
      <c r="R146" s="1029"/>
    </row>
    <row r="147" spans="1:18">
      <c r="A147" s="1029"/>
      <c r="B147" s="1029"/>
      <c r="C147" s="1029"/>
      <c r="D147" s="1029"/>
      <c r="E147" s="1029"/>
      <c r="F147" s="1029"/>
      <c r="G147" s="1029"/>
      <c r="H147" s="1029"/>
      <c r="I147" s="1029"/>
      <c r="J147" s="1029"/>
      <c r="K147" s="1029"/>
      <c r="L147" s="1029"/>
      <c r="M147" s="1029"/>
      <c r="N147" s="1029"/>
      <c r="O147" s="1029"/>
      <c r="P147" s="1029"/>
      <c r="Q147" s="1029"/>
      <c r="R147" s="1029"/>
    </row>
    <row r="148" spans="1:18">
      <c r="A148" s="1029"/>
      <c r="B148" s="1029"/>
      <c r="C148" s="1029"/>
      <c r="D148" s="1029"/>
      <c r="E148" s="1029"/>
      <c r="F148" s="1029"/>
      <c r="G148" s="1029"/>
      <c r="H148" s="1029"/>
      <c r="I148" s="1029"/>
      <c r="J148" s="1029"/>
      <c r="K148" s="1029"/>
      <c r="L148" s="1029"/>
      <c r="M148" s="1029"/>
      <c r="N148" s="1029"/>
      <c r="O148" s="1029"/>
      <c r="P148" s="1029"/>
      <c r="Q148" s="1029"/>
      <c r="R148" s="1029"/>
    </row>
    <row r="149" spans="1:18">
      <c r="A149" s="1029"/>
      <c r="B149" s="1029"/>
      <c r="C149" s="1029"/>
      <c r="D149" s="1029"/>
      <c r="E149" s="1029"/>
      <c r="F149" s="1029"/>
      <c r="G149" s="1029"/>
      <c r="H149" s="1029"/>
      <c r="I149" s="1029"/>
      <c r="J149" s="1029"/>
      <c r="K149" s="1029"/>
      <c r="L149" s="1029"/>
      <c r="M149" s="1029"/>
      <c r="N149" s="1029"/>
      <c r="O149" s="1029"/>
      <c r="P149" s="1029"/>
      <c r="Q149" s="1029"/>
      <c r="R149" s="1029"/>
    </row>
    <row r="150" spans="1:18">
      <c r="A150" s="1029"/>
      <c r="B150" s="1029"/>
      <c r="C150" s="1029"/>
      <c r="D150" s="1029"/>
      <c r="E150" s="1029"/>
      <c r="F150" s="1029"/>
      <c r="G150" s="1029"/>
      <c r="H150" s="1029"/>
      <c r="I150" s="1029"/>
      <c r="J150" s="1029"/>
      <c r="K150" s="1029"/>
      <c r="L150" s="1029"/>
      <c r="M150" s="1029"/>
      <c r="N150" s="1029"/>
      <c r="O150" s="1029"/>
      <c r="P150" s="1029"/>
      <c r="Q150" s="1029"/>
      <c r="R150" s="1029"/>
    </row>
    <row r="151" spans="1:18">
      <c r="A151" s="1029"/>
      <c r="B151" s="1029"/>
      <c r="C151" s="1029"/>
      <c r="D151" s="1029"/>
      <c r="E151" s="1029"/>
      <c r="F151" s="1029"/>
      <c r="G151" s="1029"/>
      <c r="H151" s="1029"/>
      <c r="I151" s="1029"/>
      <c r="J151" s="1029"/>
      <c r="K151" s="1029"/>
      <c r="L151" s="1029"/>
      <c r="M151" s="1029"/>
      <c r="N151" s="1029"/>
      <c r="O151" s="1029"/>
      <c r="P151" s="1029"/>
      <c r="Q151" s="1029"/>
      <c r="R151" s="1029"/>
    </row>
    <row r="152" spans="1:18">
      <c r="A152" s="1029"/>
      <c r="B152" s="1029"/>
      <c r="C152" s="1029"/>
      <c r="D152" s="1029"/>
      <c r="E152" s="1029"/>
      <c r="F152" s="1029"/>
      <c r="G152" s="1029"/>
      <c r="H152" s="1029"/>
      <c r="I152" s="1029"/>
      <c r="J152" s="1029"/>
      <c r="K152" s="1029"/>
      <c r="L152" s="1029"/>
      <c r="M152" s="1029"/>
      <c r="N152" s="1029"/>
      <c r="O152" s="1029"/>
      <c r="P152" s="1029"/>
      <c r="Q152" s="1029"/>
      <c r="R152" s="1029"/>
    </row>
    <row r="153" spans="1:18">
      <c r="A153" s="1029"/>
      <c r="B153" s="1029"/>
      <c r="C153" s="1029"/>
      <c r="D153" s="1029"/>
      <c r="E153" s="1029"/>
      <c r="F153" s="1029"/>
      <c r="G153" s="1029"/>
      <c r="H153" s="1029"/>
      <c r="I153" s="1029"/>
      <c r="J153" s="1029"/>
      <c r="K153" s="1029"/>
      <c r="L153" s="1029"/>
      <c r="M153" s="1029"/>
      <c r="N153" s="1029"/>
      <c r="O153" s="1029"/>
      <c r="P153" s="1029"/>
      <c r="Q153" s="1029"/>
      <c r="R153" s="1029"/>
    </row>
    <row r="154" spans="1:18">
      <c r="A154" s="1029"/>
      <c r="B154" s="1029"/>
      <c r="C154" s="1029"/>
      <c r="D154" s="1029"/>
      <c r="E154" s="1029"/>
      <c r="F154" s="1029"/>
      <c r="G154" s="1029"/>
      <c r="H154" s="1029"/>
      <c r="I154" s="1029"/>
      <c r="J154" s="1029"/>
      <c r="K154" s="1029"/>
      <c r="L154" s="1029"/>
      <c r="M154" s="1029"/>
      <c r="N154" s="1029"/>
      <c r="O154" s="1029"/>
      <c r="P154" s="1029"/>
      <c r="Q154" s="1029"/>
      <c r="R154" s="1029"/>
    </row>
    <row r="155" spans="1:18">
      <c r="A155" s="1029"/>
      <c r="B155" s="1029"/>
      <c r="C155" s="1029"/>
      <c r="D155" s="1029"/>
      <c r="E155" s="1029"/>
      <c r="F155" s="1029"/>
      <c r="G155" s="1029"/>
      <c r="H155" s="1029"/>
      <c r="I155" s="1029"/>
      <c r="J155" s="1029"/>
      <c r="K155" s="1029"/>
      <c r="L155" s="1029"/>
      <c r="M155" s="1029"/>
      <c r="N155" s="1029"/>
      <c r="O155" s="1029"/>
      <c r="P155" s="1029"/>
      <c r="Q155" s="1029"/>
      <c r="R155" s="1029"/>
    </row>
    <row r="156" spans="1:18">
      <c r="A156" s="1029"/>
      <c r="B156" s="1029"/>
      <c r="C156" s="1029"/>
      <c r="D156" s="1029"/>
      <c r="E156" s="1029"/>
      <c r="F156" s="1029"/>
      <c r="G156" s="1029"/>
      <c r="H156" s="1029"/>
      <c r="I156" s="1029"/>
      <c r="J156" s="1029"/>
      <c r="K156" s="1029"/>
      <c r="L156" s="1029"/>
      <c r="M156" s="1029"/>
      <c r="N156" s="1029"/>
      <c r="O156" s="1029"/>
      <c r="P156" s="1029"/>
      <c r="Q156" s="1029"/>
      <c r="R156" s="1029"/>
    </row>
    <row r="157" spans="1:18">
      <c r="A157" s="1029"/>
      <c r="B157" s="1029"/>
      <c r="C157" s="1029"/>
      <c r="D157" s="1029"/>
      <c r="E157" s="1029"/>
      <c r="F157" s="1029"/>
      <c r="G157" s="1029"/>
      <c r="H157" s="1029"/>
      <c r="I157" s="1029"/>
      <c r="J157" s="1029"/>
      <c r="K157" s="1029"/>
      <c r="L157" s="1029"/>
      <c r="M157" s="1029"/>
      <c r="N157" s="1029"/>
      <c r="O157" s="1029"/>
      <c r="P157" s="1029"/>
      <c r="Q157" s="1029"/>
      <c r="R157" s="1029"/>
    </row>
    <row r="158" spans="1:18">
      <c r="A158" s="1029"/>
      <c r="B158" s="1029"/>
      <c r="C158" s="1029"/>
      <c r="D158" s="1029"/>
      <c r="E158" s="1029"/>
      <c r="F158" s="1029"/>
      <c r="G158" s="1029"/>
      <c r="H158" s="1029"/>
      <c r="I158" s="1029"/>
      <c r="J158" s="1029"/>
      <c r="K158" s="1029"/>
      <c r="L158" s="1029"/>
      <c r="M158" s="1029"/>
      <c r="N158" s="1029"/>
      <c r="O158" s="1029"/>
      <c r="P158" s="1029"/>
      <c r="Q158" s="1029"/>
      <c r="R158" s="1029"/>
    </row>
    <row r="159" spans="1:18">
      <c r="A159" s="1029"/>
      <c r="B159" s="1029"/>
      <c r="C159" s="1029"/>
      <c r="D159" s="1029"/>
      <c r="E159" s="1029"/>
      <c r="F159" s="1029"/>
      <c r="G159" s="1029"/>
      <c r="H159" s="1029"/>
      <c r="I159" s="1029"/>
      <c r="J159" s="1029"/>
      <c r="K159" s="1029"/>
      <c r="L159" s="1029"/>
      <c r="M159" s="1029"/>
      <c r="N159" s="1029"/>
      <c r="O159" s="1029"/>
      <c r="P159" s="1029"/>
      <c r="Q159" s="1029"/>
      <c r="R159" s="1029"/>
    </row>
    <row r="160" spans="1:18">
      <c r="A160" s="1029"/>
      <c r="B160" s="1029"/>
      <c r="C160" s="1029"/>
      <c r="D160" s="1029"/>
      <c r="E160" s="1029"/>
      <c r="F160" s="1029"/>
      <c r="G160" s="1029"/>
      <c r="H160" s="1029"/>
      <c r="I160" s="1029"/>
      <c r="J160" s="1029"/>
      <c r="K160" s="1029"/>
      <c r="L160" s="1029"/>
      <c r="M160" s="1029"/>
      <c r="N160" s="1029"/>
      <c r="O160" s="1029"/>
      <c r="P160" s="1029"/>
      <c r="Q160" s="1029"/>
      <c r="R160" s="1029"/>
    </row>
    <row r="161" spans="1:18">
      <c r="A161" s="1029"/>
      <c r="B161" s="1029"/>
      <c r="C161" s="1029"/>
      <c r="D161" s="1029"/>
      <c r="E161" s="1029"/>
      <c r="F161" s="1029"/>
      <c r="G161" s="1029"/>
      <c r="H161" s="1029"/>
      <c r="I161" s="1029"/>
      <c r="J161" s="1029"/>
      <c r="K161" s="1029"/>
      <c r="L161" s="1029"/>
      <c r="M161" s="1029"/>
      <c r="N161" s="1029"/>
      <c r="O161" s="1029"/>
      <c r="P161" s="1029"/>
      <c r="Q161" s="1029"/>
      <c r="R161" s="1029"/>
    </row>
    <row r="162" spans="1:18">
      <c r="A162" s="1029"/>
      <c r="B162" s="1029"/>
      <c r="C162" s="1029"/>
      <c r="D162" s="1029"/>
      <c r="E162" s="1029"/>
      <c r="F162" s="1029"/>
      <c r="G162" s="1029"/>
      <c r="H162" s="1029"/>
      <c r="I162" s="1029"/>
      <c r="J162" s="1029"/>
      <c r="K162" s="1029"/>
      <c r="L162" s="1029"/>
      <c r="M162" s="1029"/>
      <c r="N162" s="1029"/>
      <c r="O162" s="1029"/>
      <c r="P162" s="1029"/>
      <c r="Q162" s="1029"/>
      <c r="R162" s="1029"/>
    </row>
    <row r="163" spans="1:18">
      <c r="A163" s="1029"/>
      <c r="B163" s="1029"/>
      <c r="C163" s="1029"/>
      <c r="D163" s="1029"/>
      <c r="E163" s="1029"/>
      <c r="F163" s="1029"/>
      <c r="G163" s="1029"/>
      <c r="H163" s="1029"/>
      <c r="I163" s="1029"/>
      <c r="J163" s="1029"/>
      <c r="K163" s="1029"/>
      <c r="L163" s="1029"/>
      <c r="M163" s="1029"/>
      <c r="N163" s="1029"/>
      <c r="O163" s="1029"/>
      <c r="P163" s="1029"/>
      <c r="Q163" s="1029"/>
      <c r="R163" s="1029"/>
    </row>
    <row r="164" spans="1:18">
      <c r="A164" s="1029"/>
      <c r="B164" s="1029"/>
      <c r="C164" s="1029"/>
      <c r="D164" s="1029"/>
      <c r="E164" s="1029"/>
      <c r="F164" s="1029"/>
      <c r="G164" s="1029"/>
      <c r="H164" s="1029"/>
      <c r="I164" s="1029"/>
      <c r="J164" s="1029"/>
      <c r="K164" s="1029"/>
      <c r="L164" s="1029"/>
      <c r="M164" s="1029"/>
      <c r="N164" s="1029"/>
      <c r="O164" s="1029"/>
      <c r="P164" s="1029"/>
      <c r="Q164" s="1029"/>
      <c r="R164" s="1029"/>
    </row>
    <row r="165" spans="1:18">
      <c r="A165" s="1029"/>
      <c r="B165" s="1029"/>
      <c r="C165" s="1029"/>
      <c r="D165" s="1029"/>
      <c r="E165" s="1029"/>
      <c r="F165" s="1029"/>
      <c r="G165" s="1029"/>
      <c r="H165" s="1029"/>
      <c r="I165" s="1029"/>
      <c r="J165" s="1029"/>
      <c r="K165" s="1029"/>
      <c r="L165" s="1029"/>
      <c r="M165" s="1029"/>
      <c r="N165" s="1029"/>
      <c r="O165" s="1029"/>
      <c r="P165" s="1029"/>
      <c r="Q165" s="1029"/>
      <c r="R165" s="1029"/>
    </row>
    <row r="166" spans="1:18">
      <c r="A166" s="1029"/>
      <c r="B166" s="1029"/>
      <c r="C166" s="1029"/>
      <c r="D166" s="1029"/>
      <c r="E166" s="1029"/>
      <c r="F166" s="1029"/>
      <c r="G166" s="1029"/>
      <c r="H166" s="1029"/>
      <c r="I166" s="1029"/>
      <c r="J166" s="1029"/>
      <c r="K166" s="1029"/>
      <c r="L166" s="1029"/>
      <c r="M166" s="1029"/>
      <c r="N166" s="1029"/>
      <c r="O166" s="1029"/>
      <c r="P166" s="1029"/>
      <c r="Q166" s="1029"/>
      <c r="R166" s="1029"/>
    </row>
    <row r="167" spans="1:18">
      <c r="A167" s="1029"/>
      <c r="B167" s="1029"/>
      <c r="C167" s="1029"/>
      <c r="D167" s="1029"/>
      <c r="E167" s="1029"/>
      <c r="F167" s="1029"/>
      <c r="G167" s="1029"/>
      <c r="H167" s="1029"/>
      <c r="I167" s="1029"/>
      <c r="J167" s="1029"/>
      <c r="K167" s="1029"/>
      <c r="L167" s="1029"/>
      <c r="M167" s="1029"/>
      <c r="N167" s="1029"/>
      <c r="O167" s="1029"/>
      <c r="P167" s="1029"/>
      <c r="Q167" s="1029"/>
      <c r="R167" s="1029"/>
    </row>
    <row r="168" spans="1:18">
      <c r="A168" s="1029"/>
      <c r="B168" s="1029"/>
      <c r="C168" s="1029"/>
      <c r="D168" s="1029"/>
      <c r="E168" s="1029"/>
      <c r="F168" s="1029"/>
      <c r="G168" s="1029"/>
      <c r="H168" s="1029"/>
      <c r="I168" s="1029"/>
      <c r="J168" s="1029"/>
      <c r="K168" s="1029"/>
      <c r="L168" s="1029"/>
      <c r="M168" s="1029"/>
      <c r="N168" s="1029"/>
      <c r="O168" s="1029"/>
      <c r="P168" s="1029"/>
      <c r="Q168" s="1029"/>
      <c r="R168" s="1029"/>
    </row>
    <row r="169" spans="1:18">
      <c r="A169" s="1029"/>
      <c r="B169" s="1029"/>
      <c r="C169" s="1029"/>
      <c r="D169" s="1029"/>
      <c r="E169" s="1029"/>
      <c r="F169" s="1029"/>
      <c r="G169" s="1029"/>
      <c r="H169" s="1029"/>
      <c r="I169" s="1029"/>
      <c r="J169" s="1029"/>
      <c r="K169" s="1029"/>
      <c r="L169" s="1029"/>
      <c r="M169" s="1029"/>
      <c r="N169" s="1029"/>
      <c r="O169" s="1029"/>
      <c r="P169" s="1029"/>
      <c r="Q169" s="1029"/>
      <c r="R169" s="1029"/>
    </row>
    <row r="170" spans="1:18">
      <c r="A170" s="1029"/>
      <c r="B170" s="1029"/>
      <c r="C170" s="1029"/>
      <c r="D170" s="1029"/>
      <c r="E170" s="1029"/>
      <c r="F170" s="1029"/>
      <c r="G170" s="1029"/>
      <c r="H170" s="1029"/>
      <c r="I170" s="1029"/>
      <c r="J170" s="1029"/>
      <c r="K170" s="1029"/>
      <c r="L170" s="1029"/>
      <c r="M170" s="1029"/>
      <c r="N170" s="1029"/>
      <c r="O170" s="1029"/>
      <c r="P170" s="1029"/>
      <c r="Q170" s="1029"/>
      <c r="R170" s="1029"/>
    </row>
    <row r="171" spans="1:18">
      <c r="A171" s="1029"/>
      <c r="B171" s="1029"/>
      <c r="C171" s="1029"/>
      <c r="D171" s="1029"/>
      <c r="E171" s="1029"/>
      <c r="F171" s="1029"/>
      <c r="G171" s="1029"/>
      <c r="H171" s="1029"/>
      <c r="I171" s="1029"/>
      <c r="J171" s="1029"/>
      <c r="K171" s="1029"/>
      <c r="L171" s="1029"/>
      <c r="M171" s="1029"/>
      <c r="N171" s="1029"/>
      <c r="O171" s="1029"/>
      <c r="P171" s="1029"/>
      <c r="Q171" s="1029"/>
      <c r="R171" s="1029"/>
    </row>
    <row r="172" spans="1:18">
      <c r="A172" s="1029"/>
      <c r="B172" s="1029"/>
      <c r="C172" s="1029"/>
      <c r="D172" s="1029"/>
      <c r="E172" s="1029"/>
      <c r="F172" s="1029"/>
      <c r="G172" s="1029"/>
      <c r="H172" s="1029"/>
      <c r="I172" s="1029"/>
      <c r="J172" s="1029"/>
      <c r="K172" s="1029"/>
      <c r="L172" s="1029"/>
      <c r="M172" s="1029"/>
      <c r="N172" s="1029"/>
      <c r="O172" s="1029"/>
      <c r="P172" s="1029"/>
      <c r="Q172" s="1029"/>
      <c r="R172" s="1029"/>
    </row>
    <row r="173" spans="1:18">
      <c r="A173" s="1029"/>
      <c r="B173" s="1029"/>
      <c r="C173" s="1029"/>
      <c r="D173" s="1029"/>
      <c r="E173" s="1029"/>
      <c r="F173" s="1029"/>
      <c r="G173" s="1029"/>
      <c r="H173" s="1029"/>
      <c r="I173" s="1029"/>
      <c r="J173" s="1029"/>
      <c r="K173" s="1029"/>
      <c r="L173" s="1029"/>
      <c r="M173" s="1029"/>
      <c r="N173" s="1029"/>
      <c r="O173" s="1029"/>
      <c r="P173" s="1029"/>
      <c r="Q173" s="1029"/>
      <c r="R173" s="1029"/>
    </row>
    <row r="174" spans="1:18">
      <c r="A174" s="1029"/>
      <c r="B174" s="1029"/>
      <c r="C174" s="1029"/>
      <c r="D174" s="1029"/>
      <c r="E174" s="1029"/>
      <c r="F174" s="1029"/>
      <c r="G174" s="1029"/>
      <c r="H174" s="1029"/>
      <c r="I174" s="1029"/>
      <c r="J174" s="1029"/>
      <c r="K174" s="1029"/>
      <c r="L174" s="1029"/>
      <c r="M174" s="1029"/>
      <c r="N174" s="1029"/>
      <c r="O174" s="1029"/>
      <c r="P174" s="1029"/>
      <c r="Q174" s="1029"/>
      <c r="R174" s="1029"/>
    </row>
    <row r="175" spans="1:18">
      <c r="A175" s="1029"/>
      <c r="B175" s="1029"/>
      <c r="C175" s="1029"/>
      <c r="D175" s="1029"/>
      <c r="E175" s="1029"/>
      <c r="F175" s="1029"/>
      <c r="G175" s="1029"/>
      <c r="H175" s="1029"/>
      <c r="I175" s="1029"/>
      <c r="J175" s="1029"/>
      <c r="K175" s="1029"/>
      <c r="L175" s="1029"/>
      <c r="M175" s="1029"/>
      <c r="N175" s="1029"/>
      <c r="O175" s="1029"/>
      <c r="P175" s="1029"/>
      <c r="Q175" s="1029"/>
      <c r="R175" s="1029"/>
    </row>
    <row r="176" spans="1:18">
      <c r="A176" s="1029"/>
      <c r="B176" s="1029"/>
      <c r="C176" s="1029"/>
      <c r="D176" s="1029"/>
      <c r="E176" s="1029"/>
      <c r="F176" s="1029"/>
      <c r="G176" s="1029"/>
      <c r="H176" s="1029"/>
      <c r="I176" s="1029"/>
      <c r="J176" s="1029"/>
      <c r="K176" s="1029"/>
      <c r="L176" s="1029"/>
      <c r="M176" s="1029"/>
      <c r="N176" s="1029"/>
      <c r="O176" s="1029"/>
      <c r="P176" s="1029"/>
      <c r="Q176" s="1029"/>
      <c r="R176" s="1029"/>
    </row>
    <row r="177" spans="1:18">
      <c r="A177" s="1029"/>
      <c r="B177" s="1029"/>
      <c r="C177" s="1029"/>
      <c r="D177" s="1029"/>
      <c r="E177" s="1029"/>
      <c r="F177" s="1029"/>
      <c r="G177" s="1029"/>
      <c r="H177" s="1029"/>
      <c r="I177" s="1029"/>
      <c r="J177" s="1029"/>
      <c r="K177" s="1029"/>
      <c r="L177" s="1029"/>
      <c r="M177" s="1029"/>
      <c r="N177" s="1029"/>
      <c r="O177" s="1029"/>
      <c r="P177" s="1029"/>
      <c r="Q177" s="1029"/>
      <c r="R177" s="1029"/>
    </row>
    <row r="178" spans="1:18">
      <c r="A178" s="1029"/>
      <c r="B178" s="1029"/>
      <c r="C178" s="1029"/>
      <c r="D178" s="1029"/>
      <c r="E178" s="1029"/>
      <c r="F178" s="1029"/>
      <c r="G178" s="1029"/>
      <c r="H178" s="1029"/>
      <c r="I178" s="1029"/>
      <c r="J178" s="1029"/>
      <c r="K178" s="1029"/>
      <c r="L178" s="1029"/>
      <c r="M178" s="1029"/>
      <c r="N178" s="1029"/>
      <c r="O178" s="1029"/>
      <c r="P178" s="1029"/>
      <c r="Q178" s="1029"/>
      <c r="R178" s="1029"/>
    </row>
    <row r="179" spans="1:18">
      <c r="A179" s="1029"/>
      <c r="B179" s="1029"/>
      <c r="C179" s="1029"/>
      <c r="D179" s="1029"/>
      <c r="E179" s="1029"/>
      <c r="F179" s="1029"/>
      <c r="G179" s="1029"/>
      <c r="H179" s="1029"/>
      <c r="I179" s="1029"/>
      <c r="J179" s="1029"/>
      <c r="K179" s="1029"/>
      <c r="L179" s="1029"/>
      <c r="M179" s="1029"/>
      <c r="N179" s="1029"/>
      <c r="O179" s="1029"/>
      <c r="P179" s="1029"/>
      <c r="Q179" s="1029"/>
      <c r="R179" s="1029"/>
    </row>
    <row r="180" spans="1:18">
      <c r="A180" s="1029"/>
      <c r="B180" s="1029"/>
      <c r="C180" s="1029"/>
      <c r="D180" s="1029"/>
      <c r="E180" s="1029"/>
      <c r="F180" s="1029"/>
      <c r="G180" s="1029"/>
      <c r="H180" s="1029"/>
      <c r="I180" s="1029"/>
      <c r="J180" s="1029"/>
      <c r="K180" s="1029"/>
      <c r="L180" s="1029"/>
      <c r="M180" s="1029"/>
      <c r="N180" s="1029"/>
      <c r="O180" s="1029"/>
      <c r="P180" s="1029"/>
      <c r="Q180" s="1029"/>
      <c r="R180" s="1029"/>
    </row>
    <row r="181" spans="1:18">
      <c r="A181" s="1029"/>
      <c r="B181" s="1029"/>
      <c r="C181" s="1029"/>
      <c r="D181" s="1029"/>
      <c r="E181" s="1029"/>
      <c r="F181" s="1029"/>
      <c r="G181" s="1029"/>
      <c r="H181" s="1029"/>
      <c r="I181" s="1029"/>
      <c r="J181" s="1029"/>
      <c r="K181" s="1029"/>
      <c r="L181" s="1029"/>
      <c r="M181" s="1029"/>
      <c r="N181" s="1029"/>
      <c r="O181" s="1029"/>
      <c r="P181" s="1029"/>
      <c r="Q181" s="1029"/>
      <c r="R181" s="1029"/>
    </row>
    <row r="182" spans="1:18">
      <c r="A182" s="1029"/>
      <c r="B182" s="1029"/>
      <c r="C182" s="1029"/>
      <c r="D182" s="1029"/>
      <c r="E182" s="1029"/>
      <c r="F182" s="1029"/>
      <c r="G182" s="1029"/>
      <c r="H182" s="1029"/>
      <c r="I182" s="1029"/>
      <c r="J182" s="1029"/>
      <c r="K182" s="1029"/>
      <c r="L182" s="1029"/>
      <c r="M182" s="1029"/>
      <c r="N182" s="1029"/>
      <c r="O182" s="1029"/>
      <c r="P182" s="1029"/>
      <c r="Q182" s="1029"/>
      <c r="R182" s="1029"/>
    </row>
    <row r="183" spans="1:18">
      <c r="A183" s="1029"/>
      <c r="B183" s="1029"/>
      <c r="C183" s="1029"/>
      <c r="D183" s="1029"/>
      <c r="E183" s="1029"/>
      <c r="F183" s="1029"/>
      <c r="G183" s="1029"/>
      <c r="H183" s="1029"/>
      <c r="I183" s="1029"/>
      <c r="J183" s="1029"/>
      <c r="K183" s="1029"/>
      <c r="L183" s="1029"/>
      <c r="M183" s="1029"/>
      <c r="N183" s="1029"/>
      <c r="O183" s="1029"/>
      <c r="P183" s="1029"/>
      <c r="Q183" s="1029"/>
      <c r="R183" s="1029"/>
    </row>
    <row r="184" spans="1:18">
      <c r="A184" s="1029"/>
      <c r="B184" s="1029"/>
      <c r="C184" s="1029"/>
      <c r="D184" s="1029"/>
      <c r="E184" s="1029"/>
      <c r="F184" s="1029"/>
      <c r="G184" s="1029"/>
      <c r="H184" s="1029"/>
      <c r="I184" s="1029"/>
      <c r="J184" s="1029"/>
      <c r="K184" s="1029"/>
      <c r="L184" s="1029"/>
      <c r="M184" s="1029"/>
      <c r="N184" s="1029"/>
      <c r="O184" s="1029"/>
      <c r="P184" s="1029"/>
      <c r="Q184" s="1029"/>
      <c r="R184" s="1029"/>
    </row>
    <row r="185" spans="1:18">
      <c r="A185" s="1029"/>
      <c r="B185" s="1029"/>
      <c r="C185" s="1029"/>
      <c r="D185" s="1029"/>
      <c r="E185" s="1029"/>
      <c r="F185" s="1029"/>
      <c r="G185" s="1029"/>
      <c r="H185" s="1029"/>
      <c r="I185" s="1029"/>
      <c r="J185" s="1029"/>
      <c r="K185" s="1029"/>
      <c r="L185" s="1029"/>
      <c r="M185" s="1029"/>
      <c r="N185" s="1029"/>
      <c r="O185" s="1029"/>
      <c r="P185" s="1029"/>
      <c r="Q185" s="1029"/>
      <c r="R185" s="1029"/>
    </row>
    <row r="186" spans="1:18">
      <c r="A186" s="1029"/>
      <c r="B186" s="1029"/>
      <c r="C186" s="1029"/>
      <c r="D186" s="1029"/>
      <c r="E186" s="1029"/>
      <c r="F186" s="1029"/>
      <c r="G186" s="1029"/>
      <c r="H186" s="1029"/>
      <c r="I186" s="1029"/>
      <c r="J186" s="1029"/>
      <c r="K186" s="1029"/>
      <c r="L186" s="1029"/>
      <c r="M186" s="1029"/>
      <c r="N186" s="1029"/>
      <c r="O186" s="1029"/>
      <c r="P186" s="1029"/>
      <c r="Q186" s="1029"/>
      <c r="R186" s="1029"/>
    </row>
    <row r="187" spans="1:18">
      <c r="A187" s="1029"/>
      <c r="B187" s="1029"/>
      <c r="C187" s="1029"/>
      <c r="D187" s="1029"/>
      <c r="E187" s="1029"/>
      <c r="F187" s="1029"/>
      <c r="G187" s="1029"/>
      <c r="H187" s="1029"/>
      <c r="I187" s="1029"/>
      <c r="J187" s="1029"/>
      <c r="K187" s="1029"/>
      <c r="L187" s="1029"/>
      <c r="M187" s="1029"/>
      <c r="N187" s="1029"/>
      <c r="O187" s="1029"/>
      <c r="P187" s="1029"/>
      <c r="Q187" s="1029"/>
      <c r="R187" s="1029"/>
    </row>
    <row r="188" spans="1:18">
      <c r="A188" s="1029"/>
      <c r="B188" s="1029"/>
      <c r="C188" s="1029"/>
      <c r="D188" s="1029"/>
      <c r="E188" s="1029"/>
      <c r="F188" s="1029"/>
      <c r="G188" s="1029"/>
      <c r="H188" s="1029"/>
      <c r="I188" s="1029"/>
      <c r="J188" s="1029"/>
      <c r="K188" s="1029"/>
      <c r="L188" s="1029"/>
      <c r="M188" s="1029"/>
      <c r="N188" s="1029"/>
      <c r="O188" s="1029"/>
      <c r="P188" s="1029"/>
      <c r="Q188" s="1029"/>
      <c r="R188" s="1029"/>
    </row>
  </sheetData>
  <sheetProtection algorithmName="SHA-512" hashValue="cnwWiuUpGm8tqgItb6RZCJeDju/g56SPf+QfIhtniMZOysSsDZrs6OSsoJLD4N58jBNI+l6/TKUgbujaMzLxng==" saltValue="U8yboE93sdj2N/eeQ89Dbg==" spinCount="100000" sheet="1" objects="1" scenarios="1"/>
  <mergeCells count="24">
    <mergeCell ref="B2:Q5"/>
    <mergeCell ref="B12:Q13"/>
    <mergeCell ref="B15:Q20"/>
    <mergeCell ref="B23:Q24"/>
    <mergeCell ref="G27:M29"/>
    <mergeCell ref="N27:O29"/>
    <mergeCell ref="P27:P29"/>
    <mergeCell ref="E30:F34"/>
    <mergeCell ref="G31:L34"/>
    <mergeCell ref="N31:O34"/>
    <mergeCell ref="P31:P34"/>
    <mergeCell ref="C27:F29"/>
    <mergeCell ref="E45:F49"/>
    <mergeCell ref="G46:L49"/>
    <mergeCell ref="N46:O49"/>
    <mergeCell ref="P46:P49"/>
    <mergeCell ref="E35:F39"/>
    <mergeCell ref="G36:L39"/>
    <mergeCell ref="N36:O39"/>
    <mergeCell ref="P36:P39"/>
    <mergeCell ref="E40:F44"/>
    <mergeCell ref="G41:L44"/>
    <mergeCell ref="N41:O44"/>
    <mergeCell ref="P41:P44"/>
  </mergeCells>
  <conditionalFormatting sqref="N14">
    <cfRule type="containsText" dxfId="673" priority="1" operator="containsText" text="Complété">
      <formula>NOT(ISERROR(SEARCH("Complété",N14)))</formula>
    </cfRule>
    <cfRule type="containsText" dxfId="672" priority="2" operator="containsText" text="À compléter">
      <formula>NOT(ISERROR(SEARCH("À compléter",N14)))</formula>
    </cfRule>
  </conditionalFormatting>
  <pageMargins left="0.70866141732283472" right="0.51181102362204722" top="0.74803149606299213" bottom="0.74803149606299213" header="0.31496062992125984" footer="0.31496062992125984"/>
  <pageSetup scale="56" fitToHeight="0" orientation="landscape" r:id="rId1"/>
  <headerFooter>
    <oddFooter>&amp;L&amp;10Version 1.0   © CERIU2023&amp;R&amp;10Onglet INTRODUCTION
Page &amp;P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249977111117893"/>
    <pageSetUpPr fitToPage="1"/>
  </sheetPr>
  <dimension ref="B1:AL161"/>
  <sheetViews>
    <sheetView showGridLines="0" topLeftCell="A127" zoomScale="90" zoomScaleNormal="90" workbookViewId="0">
      <selection activeCell="L76" sqref="L76"/>
    </sheetView>
  </sheetViews>
  <sheetFormatPr baseColWidth="10" defaultColWidth="11.44140625" defaultRowHeight="14.4"/>
  <cols>
    <col min="1" max="1" width="2" style="28" customWidth="1"/>
    <col min="2" max="2" width="3.109375" style="28" customWidth="1"/>
    <col min="3" max="3" width="5.109375" style="28" customWidth="1"/>
    <col min="4" max="4" width="17.44140625" style="28" customWidth="1"/>
    <col min="5" max="5" width="4.6640625" style="28" customWidth="1"/>
    <col min="6" max="6" width="7" style="28" customWidth="1"/>
    <col min="7" max="7" width="16.6640625" style="28" customWidth="1"/>
    <col min="8" max="10" width="15.44140625" style="28" customWidth="1"/>
    <col min="11" max="11" width="11.5546875" style="28" customWidth="1"/>
    <col min="12" max="14" width="15.44140625" style="28" customWidth="1"/>
    <col min="15" max="15" width="16.6640625" style="28" customWidth="1"/>
    <col min="16" max="16" width="6.44140625" style="28" customWidth="1"/>
    <col min="17" max="17" width="3" style="28" customWidth="1"/>
    <col min="18" max="18" width="17.6640625" style="28" customWidth="1"/>
    <col min="19" max="19" width="2.6640625" style="28" customWidth="1"/>
    <col min="20" max="20" width="3" style="28" customWidth="1"/>
    <col min="21" max="21" width="3.33203125" style="28" customWidth="1"/>
    <col min="22" max="16384" width="11.44140625" style="28"/>
  </cols>
  <sheetData>
    <row r="1" spans="2:20" ht="9" customHeight="1"/>
    <row r="2" spans="2:20" ht="45" customHeight="1">
      <c r="B2" s="772" t="s">
        <v>130</v>
      </c>
      <c r="C2" s="769"/>
      <c r="D2" s="769"/>
      <c r="E2" s="769"/>
      <c r="F2" s="769"/>
      <c r="G2" s="769"/>
      <c r="H2" s="769"/>
      <c r="I2" s="769"/>
      <c r="J2" s="769"/>
      <c r="K2" s="769"/>
      <c r="L2" s="769"/>
      <c r="M2" s="769"/>
      <c r="N2" s="770"/>
      <c r="O2" s="770"/>
      <c r="P2" s="770"/>
      <c r="Q2" s="770"/>
      <c r="R2" s="773"/>
      <c r="S2" s="773"/>
      <c r="T2" s="773"/>
    </row>
    <row r="3" spans="2:20" ht="25.5" customHeight="1">
      <c r="B3" s="588"/>
      <c r="C3" s="587"/>
      <c r="D3" s="587"/>
      <c r="E3" s="587"/>
      <c r="P3" s="3070" t="s">
        <v>4041</v>
      </c>
      <c r="Q3" s="3071"/>
      <c r="R3" s="3071"/>
      <c r="S3" s="3071"/>
      <c r="T3" s="3071"/>
    </row>
    <row r="4" spans="2:20" ht="4.5" customHeight="1" thickBot="1"/>
    <row r="5" spans="2:20" ht="10.5" customHeight="1">
      <c r="B5" s="774"/>
      <c r="C5" s="775"/>
      <c r="D5" s="775"/>
      <c r="E5" s="775"/>
      <c r="F5" s="775"/>
      <c r="G5" s="776"/>
      <c r="H5" s="777"/>
      <c r="I5" s="777"/>
      <c r="J5" s="777"/>
      <c r="K5" s="777"/>
      <c r="L5" s="777"/>
      <c r="M5" s="777"/>
      <c r="N5" s="777"/>
      <c r="O5" s="777"/>
      <c r="P5" s="777"/>
      <c r="Q5" s="777"/>
      <c r="R5" s="777"/>
      <c r="S5" s="777"/>
      <c r="T5" s="778"/>
    </row>
    <row r="6" spans="2:20" ht="35.25" customHeight="1">
      <c r="B6" s="789"/>
      <c r="C6" s="3060" t="s">
        <v>4046</v>
      </c>
      <c r="D6" s="3060"/>
      <c r="E6" s="3060"/>
      <c r="F6" s="3060"/>
      <c r="G6" s="3060"/>
      <c r="H6" s="3060"/>
      <c r="I6" s="3060"/>
      <c r="J6" s="3060"/>
      <c r="K6" s="3060"/>
      <c r="L6" s="3060"/>
      <c r="M6" s="3060"/>
      <c r="N6" s="3060"/>
      <c r="O6" s="3082" t="s">
        <v>131</v>
      </c>
      <c r="P6" s="3082"/>
      <c r="Q6" s="3082"/>
      <c r="R6" s="3082"/>
      <c r="S6" s="790"/>
      <c r="T6" s="791"/>
    </row>
    <row r="7" spans="2:20" ht="18" customHeight="1">
      <c r="B7" s="789"/>
      <c r="C7" s="933" t="s">
        <v>132</v>
      </c>
      <c r="D7" s="936"/>
      <c r="E7" s="936"/>
      <c r="F7" s="1179"/>
      <c r="G7" s="1179"/>
      <c r="H7" s="1179"/>
      <c r="I7" s="1179"/>
      <c r="J7" s="1179"/>
      <c r="K7" s="1179"/>
      <c r="L7" s="1179"/>
      <c r="M7" s="1179"/>
      <c r="N7" s="1179"/>
      <c r="O7" s="1179"/>
      <c r="P7" s="1179"/>
      <c r="Q7" s="1179"/>
      <c r="R7" s="1179"/>
      <c r="S7" s="790"/>
      <c r="T7" s="791"/>
    </row>
    <row r="8" spans="2:20" ht="26.25" customHeight="1">
      <c r="B8" s="789"/>
      <c r="C8" s="933" t="s">
        <v>133</v>
      </c>
      <c r="D8" s="936"/>
      <c r="E8" s="936"/>
      <c r="F8" s="1179"/>
      <c r="G8" s="1179"/>
      <c r="H8" s="1179"/>
      <c r="I8" s="1179"/>
      <c r="J8" s="1179"/>
      <c r="K8" s="1179"/>
      <c r="L8" s="1179"/>
      <c r="M8" s="1179"/>
      <c r="N8" s="1179"/>
      <c r="O8" s="1179"/>
      <c r="P8" s="1179"/>
      <c r="Q8" s="1179"/>
      <c r="R8" s="1179"/>
      <c r="S8" s="790"/>
      <c r="T8" s="791"/>
    </row>
    <row r="9" spans="2:20" ht="16.5" customHeight="1">
      <c r="B9" s="789"/>
      <c r="C9" s="2257" t="s">
        <v>134</v>
      </c>
      <c r="D9" s="936"/>
      <c r="E9" s="936"/>
      <c r="F9" s="1179"/>
      <c r="G9" s="1179"/>
      <c r="H9" s="1179"/>
      <c r="I9" s="1179"/>
      <c r="J9" s="1179"/>
      <c r="K9" s="1179"/>
      <c r="L9" s="1179"/>
      <c r="M9" s="1179"/>
      <c r="N9" s="1179"/>
      <c r="O9" s="1179"/>
      <c r="P9" s="1179"/>
      <c r="Q9" s="1179"/>
      <c r="R9" s="1179"/>
      <c r="S9" s="790"/>
      <c r="T9" s="791"/>
    </row>
    <row r="10" spans="2:20" ht="16.5" customHeight="1">
      <c r="B10" s="789"/>
      <c r="C10" s="2257" t="s">
        <v>135</v>
      </c>
      <c r="D10" s="936"/>
      <c r="E10" s="936"/>
      <c r="F10" s="1179"/>
      <c r="G10" s="1179"/>
      <c r="H10" s="1179"/>
      <c r="I10" s="1179"/>
      <c r="J10" s="1179"/>
      <c r="K10" s="1179"/>
      <c r="L10" s="1179"/>
      <c r="M10" s="1179"/>
      <c r="N10" s="1179"/>
      <c r="O10" s="1179"/>
      <c r="P10" s="1179"/>
      <c r="Q10" s="1179"/>
      <c r="R10" s="1179"/>
      <c r="S10" s="790"/>
      <c r="T10" s="791"/>
    </row>
    <row r="11" spans="2:20" ht="20.25" customHeight="1">
      <c r="B11" s="789"/>
      <c r="C11" s="933" t="s">
        <v>136</v>
      </c>
      <c r="D11" s="936"/>
      <c r="E11" s="936"/>
      <c r="F11" s="1179"/>
      <c r="G11" s="1179"/>
      <c r="H11" s="1179"/>
      <c r="I11" s="1179"/>
      <c r="J11" s="1179"/>
      <c r="K11" s="1179"/>
      <c r="L11" s="1179"/>
      <c r="M11" s="1179"/>
      <c r="N11" s="1179"/>
      <c r="O11" s="1179"/>
      <c r="P11" s="1179"/>
      <c r="Q11" s="1179"/>
      <c r="R11" s="1179"/>
      <c r="S11" s="790"/>
      <c r="T11" s="791"/>
    </row>
    <row r="12" spans="2:20" ht="16.5" customHeight="1">
      <c r="B12" s="789"/>
      <c r="C12" s="2257" t="s">
        <v>137</v>
      </c>
      <c r="D12" s="936"/>
      <c r="E12" s="936"/>
      <c r="F12" s="1179"/>
      <c r="G12" s="1179"/>
      <c r="H12" s="1179"/>
      <c r="I12" s="1179"/>
      <c r="J12" s="1179"/>
      <c r="K12" s="1179"/>
      <c r="L12" s="1179"/>
      <c r="M12" s="1179"/>
      <c r="N12" s="1179"/>
      <c r="O12" s="1179"/>
      <c r="P12" s="1179"/>
      <c r="Q12" s="1179"/>
      <c r="R12" s="1179"/>
      <c r="S12" s="790"/>
      <c r="T12" s="791"/>
    </row>
    <row r="13" spans="2:20" ht="27" customHeight="1">
      <c r="B13" s="787"/>
      <c r="C13" s="959" t="s">
        <v>138</v>
      </c>
      <c r="D13" s="937"/>
      <c r="E13" s="937"/>
      <c r="F13" s="934"/>
      <c r="G13" s="934"/>
      <c r="H13" s="934"/>
      <c r="I13" s="934"/>
      <c r="J13" s="934"/>
      <c r="K13" s="934"/>
      <c r="L13" s="934"/>
      <c r="M13" s="934"/>
      <c r="N13" s="934"/>
      <c r="O13" s="934"/>
      <c r="P13" s="934"/>
      <c r="Q13" s="934"/>
      <c r="R13" s="934"/>
      <c r="S13" s="935"/>
      <c r="T13" s="786"/>
    </row>
    <row r="14" spans="2:20" ht="18" customHeight="1">
      <c r="B14" s="787"/>
      <c r="C14" s="2408" t="s">
        <v>139</v>
      </c>
      <c r="D14" s="937"/>
      <c r="E14" s="937"/>
      <c r="F14" s="934"/>
      <c r="G14" s="934"/>
      <c r="H14" s="934"/>
      <c r="I14" s="934"/>
      <c r="J14" s="934"/>
      <c r="K14" s="934"/>
      <c r="L14" s="934"/>
      <c r="M14" s="934"/>
      <c r="N14" s="934"/>
      <c r="O14" s="934"/>
      <c r="P14" s="934"/>
      <c r="Q14" s="934"/>
      <c r="R14" s="934"/>
      <c r="S14" s="935"/>
      <c r="T14" s="786"/>
    </row>
    <row r="15" spans="2:20" ht="11.25" customHeight="1" thickBot="1">
      <c r="B15" s="792"/>
      <c r="C15" s="793"/>
      <c r="D15" s="793"/>
      <c r="E15" s="793"/>
      <c r="F15" s="793"/>
      <c r="G15" s="793"/>
      <c r="H15" s="794"/>
      <c r="I15" s="794"/>
      <c r="J15" s="794"/>
      <c r="K15" s="794"/>
      <c r="L15" s="794"/>
      <c r="M15" s="794"/>
      <c r="N15" s="794"/>
      <c r="O15" s="794"/>
      <c r="P15" s="794"/>
      <c r="Q15" s="794"/>
      <c r="R15" s="794"/>
      <c r="S15" s="794"/>
      <c r="T15" s="795"/>
    </row>
    <row r="16" spans="2:20" ht="17.25" customHeight="1">
      <c r="B16" s="588"/>
      <c r="C16" s="587"/>
      <c r="D16" s="587"/>
      <c r="E16" s="587"/>
      <c r="R16" s="1178"/>
      <c r="S16" s="1178"/>
      <c r="T16" s="1178"/>
    </row>
    <row r="17" spans="2:38" ht="24" customHeight="1">
      <c r="B17" s="938" t="s">
        <v>140</v>
      </c>
      <c r="C17" s="842"/>
      <c r="D17" s="842"/>
      <c r="E17" s="842"/>
      <c r="F17" s="842"/>
      <c r="G17" s="842"/>
      <c r="H17" s="842"/>
      <c r="I17" s="842"/>
      <c r="J17" s="842"/>
      <c r="K17" s="842"/>
      <c r="L17" s="842"/>
      <c r="M17" s="842"/>
      <c r="N17" s="843"/>
      <c r="O17" s="843"/>
      <c r="P17" s="843"/>
      <c r="Q17" s="843"/>
      <c r="R17" s="771"/>
      <c r="S17" s="771"/>
      <c r="T17" s="771"/>
      <c r="AF17" s="239"/>
      <c r="AG17" s="240"/>
      <c r="AH17" s="240"/>
      <c r="AI17" s="240"/>
      <c r="AJ17" s="55"/>
      <c r="AK17" s="55"/>
      <c r="AL17" s="55"/>
    </row>
    <row r="18" spans="2:38" ht="11.25" customHeight="1" thickBot="1"/>
    <row r="19" spans="2:38" ht="14.25" customHeight="1">
      <c r="B19" s="774"/>
      <c r="C19" s="775"/>
      <c r="D19" s="775"/>
      <c r="E19" s="775"/>
      <c r="F19" s="775"/>
      <c r="G19" s="776"/>
      <c r="H19" s="777"/>
      <c r="I19" s="777"/>
      <c r="J19" s="777"/>
      <c r="K19" s="777"/>
      <c r="L19" s="777"/>
      <c r="M19" s="777"/>
      <c r="N19" s="777"/>
      <c r="O19" s="777"/>
      <c r="P19" s="777"/>
      <c r="Q19" s="777"/>
      <c r="R19" s="777"/>
      <c r="S19" s="777"/>
      <c r="T19" s="778"/>
    </row>
    <row r="20" spans="2:38" ht="18" customHeight="1">
      <c r="B20" s="779"/>
      <c r="C20" s="780" t="s">
        <v>141</v>
      </c>
      <c r="D20" s="780"/>
      <c r="E20" s="780"/>
      <c r="F20" s="781"/>
      <c r="G20" s="782"/>
      <c r="H20" s="783"/>
      <c r="I20" s="783"/>
      <c r="J20" s="783"/>
      <c r="K20" s="783"/>
      <c r="L20" s="783"/>
      <c r="M20" s="783"/>
      <c r="N20" s="783"/>
      <c r="O20" s="784"/>
      <c r="P20" s="784"/>
      <c r="Q20" s="784"/>
      <c r="R20" s="785"/>
      <c r="S20" s="783"/>
      <c r="T20" s="786"/>
    </row>
    <row r="21" spans="2:38" ht="11.25" customHeight="1">
      <c r="B21" s="787"/>
      <c r="C21" s="788"/>
      <c r="D21" s="788"/>
      <c r="E21" s="788"/>
      <c r="F21" s="788"/>
      <c r="G21" s="788"/>
      <c r="H21" s="783"/>
      <c r="I21" s="783"/>
      <c r="J21" s="783"/>
      <c r="K21" s="783"/>
      <c r="L21" s="783"/>
      <c r="M21" s="783"/>
      <c r="N21" s="783"/>
      <c r="O21" s="783"/>
      <c r="P21" s="783"/>
      <c r="Q21" s="783"/>
      <c r="R21" s="783"/>
      <c r="S21" s="783"/>
      <c r="T21" s="786"/>
    </row>
    <row r="22" spans="2:38" ht="36" customHeight="1">
      <c r="B22" s="789"/>
      <c r="C22" s="3083" t="s">
        <v>142</v>
      </c>
      <c r="D22" s="3083"/>
      <c r="E22" s="3083"/>
      <c r="F22" s="3083"/>
      <c r="G22" s="3083"/>
      <c r="H22" s="3083"/>
      <c r="I22" s="3083"/>
      <c r="J22" s="3083"/>
      <c r="K22" s="3083"/>
      <c r="L22" s="3083"/>
      <c r="M22" s="796"/>
      <c r="N22" s="796"/>
      <c r="O22" s="796"/>
      <c r="P22" s="796"/>
      <c r="Q22" s="796"/>
      <c r="R22" s="796"/>
      <c r="S22" s="790"/>
      <c r="T22" s="791"/>
    </row>
    <row r="23" spans="2:38" ht="8.25" customHeight="1">
      <c r="B23" s="789"/>
      <c r="C23" s="797"/>
      <c r="D23" s="797"/>
      <c r="E23" s="797"/>
      <c r="F23" s="797"/>
      <c r="G23" s="797"/>
      <c r="H23" s="797"/>
      <c r="I23" s="797"/>
      <c r="J23" s="797"/>
      <c r="K23" s="797"/>
      <c r="L23" s="797"/>
      <c r="M23" s="797"/>
      <c r="N23" s="797"/>
      <c r="O23" s="797"/>
      <c r="P23" s="797"/>
      <c r="Q23" s="797"/>
      <c r="R23" s="797"/>
      <c r="S23" s="790"/>
      <c r="T23" s="791"/>
    </row>
    <row r="24" spans="2:38" ht="19.5" customHeight="1">
      <c r="B24" s="789"/>
      <c r="C24" s="3084" t="s">
        <v>143</v>
      </c>
      <c r="D24" s="3084"/>
      <c r="E24" s="3084"/>
      <c r="F24" s="3084"/>
      <c r="G24" s="3084"/>
      <c r="H24" s="3084"/>
      <c r="I24" s="3084"/>
      <c r="J24" s="3084"/>
      <c r="K24" s="3084"/>
      <c r="L24" s="3084"/>
      <c r="M24" s="3084"/>
      <c r="N24" s="3084"/>
      <c r="O24" s="3084"/>
      <c r="P24" s="3084"/>
      <c r="Q24" s="3084"/>
      <c r="R24" s="3084"/>
      <c r="S24" s="790"/>
      <c r="T24" s="791"/>
    </row>
    <row r="25" spans="2:38" ht="15.75" customHeight="1">
      <c r="B25" s="787"/>
      <c r="C25" s="798" t="s">
        <v>144</v>
      </c>
      <c r="D25" s="798"/>
      <c r="E25" s="798"/>
      <c r="F25" s="788"/>
      <c r="G25" s="788"/>
      <c r="H25" s="783"/>
      <c r="I25" s="783"/>
      <c r="J25" s="783"/>
      <c r="K25" s="783"/>
      <c r="L25" s="783"/>
      <c r="M25" s="783"/>
      <c r="N25" s="783"/>
      <c r="O25" s="783"/>
      <c r="P25" s="783"/>
      <c r="Q25" s="783"/>
      <c r="R25" s="783"/>
      <c r="S25" s="783"/>
      <c r="T25" s="786"/>
    </row>
    <row r="26" spans="2:38" ht="15.75" customHeight="1">
      <c r="B26" s="787"/>
      <c r="C26" s="798" t="s">
        <v>145</v>
      </c>
      <c r="D26" s="798"/>
      <c r="E26" s="798"/>
      <c r="F26" s="788"/>
      <c r="G26" s="788"/>
      <c r="H26" s="783"/>
      <c r="I26" s="783"/>
      <c r="J26" s="783"/>
      <c r="K26" s="783"/>
      <c r="L26" s="783"/>
      <c r="M26" s="783"/>
      <c r="N26" s="783"/>
      <c r="O26" s="783"/>
      <c r="P26" s="783"/>
      <c r="Q26" s="783"/>
      <c r="R26" s="783"/>
      <c r="S26" s="783"/>
      <c r="T26" s="786"/>
    </row>
    <row r="27" spans="2:38" s="308" customFormat="1" ht="16.5" customHeight="1">
      <c r="B27" s="799"/>
      <c r="C27" s="2187" t="s">
        <v>146</v>
      </c>
      <c r="D27" s="800"/>
      <c r="E27" s="800"/>
      <c r="F27" s="801"/>
      <c r="G27" s="801"/>
      <c r="H27" s="802"/>
      <c r="I27" s="802"/>
      <c r="J27" s="802"/>
      <c r="K27" s="802"/>
      <c r="L27" s="802"/>
      <c r="M27" s="802"/>
      <c r="N27" s="802"/>
      <c r="O27" s="802"/>
      <c r="P27" s="802"/>
      <c r="Q27" s="802"/>
      <c r="R27" s="802"/>
      <c r="S27" s="802"/>
      <c r="T27" s="803"/>
    </row>
    <row r="28" spans="2:38" s="308" customFormat="1" ht="10.5" customHeight="1">
      <c r="B28" s="799"/>
      <c r="C28" s="800"/>
      <c r="D28" s="800"/>
      <c r="E28" s="800"/>
      <c r="F28" s="801"/>
      <c r="G28" s="801"/>
      <c r="H28" s="802"/>
      <c r="I28" s="802"/>
      <c r="J28" s="802"/>
      <c r="K28" s="802"/>
      <c r="L28" s="802"/>
      <c r="M28" s="802"/>
      <c r="N28" s="802"/>
      <c r="O28" s="802"/>
      <c r="P28" s="802"/>
      <c r="Q28" s="802"/>
      <c r="R28" s="802"/>
      <c r="S28" s="802"/>
      <c r="T28" s="803"/>
    </row>
    <row r="29" spans="2:38" ht="15.75" customHeight="1">
      <c r="B29" s="789"/>
      <c r="C29" s="3060" t="s">
        <v>147</v>
      </c>
      <c r="D29" s="3060"/>
      <c r="E29" s="3060"/>
      <c r="F29" s="3060"/>
      <c r="G29" s="3060"/>
      <c r="H29" s="3060"/>
      <c r="I29" s="3060"/>
      <c r="J29" s="3060"/>
      <c r="K29" s="3060"/>
      <c r="L29" s="3060"/>
      <c r="M29" s="3060"/>
      <c r="N29" s="3060"/>
      <c r="O29" s="3060"/>
      <c r="P29" s="3060"/>
      <c r="Q29" s="3060"/>
      <c r="R29" s="3060"/>
      <c r="S29" s="790"/>
      <c r="T29" s="791"/>
    </row>
    <row r="30" spans="2:38" ht="5.25" customHeight="1">
      <c r="B30" s="787"/>
      <c r="C30" s="804"/>
      <c r="D30" s="804"/>
      <c r="E30" s="804"/>
      <c r="F30" s="804"/>
      <c r="G30" s="804"/>
      <c r="H30" s="783"/>
      <c r="I30" s="783"/>
      <c r="J30" s="783"/>
      <c r="K30" s="783"/>
      <c r="L30" s="783"/>
      <c r="M30" s="783"/>
      <c r="N30" s="783"/>
      <c r="O30" s="783"/>
      <c r="P30" s="783"/>
      <c r="Q30" s="783"/>
      <c r="R30" s="783"/>
      <c r="S30" s="783"/>
      <c r="T30" s="786"/>
    </row>
    <row r="31" spans="2:38" ht="3.75" customHeight="1" thickBot="1">
      <c r="B31" s="787"/>
      <c r="C31" s="804"/>
      <c r="D31" s="804"/>
      <c r="E31" s="804"/>
      <c r="F31" s="804"/>
      <c r="G31" s="804"/>
      <c r="H31" s="783"/>
      <c r="I31" s="783"/>
      <c r="J31" s="783"/>
      <c r="K31" s="783"/>
      <c r="L31" s="783"/>
      <c r="M31" s="783"/>
      <c r="N31" s="783"/>
      <c r="O31" s="783"/>
      <c r="P31" s="783"/>
      <c r="Q31" s="783"/>
      <c r="R31" s="783"/>
      <c r="S31" s="783"/>
      <c r="T31" s="786"/>
    </row>
    <row r="32" spans="2:38" ht="22.5" customHeight="1" thickBot="1">
      <c r="B32" s="787"/>
      <c r="C32" s="940" t="s">
        <v>148</v>
      </c>
      <c r="D32" s="943"/>
      <c r="E32" s="944"/>
      <c r="F32" s="783"/>
      <c r="G32" s="940" t="s">
        <v>149</v>
      </c>
      <c r="H32" s="941"/>
      <c r="I32" s="941"/>
      <c r="J32" s="942"/>
      <c r="K32" s="783"/>
      <c r="L32" s="940" t="s">
        <v>150</v>
      </c>
      <c r="M32" s="941"/>
      <c r="N32" s="941"/>
      <c r="O32" s="942"/>
      <c r="P32" s="899"/>
      <c r="Q32" s="940" t="s">
        <v>151</v>
      </c>
      <c r="R32" s="943"/>
      <c r="S32" s="944"/>
      <c r="T32" s="786"/>
    </row>
    <row r="33" spans="2:20" ht="16.5" customHeight="1">
      <c r="B33" s="787"/>
      <c r="C33" s="804"/>
      <c r="D33" s="804"/>
      <c r="E33" s="804"/>
      <c r="F33" s="783"/>
      <c r="G33" s="783"/>
      <c r="H33" s="783"/>
      <c r="I33" s="804"/>
      <c r="J33" s="804"/>
      <c r="K33" s="783"/>
      <c r="L33" s="783"/>
      <c r="M33" s="783"/>
      <c r="N33" s="783"/>
      <c r="O33" s="783"/>
      <c r="P33" s="783"/>
      <c r="Q33" s="783"/>
      <c r="R33" s="783"/>
      <c r="S33" s="783"/>
      <c r="T33" s="786"/>
    </row>
    <row r="34" spans="2:20" ht="22.5" customHeight="1">
      <c r="B34" s="787"/>
      <c r="C34" s="783"/>
      <c r="D34" s="3076" t="s">
        <v>152</v>
      </c>
      <c r="E34" s="945"/>
      <c r="F34" s="783"/>
      <c r="G34" s="783"/>
      <c r="H34" s="783"/>
      <c r="I34" s="2188" t="s">
        <v>153</v>
      </c>
      <c r="J34" s="2189"/>
      <c r="K34" s="783"/>
      <c r="L34" s="2188" t="s">
        <v>154</v>
      </c>
      <c r="M34" s="2189"/>
      <c r="N34" s="783"/>
      <c r="O34" s="783"/>
      <c r="P34" s="783"/>
      <c r="Q34" s="783"/>
      <c r="R34" s="2984" t="s">
        <v>155</v>
      </c>
      <c r="S34" s="783"/>
      <c r="T34" s="786"/>
    </row>
    <row r="35" spans="2:20" ht="9.75" customHeight="1">
      <c r="B35" s="787"/>
      <c r="C35" s="783"/>
      <c r="D35" s="3076"/>
      <c r="E35" s="783"/>
      <c r="F35" s="783"/>
      <c r="G35" s="3075" t="s">
        <v>156</v>
      </c>
      <c r="H35" s="783"/>
      <c r="I35" s="804"/>
      <c r="J35" s="804"/>
      <c r="K35" s="783"/>
      <c r="L35" s="783"/>
      <c r="M35" s="783"/>
      <c r="N35" s="783"/>
      <c r="O35" s="3074" t="s">
        <v>157</v>
      </c>
      <c r="P35" s="783"/>
      <c r="Q35" s="783"/>
      <c r="R35" s="783"/>
      <c r="S35" s="783"/>
      <c r="T35" s="786"/>
    </row>
    <row r="36" spans="2:20" ht="22.5" customHeight="1">
      <c r="B36" s="787"/>
      <c r="C36" s="783"/>
      <c r="D36" s="783"/>
      <c r="E36" s="945"/>
      <c r="F36" s="783"/>
      <c r="G36" s="3075"/>
      <c r="H36" s="783"/>
      <c r="I36" s="480" t="s">
        <v>158</v>
      </c>
      <c r="J36" s="479"/>
      <c r="K36" s="783"/>
      <c r="L36" s="480" t="s">
        <v>159</v>
      </c>
      <c r="M36" s="479"/>
      <c r="N36" s="783"/>
      <c r="O36" s="3074"/>
      <c r="P36" s="939"/>
      <c r="Q36" s="939"/>
      <c r="R36" s="2988" t="s">
        <v>160</v>
      </c>
      <c r="S36" s="783"/>
      <c r="T36" s="786"/>
    </row>
    <row r="37" spans="2:20" ht="9.75" customHeight="1">
      <c r="B37" s="787"/>
      <c r="C37" s="783"/>
      <c r="D37" s="3076" t="s">
        <v>130</v>
      </c>
      <c r="E37" s="945"/>
      <c r="F37" s="783"/>
      <c r="G37" s="783"/>
      <c r="H37" s="783"/>
      <c r="I37" s="804"/>
      <c r="J37" s="804"/>
      <c r="K37" s="783"/>
      <c r="L37" s="783"/>
      <c r="M37" s="783"/>
      <c r="N37" s="783"/>
      <c r="O37" s="783"/>
      <c r="P37" s="783"/>
      <c r="Q37" s="783"/>
      <c r="R37" s="783"/>
      <c r="S37" s="783"/>
      <c r="T37" s="786"/>
    </row>
    <row r="38" spans="2:20" ht="22.5" customHeight="1">
      <c r="B38" s="787"/>
      <c r="C38" s="783"/>
      <c r="D38" s="3076"/>
      <c r="E38" s="783"/>
      <c r="F38" s="783"/>
      <c r="G38" s="783"/>
      <c r="H38" s="783"/>
      <c r="I38" s="2247" t="s">
        <v>161</v>
      </c>
      <c r="J38" s="2248"/>
      <c r="K38" s="783"/>
      <c r="L38" s="2247" t="s">
        <v>162</v>
      </c>
      <c r="M38" s="2248"/>
      <c r="N38" s="783"/>
      <c r="O38" s="783"/>
      <c r="P38" s="783"/>
      <c r="Q38" s="783"/>
      <c r="R38" s="2984" t="s">
        <v>3959</v>
      </c>
      <c r="S38" s="783"/>
      <c r="T38" s="786"/>
    </row>
    <row r="39" spans="2:20" ht="18" customHeight="1">
      <c r="B39" s="787"/>
      <c r="C39" s="783"/>
      <c r="D39" s="783"/>
      <c r="E39" s="783"/>
      <c r="F39" s="783"/>
      <c r="G39" s="783"/>
      <c r="H39" s="804"/>
      <c r="I39" s="783"/>
      <c r="J39" s="783"/>
      <c r="K39" s="783"/>
      <c r="L39" s="783"/>
      <c r="M39" s="783"/>
      <c r="N39" s="783"/>
      <c r="O39" s="783"/>
      <c r="P39" s="783"/>
      <c r="Q39" s="783"/>
      <c r="R39" s="783"/>
      <c r="S39" s="783"/>
      <c r="T39" s="786"/>
    </row>
    <row r="40" spans="2:20" ht="33" customHeight="1">
      <c r="B40" s="787"/>
      <c r="C40" s="3079" t="s">
        <v>163</v>
      </c>
      <c r="D40" s="3079"/>
      <c r="E40" s="3079"/>
      <c r="F40" s="3079"/>
      <c r="G40" s="3079"/>
      <c r="H40" s="3079"/>
      <c r="I40" s="3079"/>
      <c r="J40" s="3079"/>
      <c r="K40" s="3079"/>
      <c r="L40" s="3079"/>
      <c r="M40" s="3079"/>
      <c r="N40" s="3079"/>
      <c r="O40" s="3079"/>
      <c r="P40" s="3079"/>
      <c r="Q40" s="3079"/>
      <c r="R40" s="3079"/>
      <c r="S40" s="783"/>
      <c r="T40" s="786"/>
    </row>
    <row r="41" spans="2:20" ht="6.75" customHeight="1">
      <c r="B41" s="787"/>
      <c r="C41" s="804"/>
      <c r="D41" s="804"/>
      <c r="E41" s="804"/>
      <c r="F41" s="804"/>
      <c r="G41" s="804"/>
      <c r="H41" s="783"/>
      <c r="I41" s="783"/>
      <c r="J41" s="783"/>
      <c r="K41" s="783"/>
      <c r="L41" s="783"/>
      <c r="M41" s="783"/>
      <c r="N41" s="783"/>
      <c r="O41" s="783"/>
      <c r="P41" s="783"/>
      <c r="Q41" s="783"/>
      <c r="R41" s="783"/>
      <c r="S41" s="783"/>
      <c r="T41" s="786"/>
    </row>
    <row r="42" spans="2:20" ht="18" customHeight="1">
      <c r="B42" s="787"/>
      <c r="C42" s="783"/>
      <c r="D42" s="868" t="s">
        <v>2390</v>
      </c>
      <c r="E42" s="783"/>
      <c r="F42" s="783"/>
      <c r="G42" s="783"/>
      <c r="H42" s="804"/>
      <c r="I42" s="783"/>
      <c r="J42" s="783"/>
      <c r="K42" s="783"/>
      <c r="L42" s="783"/>
      <c r="M42" s="783"/>
      <c r="N42" s="783"/>
      <c r="O42" s="783"/>
      <c r="P42" s="783"/>
      <c r="Q42" s="783"/>
      <c r="R42" s="783"/>
      <c r="S42" s="783"/>
      <c r="T42" s="786"/>
    </row>
    <row r="43" spans="2:20" ht="6.75" customHeight="1">
      <c r="B43" s="787"/>
      <c r="C43" s="804"/>
      <c r="D43" s="804"/>
      <c r="E43" s="804"/>
      <c r="F43" s="804"/>
      <c r="G43" s="804"/>
      <c r="H43" s="783"/>
      <c r="I43" s="783"/>
      <c r="J43" s="783"/>
      <c r="K43" s="783"/>
      <c r="L43" s="783"/>
      <c r="M43" s="783"/>
      <c r="N43" s="783"/>
      <c r="O43" s="783"/>
      <c r="P43" s="783"/>
      <c r="Q43" s="783"/>
      <c r="R43" s="783"/>
      <c r="S43" s="783"/>
      <c r="T43" s="786"/>
    </row>
    <row r="44" spans="2:20" ht="48.75" customHeight="1">
      <c r="B44" s="787"/>
      <c r="C44" s="3077" t="s">
        <v>2391</v>
      </c>
      <c r="D44" s="3077"/>
      <c r="E44" s="3077"/>
      <c r="F44" s="3077"/>
      <c r="G44" s="3077"/>
      <c r="H44" s="3077"/>
      <c r="I44" s="3077"/>
      <c r="J44" s="3077"/>
      <c r="K44" s="3077"/>
      <c r="L44" s="3077"/>
      <c r="M44" s="3077"/>
      <c r="N44" s="3077"/>
      <c r="O44" s="3077"/>
      <c r="P44" s="3077"/>
      <c r="Q44" s="3077"/>
      <c r="R44" s="3077"/>
      <c r="S44" s="783"/>
      <c r="T44" s="786"/>
    </row>
    <row r="45" spans="2:20" ht="6.75" customHeight="1">
      <c r="B45" s="787"/>
      <c r="C45" s="804"/>
      <c r="D45" s="804"/>
      <c r="E45" s="804"/>
      <c r="F45" s="804"/>
      <c r="G45" s="804"/>
      <c r="H45" s="783"/>
      <c r="I45" s="783"/>
      <c r="J45" s="783"/>
      <c r="K45" s="783"/>
      <c r="L45" s="783"/>
      <c r="M45" s="783"/>
      <c r="N45" s="783"/>
      <c r="O45" s="783"/>
      <c r="P45" s="783"/>
      <c r="Q45" s="783"/>
      <c r="R45" s="783"/>
      <c r="S45" s="783"/>
      <c r="T45" s="786"/>
    </row>
    <row r="46" spans="2:20" ht="48.75" customHeight="1">
      <c r="B46" s="787"/>
      <c r="C46" s="3077" t="s">
        <v>2392</v>
      </c>
      <c r="D46" s="3077"/>
      <c r="E46" s="3077"/>
      <c r="F46" s="3077"/>
      <c r="G46" s="3077"/>
      <c r="H46" s="3077"/>
      <c r="I46" s="3077"/>
      <c r="J46" s="3077"/>
      <c r="K46" s="3077"/>
      <c r="L46" s="3077"/>
      <c r="M46" s="3077"/>
      <c r="N46" s="3077"/>
      <c r="O46" s="3077"/>
      <c r="P46" s="3077"/>
      <c r="Q46" s="3077"/>
      <c r="R46" s="3077"/>
      <c r="S46" s="783"/>
      <c r="T46" s="786"/>
    </row>
    <row r="47" spans="2:20" ht="6.75" customHeight="1">
      <c r="B47" s="787"/>
      <c r="C47" s="804"/>
      <c r="D47" s="804"/>
      <c r="E47" s="804"/>
      <c r="F47" s="804"/>
      <c r="G47" s="804"/>
      <c r="H47" s="783"/>
      <c r="I47" s="783"/>
      <c r="J47" s="783"/>
      <c r="K47" s="783"/>
      <c r="L47" s="783"/>
      <c r="M47" s="783"/>
      <c r="N47" s="783"/>
      <c r="O47" s="783"/>
      <c r="P47" s="783"/>
      <c r="Q47" s="783"/>
      <c r="R47" s="783"/>
      <c r="S47" s="783"/>
      <c r="T47" s="786"/>
    </row>
    <row r="48" spans="2:20" ht="33.75" customHeight="1">
      <c r="B48" s="787"/>
      <c r="C48" s="3077" t="s">
        <v>164</v>
      </c>
      <c r="D48" s="3077"/>
      <c r="E48" s="3077"/>
      <c r="F48" s="3077"/>
      <c r="G48" s="3077"/>
      <c r="H48" s="3077"/>
      <c r="I48" s="3077"/>
      <c r="J48" s="3077"/>
      <c r="K48" s="3077"/>
      <c r="L48" s="3077"/>
      <c r="M48" s="3077"/>
      <c r="N48" s="3077"/>
      <c r="O48" s="3077"/>
      <c r="P48" s="3077"/>
      <c r="Q48" s="3077"/>
      <c r="R48" s="3077"/>
      <c r="S48" s="783"/>
      <c r="T48" s="786"/>
    </row>
    <row r="49" spans="2:38" ht="6.75" customHeight="1">
      <c r="B49" s="787"/>
      <c r="C49" s="804"/>
      <c r="D49" s="804"/>
      <c r="E49" s="804"/>
      <c r="F49" s="804"/>
      <c r="G49" s="804"/>
      <c r="H49" s="783"/>
      <c r="I49" s="783"/>
      <c r="J49" s="783"/>
      <c r="K49" s="783"/>
      <c r="L49" s="783"/>
      <c r="M49" s="783"/>
      <c r="N49" s="783"/>
      <c r="O49" s="783"/>
      <c r="P49" s="783"/>
      <c r="Q49" s="783"/>
      <c r="R49" s="783"/>
      <c r="S49" s="783"/>
      <c r="T49" s="786"/>
    </row>
    <row r="50" spans="2:38" ht="33.75" customHeight="1">
      <c r="B50" s="787"/>
      <c r="C50" s="3077" t="s">
        <v>165</v>
      </c>
      <c r="D50" s="3077"/>
      <c r="E50" s="3077"/>
      <c r="F50" s="3077"/>
      <c r="G50" s="3077"/>
      <c r="H50" s="3077"/>
      <c r="I50" s="3077"/>
      <c r="J50" s="3077"/>
      <c r="K50" s="3077"/>
      <c r="L50" s="3077"/>
      <c r="M50" s="3077"/>
      <c r="N50" s="3077"/>
      <c r="O50" s="3077"/>
      <c r="P50" s="3077"/>
      <c r="Q50" s="3077"/>
      <c r="R50" s="3077"/>
      <c r="S50" s="783"/>
      <c r="T50" s="786"/>
    </row>
    <row r="51" spans="2:38" ht="6.75" customHeight="1">
      <c r="B51" s="787"/>
      <c r="C51" s="804"/>
      <c r="D51" s="804"/>
      <c r="E51" s="804"/>
      <c r="F51" s="804"/>
      <c r="G51" s="804"/>
      <c r="H51" s="783"/>
      <c r="I51" s="783"/>
      <c r="J51" s="783"/>
      <c r="K51" s="783"/>
      <c r="L51" s="783"/>
      <c r="M51" s="783"/>
      <c r="N51" s="783"/>
      <c r="O51" s="783"/>
      <c r="P51" s="783"/>
      <c r="Q51" s="783"/>
      <c r="R51" s="783"/>
      <c r="S51" s="783"/>
      <c r="T51" s="786"/>
    </row>
    <row r="52" spans="2:38" ht="15.75" customHeight="1">
      <c r="B52" s="787"/>
      <c r="C52" s="783"/>
      <c r="D52" s="868" t="s">
        <v>2397</v>
      </c>
      <c r="E52" s="783"/>
      <c r="F52" s="783"/>
      <c r="G52" s="783"/>
      <c r="H52" s="804"/>
      <c r="I52" s="783"/>
      <c r="J52" s="783"/>
      <c r="K52" s="783"/>
      <c r="L52" s="783"/>
      <c r="M52" s="783"/>
      <c r="N52" s="783"/>
      <c r="O52" s="783"/>
      <c r="P52" s="783"/>
      <c r="Q52" s="783"/>
      <c r="R52" s="783"/>
      <c r="S52" s="783"/>
      <c r="T52" s="786"/>
    </row>
    <row r="53" spans="2:38" ht="13.5" customHeight="1" thickBot="1">
      <c r="B53" s="792"/>
      <c r="C53" s="805"/>
      <c r="D53" s="805"/>
      <c r="E53" s="805"/>
      <c r="F53" s="805"/>
      <c r="G53" s="805"/>
      <c r="H53" s="794"/>
      <c r="I53" s="794"/>
      <c r="J53" s="794"/>
      <c r="K53" s="794"/>
      <c r="L53" s="794"/>
      <c r="M53" s="794"/>
      <c r="N53" s="794"/>
      <c r="O53" s="794"/>
      <c r="P53" s="794"/>
      <c r="Q53" s="794"/>
      <c r="R53" s="794"/>
      <c r="S53" s="794"/>
      <c r="T53" s="795"/>
    </row>
    <row r="54" spans="2:38" ht="21.75" customHeight="1"/>
    <row r="55" spans="2:38" ht="24" customHeight="1">
      <c r="B55" s="938" t="s">
        <v>166</v>
      </c>
      <c r="C55" s="842"/>
      <c r="D55" s="842"/>
      <c r="E55" s="842"/>
      <c r="F55" s="842"/>
      <c r="G55" s="842"/>
      <c r="H55" s="842"/>
      <c r="I55" s="842"/>
      <c r="J55" s="842"/>
      <c r="K55" s="842"/>
      <c r="L55" s="842"/>
      <c r="M55" s="842"/>
      <c r="N55" s="843"/>
      <c r="O55" s="843"/>
      <c r="P55" s="843"/>
      <c r="Q55" s="843"/>
      <c r="R55" s="771"/>
      <c r="S55" s="771"/>
      <c r="T55" s="771"/>
      <c r="AF55" s="239"/>
      <c r="AG55" s="240"/>
      <c r="AH55" s="240"/>
      <c r="AI55" s="240"/>
      <c r="AJ55" s="55"/>
      <c r="AK55" s="55"/>
      <c r="AL55" s="55"/>
    </row>
    <row r="56" spans="2:38" ht="11.25" customHeight="1" thickBot="1"/>
    <row r="57" spans="2:38" ht="14.25" customHeight="1">
      <c r="B57" s="774"/>
      <c r="C57" s="775"/>
      <c r="D57" s="775"/>
      <c r="E57" s="775"/>
      <c r="F57" s="775"/>
      <c r="G57" s="776"/>
      <c r="H57" s="777"/>
      <c r="I57" s="777"/>
      <c r="J57" s="777"/>
      <c r="K57" s="777"/>
      <c r="L57" s="777"/>
      <c r="M57" s="777"/>
      <c r="N57" s="777"/>
      <c r="O57" s="777"/>
      <c r="P57" s="777"/>
      <c r="Q57" s="777"/>
      <c r="R57" s="777"/>
      <c r="S57" s="777"/>
      <c r="T57" s="778"/>
    </row>
    <row r="58" spans="2:38" ht="18" customHeight="1">
      <c r="B58" s="779"/>
      <c r="C58" s="780" t="s">
        <v>167</v>
      </c>
      <c r="D58" s="780"/>
      <c r="E58" s="780"/>
      <c r="F58" s="781"/>
      <c r="G58" s="782"/>
      <c r="H58" s="783"/>
      <c r="I58" s="783"/>
      <c r="J58" s="783"/>
      <c r="K58" s="783"/>
      <c r="L58" s="783"/>
      <c r="M58" s="783"/>
      <c r="N58" s="783"/>
      <c r="O58" s="784"/>
      <c r="P58" s="784"/>
      <c r="Q58" s="784"/>
      <c r="R58" s="785"/>
      <c r="S58" s="783"/>
      <c r="T58" s="786"/>
    </row>
    <row r="59" spans="2:38" ht="17.25" customHeight="1">
      <c r="B59" s="787"/>
      <c r="C59" s="788"/>
      <c r="D59" s="788"/>
      <c r="E59" s="788"/>
      <c r="F59" s="788"/>
      <c r="G59" s="788"/>
      <c r="H59" s="783"/>
      <c r="I59" s="783"/>
      <c r="J59" s="783"/>
      <c r="K59" s="783"/>
      <c r="L59" s="783"/>
      <c r="M59" s="783"/>
      <c r="N59" s="783"/>
      <c r="O59" s="783"/>
      <c r="P59" s="783"/>
      <c r="Q59" s="783"/>
      <c r="R59" s="783"/>
      <c r="S59" s="783"/>
      <c r="T59" s="786"/>
    </row>
    <row r="60" spans="2:38" ht="24" customHeight="1">
      <c r="B60" s="789"/>
      <c r="C60" s="3060" t="s">
        <v>168</v>
      </c>
      <c r="D60" s="3060"/>
      <c r="E60" s="3060"/>
      <c r="F60" s="3060"/>
      <c r="G60" s="3060"/>
      <c r="H60" s="3060"/>
      <c r="I60" s="3060"/>
      <c r="J60" s="3060"/>
      <c r="K60" s="3060"/>
      <c r="L60" s="3060"/>
      <c r="M60" s="3060"/>
      <c r="N60" s="3060"/>
      <c r="O60" s="3060"/>
      <c r="P60" s="3060"/>
      <c r="Q60" s="3060"/>
      <c r="R60" s="3060"/>
      <c r="S60" s="790"/>
      <c r="T60" s="791"/>
    </row>
    <row r="61" spans="2:38" ht="7.5" customHeight="1">
      <c r="B61" s="789"/>
      <c r="C61" s="797"/>
      <c r="D61" s="797"/>
      <c r="E61" s="797"/>
      <c r="F61" s="797"/>
      <c r="G61" s="797"/>
      <c r="H61" s="797"/>
      <c r="I61" s="797"/>
      <c r="J61" s="797"/>
      <c r="K61" s="797"/>
      <c r="L61" s="797"/>
      <c r="M61" s="797"/>
      <c r="N61" s="797"/>
      <c r="O61" s="797"/>
      <c r="P61" s="797"/>
      <c r="Q61" s="797"/>
      <c r="R61" s="797"/>
      <c r="S61" s="790"/>
      <c r="T61" s="791"/>
    </row>
    <row r="62" spans="2:38" ht="15" customHeight="1">
      <c r="B62" s="789"/>
      <c r="C62" s="783"/>
      <c r="D62" s="783"/>
      <c r="E62" s="783"/>
      <c r="F62" s="3067" t="s">
        <v>169</v>
      </c>
      <c r="G62" s="3068"/>
      <c r="H62" s="3068"/>
      <c r="I62" s="3068"/>
      <c r="J62" s="806"/>
      <c r="K62" s="806"/>
      <c r="L62" s="783"/>
      <c r="M62" s="783"/>
      <c r="N62" s="783"/>
      <c r="O62" s="783"/>
      <c r="P62" s="783"/>
      <c r="Q62" s="783"/>
      <c r="R62" s="783"/>
      <c r="S62" s="790"/>
      <c r="T62" s="791"/>
    </row>
    <row r="63" spans="2:38" ht="15" customHeight="1">
      <c r="B63" s="789"/>
      <c r="C63" s="783"/>
      <c r="D63" s="783"/>
      <c r="E63" s="783"/>
      <c r="F63" s="3067" t="s">
        <v>170</v>
      </c>
      <c r="G63" s="3068"/>
      <c r="H63" s="3068"/>
      <c r="I63" s="3068"/>
      <c r="J63" s="3078" t="s">
        <v>171</v>
      </c>
      <c r="K63" s="3078"/>
      <c r="L63" s="3078"/>
      <c r="M63" s="3078"/>
      <c r="N63" s="806"/>
      <c r="O63" s="806"/>
      <c r="P63" s="783"/>
      <c r="Q63" s="783"/>
      <c r="R63" s="783"/>
      <c r="S63" s="790"/>
      <c r="T63" s="791"/>
    </row>
    <row r="64" spans="2:38" ht="15" customHeight="1">
      <c r="B64" s="789"/>
      <c r="C64" s="783"/>
      <c r="D64" s="783"/>
      <c r="E64" s="783"/>
      <c r="F64" s="3067" t="s">
        <v>2393</v>
      </c>
      <c r="G64" s="3068"/>
      <c r="H64" s="3068"/>
      <c r="I64" s="3068"/>
      <c r="J64" s="3078"/>
      <c r="K64" s="3078"/>
      <c r="L64" s="3078"/>
      <c r="M64" s="3078"/>
      <c r="N64" s="806"/>
      <c r="O64" s="806"/>
      <c r="P64" s="783"/>
      <c r="Q64" s="783"/>
      <c r="R64" s="783"/>
      <c r="S64" s="790"/>
      <c r="T64" s="791"/>
    </row>
    <row r="65" spans="2:20" ht="15" customHeight="1">
      <c r="B65" s="789"/>
      <c r="C65" s="783"/>
      <c r="D65" s="783"/>
      <c r="E65" s="783"/>
      <c r="F65" s="3067" t="s">
        <v>172</v>
      </c>
      <c r="G65" s="3068"/>
      <c r="H65" s="3068"/>
      <c r="I65" s="3068"/>
      <c r="J65" s="3078"/>
      <c r="K65" s="3078"/>
      <c r="L65" s="3078"/>
      <c r="M65" s="3078"/>
      <c r="N65" s="806"/>
      <c r="O65" s="806"/>
      <c r="P65" s="783"/>
      <c r="Q65" s="783"/>
      <c r="R65" s="783"/>
      <c r="S65" s="790"/>
      <c r="T65" s="791"/>
    </row>
    <row r="66" spans="2:20" ht="15" customHeight="1">
      <c r="B66" s="789"/>
      <c r="C66" s="783"/>
      <c r="D66" s="783"/>
      <c r="E66" s="783"/>
      <c r="F66" s="3080" t="s">
        <v>173</v>
      </c>
      <c r="G66" s="3081"/>
      <c r="H66" s="3081"/>
      <c r="I66" s="3081"/>
      <c r="J66" s="806"/>
      <c r="K66" s="806"/>
      <c r="L66" s="806"/>
      <c r="M66" s="806"/>
      <c r="N66" s="806"/>
      <c r="O66" s="806"/>
      <c r="P66" s="783"/>
      <c r="Q66" s="783"/>
      <c r="R66" s="783"/>
      <c r="S66" s="790"/>
      <c r="T66" s="791"/>
    </row>
    <row r="67" spans="2:20" ht="15" customHeight="1">
      <c r="B67" s="789"/>
      <c r="C67" s="783"/>
      <c r="D67" s="783"/>
      <c r="E67" s="783"/>
      <c r="F67" s="3067" t="s">
        <v>174</v>
      </c>
      <c r="G67" s="3068"/>
      <c r="H67" s="3068"/>
      <c r="I67" s="3068"/>
      <c r="J67" s="806"/>
      <c r="K67" s="806"/>
      <c r="L67" s="806"/>
      <c r="M67" s="806"/>
      <c r="N67" s="783"/>
      <c r="O67" s="783"/>
      <c r="P67" s="783"/>
      <c r="Q67" s="783"/>
      <c r="R67" s="783"/>
      <c r="S67" s="790"/>
      <c r="T67" s="791"/>
    </row>
    <row r="68" spans="2:20" ht="20.25" customHeight="1">
      <c r="B68" s="789"/>
      <c r="C68" s="804"/>
      <c r="D68" s="804"/>
      <c r="E68" s="804"/>
      <c r="F68" s="804"/>
      <c r="G68" s="804"/>
      <c r="H68" s="806"/>
      <c r="I68" s="806"/>
      <c r="J68" s="806"/>
      <c r="K68" s="806"/>
      <c r="L68" s="783"/>
      <c r="M68" s="783"/>
      <c r="N68" s="783"/>
      <c r="O68" s="797"/>
      <c r="P68" s="797"/>
      <c r="Q68" s="797"/>
      <c r="R68" s="797"/>
      <c r="S68" s="790"/>
      <c r="T68" s="791"/>
    </row>
    <row r="69" spans="2:20" ht="34.5" customHeight="1">
      <c r="B69" s="789"/>
      <c r="C69" s="3060" t="s">
        <v>175</v>
      </c>
      <c r="D69" s="3060"/>
      <c r="E69" s="3060"/>
      <c r="F69" s="3060"/>
      <c r="G69" s="3060"/>
      <c r="H69" s="3060"/>
      <c r="I69" s="3060"/>
      <c r="J69" s="3060"/>
      <c r="K69" s="3060"/>
      <c r="L69" s="3060"/>
      <c r="M69" s="3060"/>
      <c r="N69" s="3060"/>
      <c r="O69" s="3060"/>
      <c r="P69" s="3060"/>
      <c r="Q69" s="3060"/>
      <c r="R69" s="3060"/>
      <c r="S69" s="790"/>
      <c r="T69" s="791"/>
    </row>
    <row r="70" spans="2:20" ht="7.5" customHeight="1">
      <c r="B70" s="789"/>
      <c r="C70" s="797"/>
      <c r="D70" s="797"/>
      <c r="E70" s="797"/>
      <c r="F70" s="797"/>
      <c r="G70" s="797"/>
      <c r="H70" s="797"/>
      <c r="I70" s="797"/>
      <c r="J70" s="797"/>
      <c r="K70" s="797"/>
      <c r="L70" s="797"/>
      <c r="M70" s="797"/>
      <c r="N70" s="797"/>
      <c r="O70" s="797"/>
      <c r="P70" s="797"/>
      <c r="Q70" s="797"/>
      <c r="R70" s="797"/>
      <c r="S70" s="790"/>
      <c r="T70" s="791"/>
    </row>
    <row r="71" spans="2:20" ht="15" customHeight="1">
      <c r="B71" s="789"/>
      <c r="C71" s="783"/>
      <c r="D71" s="783"/>
      <c r="E71" s="783"/>
      <c r="F71" s="3067" t="s">
        <v>176</v>
      </c>
      <c r="G71" s="3068"/>
      <c r="H71" s="3068"/>
      <c r="I71" s="806"/>
      <c r="J71" s="806"/>
      <c r="K71" s="806"/>
      <c r="L71" s="783"/>
      <c r="M71" s="783"/>
      <c r="N71" s="783"/>
      <c r="O71" s="783"/>
      <c r="P71" s="783"/>
      <c r="Q71" s="783"/>
      <c r="R71" s="783"/>
      <c r="S71" s="790"/>
      <c r="T71" s="791"/>
    </row>
    <row r="72" spans="2:20" ht="15" customHeight="1">
      <c r="B72" s="789"/>
      <c r="C72" s="783"/>
      <c r="D72" s="783"/>
      <c r="E72" s="783"/>
      <c r="F72" s="3067" t="s">
        <v>177</v>
      </c>
      <c r="G72" s="3068"/>
      <c r="H72" s="3068"/>
      <c r="I72" s="783"/>
      <c r="J72" s="3078" t="s">
        <v>171</v>
      </c>
      <c r="K72" s="3078"/>
      <c r="L72" s="3078"/>
      <c r="M72" s="3078"/>
      <c r="N72" s="806"/>
      <c r="O72" s="806"/>
      <c r="P72" s="783"/>
      <c r="Q72" s="783"/>
      <c r="R72" s="783"/>
      <c r="S72" s="790"/>
      <c r="T72" s="791"/>
    </row>
    <row r="73" spans="2:20" ht="15" customHeight="1">
      <c r="B73" s="789"/>
      <c r="C73" s="783"/>
      <c r="D73" s="783"/>
      <c r="E73" s="783"/>
      <c r="F73" s="3067" t="s">
        <v>178</v>
      </c>
      <c r="G73" s="3068"/>
      <c r="H73" s="3068"/>
      <c r="I73" s="783"/>
      <c r="J73" s="3078"/>
      <c r="K73" s="3078"/>
      <c r="L73" s="3078"/>
      <c r="M73" s="3078"/>
      <c r="N73" s="806"/>
      <c r="O73" s="806"/>
      <c r="P73" s="783"/>
      <c r="Q73" s="783"/>
      <c r="R73" s="783"/>
      <c r="S73" s="790"/>
      <c r="T73" s="791"/>
    </row>
    <row r="74" spans="2:20" ht="15" customHeight="1">
      <c r="B74" s="789"/>
      <c r="C74" s="783"/>
      <c r="D74" s="783"/>
      <c r="E74" s="783"/>
      <c r="F74" s="3067" t="s">
        <v>179</v>
      </c>
      <c r="G74" s="3068"/>
      <c r="H74" s="3068"/>
      <c r="I74" s="783"/>
      <c r="J74" s="3078"/>
      <c r="K74" s="3078"/>
      <c r="L74" s="3078"/>
      <c r="M74" s="3078"/>
      <c r="N74" s="806"/>
      <c r="O74" s="806"/>
      <c r="P74" s="783"/>
      <c r="Q74" s="783"/>
      <c r="R74" s="783"/>
      <c r="S74" s="790"/>
      <c r="T74" s="791"/>
    </row>
    <row r="75" spans="2:20" ht="15" customHeight="1">
      <c r="B75" s="789"/>
      <c r="C75" s="783"/>
      <c r="D75" s="783"/>
      <c r="E75" s="783"/>
      <c r="F75" s="3080" t="s">
        <v>180</v>
      </c>
      <c r="G75" s="3081"/>
      <c r="H75" s="3081"/>
      <c r="I75" s="3081"/>
      <c r="J75" s="806"/>
      <c r="K75" s="806"/>
      <c r="L75" s="806"/>
      <c r="M75" s="806"/>
      <c r="N75" s="806"/>
      <c r="O75" s="806"/>
      <c r="P75" s="783"/>
      <c r="Q75" s="783"/>
      <c r="R75" s="783"/>
      <c r="S75" s="790"/>
      <c r="T75" s="791"/>
    </row>
    <row r="76" spans="2:20" ht="15" customHeight="1">
      <c r="B76" s="789"/>
      <c r="C76" s="783"/>
      <c r="D76" s="783"/>
      <c r="E76" s="783"/>
      <c r="F76" s="3067" t="s">
        <v>181</v>
      </c>
      <c r="G76" s="3068"/>
      <c r="H76" s="3068"/>
      <c r="I76" s="806"/>
      <c r="J76" s="783"/>
      <c r="K76" s="783"/>
      <c r="L76" s="783"/>
      <c r="M76" s="783"/>
      <c r="N76" s="783"/>
      <c r="O76" s="783"/>
      <c r="P76" s="783"/>
      <c r="Q76" s="783"/>
      <c r="R76" s="783"/>
      <c r="S76" s="790"/>
      <c r="T76" s="791"/>
    </row>
    <row r="77" spans="2:20" ht="15" customHeight="1">
      <c r="B77" s="789"/>
      <c r="C77" s="783"/>
      <c r="D77" s="783"/>
      <c r="E77" s="783"/>
      <c r="F77" s="3067" t="s">
        <v>182</v>
      </c>
      <c r="G77" s="3068"/>
      <c r="H77" s="3068"/>
      <c r="I77" s="806"/>
      <c r="J77" s="783"/>
      <c r="K77" s="783"/>
      <c r="L77" s="783"/>
      <c r="M77" s="783"/>
      <c r="N77" s="783"/>
      <c r="O77" s="783"/>
      <c r="P77" s="783"/>
      <c r="Q77" s="783"/>
      <c r="R77" s="783"/>
      <c r="S77" s="790"/>
      <c r="T77" s="791"/>
    </row>
    <row r="78" spans="2:20" ht="15" customHeight="1">
      <c r="B78" s="789"/>
      <c r="C78" s="783"/>
      <c r="D78" s="783"/>
      <c r="E78" s="783"/>
      <c r="F78" s="3067" t="s">
        <v>183</v>
      </c>
      <c r="G78" s="3068"/>
      <c r="H78" s="3068"/>
      <c r="I78" s="806"/>
      <c r="J78" s="806"/>
      <c r="K78" s="806"/>
      <c r="L78" s="783"/>
      <c r="M78" s="783"/>
      <c r="N78" s="783"/>
      <c r="O78" s="783"/>
      <c r="P78" s="783"/>
      <c r="Q78" s="783"/>
      <c r="R78" s="783"/>
      <c r="S78" s="790"/>
      <c r="T78" s="791"/>
    </row>
    <row r="79" spans="2:20" ht="12" customHeight="1">
      <c r="B79" s="789"/>
      <c r="C79" s="804"/>
      <c r="D79" s="804"/>
      <c r="E79" s="804"/>
      <c r="F79" s="804"/>
      <c r="G79" s="804"/>
      <c r="H79" s="806"/>
      <c r="I79" s="806"/>
      <c r="J79" s="806"/>
      <c r="K79" s="806"/>
      <c r="L79" s="783"/>
      <c r="M79" s="783"/>
      <c r="N79" s="783"/>
      <c r="O79" s="797"/>
      <c r="P79" s="797"/>
      <c r="Q79" s="797"/>
      <c r="R79" s="797"/>
      <c r="S79" s="790"/>
      <c r="T79" s="791"/>
    </row>
    <row r="80" spans="2:20" ht="69.75" customHeight="1">
      <c r="B80" s="789"/>
      <c r="C80" s="3057" t="s">
        <v>184</v>
      </c>
      <c r="D80" s="3058"/>
      <c r="E80" s="3058"/>
      <c r="F80" s="3058"/>
      <c r="G80" s="3058"/>
      <c r="H80" s="3058"/>
      <c r="I80" s="3058"/>
      <c r="J80" s="3058"/>
      <c r="K80" s="3058"/>
      <c r="L80" s="3058"/>
      <c r="M80" s="3058"/>
      <c r="N80" s="3058"/>
      <c r="O80" s="3058"/>
      <c r="P80" s="3058"/>
      <c r="Q80" s="3058"/>
      <c r="R80" s="3058"/>
      <c r="S80" s="790"/>
      <c r="T80" s="791"/>
    </row>
    <row r="81" spans="2:20" ht="12" customHeight="1">
      <c r="B81" s="789"/>
      <c r="C81" s="804"/>
      <c r="D81" s="804"/>
      <c r="E81" s="804"/>
      <c r="F81" s="804"/>
      <c r="G81" s="804"/>
      <c r="H81" s="806"/>
      <c r="I81" s="806"/>
      <c r="J81" s="806"/>
      <c r="K81" s="806"/>
      <c r="L81" s="783"/>
      <c r="M81" s="783"/>
      <c r="N81" s="783"/>
      <c r="O81" s="797"/>
      <c r="P81" s="797"/>
      <c r="Q81" s="797"/>
      <c r="R81" s="797"/>
      <c r="S81" s="790"/>
      <c r="T81" s="791"/>
    </row>
    <row r="82" spans="2:20" ht="45" customHeight="1">
      <c r="B82" s="789"/>
      <c r="C82" s="3060" t="s">
        <v>185</v>
      </c>
      <c r="D82" s="3060"/>
      <c r="E82" s="3060"/>
      <c r="F82" s="3060"/>
      <c r="G82" s="3060"/>
      <c r="H82" s="3060"/>
      <c r="I82" s="3060"/>
      <c r="J82" s="3060"/>
      <c r="K82" s="3060"/>
      <c r="L82" s="3060"/>
      <c r="M82" s="3060"/>
      <c r="N82" s="3060"/>
      <c r="O82" s="3060"/>
      <c r="P82" s="3060"/>
      <c r="Q82" s="3060"/>
      <c r="R82" s="3060"/>
      <c r="S82" s="3060"/>
      <c r="T82" s="791"/>
    </row>
    <row r="83" spans="2:20" ht="14.25" customHeight="1">
      <c r="B83" s="789"/>
      <c r="C83" s="807"/>
      <c r="D83" s="807"/>
      <c r="E83" s="790"/>
      <c r="F83" s="790"/>
      <c r="G83" s="790"/>
      <c r="H83" s="790"/>
      <c r="I83" s="790"/>
      <c r="J83" s="790"/>
      <c r="K83" s="790"/>
      <c r="L83" s="790"/>
      <c r="M83" s="790"/>
      <c r="N83" s="790"/>
      <c r="O83" s="790"/>
      <c r="P83" s="790"/>
      <c r="Q83" s="790"/>
      <c r="R83" s="955"/>
      <c r="S83" s="790"/>
      <c r="T83" s="786"/>
    </row>
    <row r="84" spans="2:20" ht="9" customHeight="1">
      <c r="B84" s="789"/>
      <c r="C84" s="258"/>
      <c r="D84" s="259"/>
      <c r="E84" s="260"/>
      <c r="F84" s="260"/>
      <c r="G84" s="260"/>
      <c r="H84" s="260"/>
      <c r="I84" s="260"/>
      <c r="J84" s="260"/>
      <c r="K84" s="260"/>
      <c r="L84" s="260"/>
      <c r="M84" s="260"/>
      <c r="N84" s="260"/>
      <c r="O84" s="260"/>
      <c r="P84" s="260"/>
      <c r="Q84" s="260"/>
      <c r="R84" s="260"/>
      <c r="S84" s="261"/>
      <c r="T84" s="786"/>
    </row>
    <row r="85" spans="2:20" ht="16.5" customHeight="1">
      <c r="B85" s="789"/>
      <c r="C85" s="950" t="s">
        <v>186</v>
      </c>
      <c r="D85" s="951"/>
      <c r="E85" s="952"/>
      <c r="F85" s="952"/>
      <c r="G85" s="332" t="s">
        <v>187</v>
      </c>
      <c r="H85" s="333" t="s">
        <v>188</v>
      </c>
      <c r="I85" s="334"/>
      <c r="J85" s="335"/>
      <c r="K85" s="335"/>
      <c r="L85" s="335"/>
      <c r="M85" s="335"/>
      <c r="N85" s="335"/>
      <c r="O85" s="335"/>
      <c r="P85" s="335"/>
      <c r="Q85" s="335"/>
      <c r="R85" s="335"/>
      <c r="S85" s="266"/>
      <c r="T85" s="786"/>
    </row>
    <row r="86" spans="2:20" ht="16.5" customHeight="1">
      <c r="B86" s="789"/>
      <c r="C86" s="953" t="s">
        <v>189</v>
      </c>
      <c r="D86" s="954"/>
      <c r="E86" s="952"/>
      <c r="F86" s="952"/>
      <c r="G86" s="199" t="s">
        <v>190</v>
      </c>
      <c r="H86" s="336" t="s">
        <v>191</v>
      </c>
      <c r="I86" s="337"/>
      <c r="J86" s="338"/>
      <c r="K86" s="338"/>
      <c r="L86" s="338"/>
      <c r="M86" s="338"/>
      <c r="N86" s="338"/>
      <c r="O86" s="338"/>
      <c r="P86" s="338"/>
      <c r="Q86" s="338"/>
      <c r="R86" s="338"/>
      <c r="S86" s="266"/>
      <c r="T86" s="786"/>
    </row>
    <row r="87" spans="2:20" ht="16.5" customHeight="1">
      <c r="B87" s="789"/>
      <c r="C87" s="302"/>
      <c r="D87" s="303"/>
      <c r="G87" s="196" t="s">
        <v>192</v>
      </c>
      <c r="H87" s="336" t="s">
        <v>193</v>
      </c>
      <c r="I87" s="337"/>
      <c r="J87" s="338"/>
      <c r="K87" s="338"/>
      <c r="L87" s="338"/>
      <c r="M87" s="338"/>
      <c r="N87" s="338"/>
      <c r="O87" s="338"/>
      <c r="P87" s="338"/>
      <c r="Q87" s="338"/>
      <c r="R87" s="338"/>
      <c r="S87" s="266"/>
      <c r="T87" s="786"/>
    </row>
    <row r="88" spans="2:20" ht="16.5" customHeight="1">
      <c r="B88" s="789"/>
      <c r="C88" s="302"/>
      <c r="D88" s="303"/>
      <c r="G88" s="192" t="s">
        <v>194</v>
      </c>
      <c r="H88" s="336" t="s">
        <v>195</v>
      </c>
      <c r="I88" s="337"/>
      <c r="J88" s="338"/>
      <c r="K88" s="338"/>
      <c r="L88" s="338"/>
      <c r="M88" s="338"/>
      <c r="N88" s="338"/>
      <c r="O88" s="338"/>
      <c r="P88" s="338"/>
      <c r="Q88" s="338"/>
      <c r="R88" s="338"/>
      <c r="S88" s="266"/>
      <c r="T88" s="786"/>
    </row>
    <row r="89" spans="2:20" ht="16.5" customHeight="1">
      <c r="B89" s="789"/>
      <c r="C89" s="302"/>
      <c r="D89" s="303"/>
      <c r="G89" s="189" t="s">
        <v>196</v>
      </c>
      <c r="H89" s="336" t="s">
        <v>197</v>
      </c>
      <c r="I89" s="337"/>
      <c r="J89" s="338"/>
      <c r="K89" s="338"/>
      <c r="L89" s="338"/>
      <c r="M89" s="338"/>
      <c r="N89" s="338"/>
      <c r="O89" s="338"/>
      <c r="P89" s="338"/>
      <c r="Q89" s="338"/>
      <c r="R89" s="338"/>
      <c r="S89" s="266"/>
      <c r="T89" s="786"/>
    </row>
    <row r="90" spans="2:20" ht="9.75" customHeight="1">
      <c r="B90" s="789"/>
      <c r="C90" s="304"/>
      <c r="D90" s="305"/>
      <c r="E90" s="271"/>
      <c r="F90" s="339"/>
      <c r="G90" s="340"/>
      <c r="H90" s="271"/>
      <c r="I90" s="306"/>
      <c r="J90" s="306"/>
      <c r="K90" s="306"/>
      <c r="L90" s="306"/>
      <c r="M90" s="306"/>
      <c r="N90" s="306"/>
      <c r="O90" s="306"/>
      <c r="P90" s="306"/>
      <c r="Q90" s="306"/>
      <c r="R90" s="306"/>
      <c r="S90" s="307"/>
      <c r="T90" s="786"/>
    </row>
    <row r="91" spans="2:20" ht="12.75" customHeight="1">
      <c r="B91" s="789"/>
      <c r="C91" s="807"/>
      <c r="D91" s="807"/>
      <c r="E91" s="790"/>
      <c r="F91" s="790"/>
      <c r="G91" s="790"/>
      <c r="H91" s="790"/>
      <c r="I91" s="790"/>
      <c r="J91" s="790"/>
      <c r="K91" s="790"/>
      <c r="L91" s="790"/>
      <c r="M91" s="790"/>
      <c r="N91" s="790"/>
      <c r="O91" s="790"/>
      <c r="P91" s="790"/>
      <c r="Q91" s="790"/>
      <c r="R91" s="955"/>
      <c r="S91" s="790"/>
      <c r="T91" s="786"/>
    </row>
    <row r="92" spans="2:20" ht="9" customHeight="1">
      <c r="B92" s="789"/>
      <c r="C92" s="258"/>
      <c r="D92" s="259"/>
      <c r="E92" s="260"/>
      <c r="F92" s="260"/>
      <c r="G92" s="260"/>
      <c r="H92" s="260"/>
      <c r="I92" s="260"/>
      <c r="J92" s="260"/>
      <c r="K92" s="260"/>
      <c r="L92" s="260"/>
      <c r="M92" s="260"/>
      <c r="N92" s="260"/>
      <c r="O92" s="260"/>
      <c r="P92" s="260"/>
      <c r="Q92" s="260"/>
      <c r="R92" s="260"/>
      <c r="S92" s="261"/>
      <c r="T92" s="786"/>
    </row>
    <row r="93" spans="2:20" ht="16.5" customHeight="1">
      <c r="B93" s="789"/>
      <c r="C93" s="950" t="s">
        <v>186</v>
      </c>
      <c r="D93" s="951"/>
      <c r="E93" s="952"/>
      <c r="F93" s="952"/>
      <c r="G93" s="200" t="s">
        <v>198</v>
      </c>
      <c r="H93" s="345" t="s">
        <v>2398</v>
      </c>
      <c r="I93" s="347"/>
      <c r="J93" s="347"/>
      <c r="K93" s="347"/>
      <c r="L93" s="347"/>
      <c r="M93" s="347"/>
      <c r="N93" s="347"/>
      <c r="O93" s="347"/>
      <c r="P93" s="347"/>
      <c r="Q93" s="347"/>
      <c r="R93" s="347"/>
      <c r="S93" s="266"/>
      <c r="T93" s="786"/>
    </row>
    <row r="94" spans="2:20" ht="16.5" customHeight="1">
      <c r="B94" s="789"/>
      <c r="C94" s="953" t="s">
        <v>200</v>
      </c>
      <c r="D94" s="954"/>
      <c r="E94" s="952"/>
      <c r="F94" s="952"/>
      <c r="G94" s="197" t="s">
        <v>201</v>
      </c>
      <c r="H94" s="348" t="s">
        <v>2399</v>
      </c>
      <c r="I94" s="350"/>
      <c r="J94" s="350"/>
      <c r="K94" s="350"/>
      <c r="L94" s="350"/>
      <c r="M94" s="350"/>
      <c r="N94" s="350"/>
      <c r="O94" s="350"/>
      <c r="P94" s="350"/>
      <c r="Q94" s="350"/>
      <c r="R94" s="350"/>
      <c r="S94" s="266"/>
      <c r="T94" s="786"/>
    </row>
    <row r="95" spans="2:20" ht="16.5" customHeight="1">
      <c r="B95" s="789"/>
      <c r="C95" s="302"/>
      <c r="D95" s="303"/>
      <c r="G95" s="193" t="s">
        <v>203</v>
      </c>
      <c r="H95" s="348" t="s">
        <v>2400</v>
      </c>
      <c r="I95" s="350"/>
      <c r="J95" s="350"/>
      <c r="K95" s="350"/>
      <c r="L95" s="350"/>
      <c r="M95" s="350"/>
      <c r="N95" s="350"/>
      <c r="O95" s="350"/>
      <c r="P95" s="350"/>
      <c r="Q95" s="350"/>
      <c r="R95" s="350"/>
      <c r="S95" s="266"/>
      <c r="T95" s="786"/>
    </row>
    <row r="96" spans="2:20" ht="16.5" customHeight="1">
      <c r="B96" s="789"/>
      <c r="C96" s="302"/>
      <c r="D96" s="303"/>
      <c r="G96" s="190" t="s">
        <v>205</v>
      </c>
      <c r="H96" s="348" t="s">
        <v>2401</v>
      </c>
      <c r="I96" s="350"/>
      <c r="J96" s="350"/>
      <c r="K96" s="350"/>
      <c r="L96" s="350"/>
      <c r="M96" s="350"/>
      <c r="N96" s="350"/>
      <c r="O96" s="350"/>
      <c r="P96" s="350"/>
      <c r="Q96" s="350"/>
      <c r="R96" s="350"/>
      <c r="S96" s="266"/>
      <c r="T96" s="786"/>
    </row>
    <row r="97" spans="2:20" ht="16.5" customHeight="1">
      <c r="B97" s="789"/>
      <c r="C97" s="302"/>
      <c r="D97" s="303"/>
      <c r="G97" s="188" t="s">
        <v>207</v>
      </c>
      <c r="H97" s="348" t="s">
        <v>2402</v>
      </c>
      <c r="I97" s="350"/>
      <c r="J97" s="350"/>
      <c r="K97" s="350"/>
      <c r="L97" s="350"/>
      <c r="M97" s="350"/>
      <c r="N97" s="350"/>
      <c r="O97" s="350"/>
      <c r="P97" s="350"/>
      <c r="Q97" s="350"/>
      <c r="R97" s="350"/>
      <c r="S97" s="266"/>
      <c r="T97" s="786"/>
    </row>
    <row r="98" spans="2:20" ht="9.75" customHeight="1">
      <c r="B98" s="789"/>
      <c r="C98" s="304"/>
      <c r="D98" s="305"/>
      <c r="E98" s="271"/>
      <c r="F98" s="339"/>
      <c r="G98" s="340"/>
      <c r="H98" s="271"/>
      <c r="I98" s="306"/>
      <c r="J98" s="306"/>
      <c r="K98" s="306"/>
      <c r="L98" s="306"/>
      <c r="M98" s="306"/>
      <c r="N98" s="306"/>
      <c r="O98" s="306"/>
      <c r="P98" s="306"/>
      <c r="Q98" s="306"/>
      <c r="R98" s="306"/>
      <c r="S98" s="307"/>
      <c r="T98" s="786"/>
    </row>
    <row r="99" spans="2:20" ht="22.5" customHeight="1" thickBot="1">
      <c r="B99" s="808"/>
      <c r="C99" s="823"/>
      <c r="D99" s="823"/>
      <c r="E99" s="825"/>
      <c r="F99" s="825"/>
      <c r="G99" s="825"/>
      <c r="H99" s="825"/>
      <c r="I99" s="825"/>
      <c r="J99" s="825"/>
      <c r="K99" s="825"/>
      <c r="L99" s="825"/>
      <c r="M99" s="825"/>
      <c r="N99" s="825"/>
      <c r="O99" s="825"/>
      <c r="P99" s="825"/>
      <c r="Q99" s="825"/>
      <c r="R99" s="956"/>
      <c r="S99" s="825"/>
      <c r="T99" s="795"/>
    </row>
    <row r="100" spans="2:20" ht="28.5" customHeight="1" thickBot="1"/>
    <row r="101" spans="2:20" ht="14.25" customHeight="1">
      <c r="B101" s="774"/>
      <c r="C101" s="775"/>
      <c r="D101" s="775"/>
      <c r="E101" s="775"/>
      <c r="F101" s="775"/>
      <c r="G101" s="776"/>
      <c r="H101" s="777"/>
      <c r="I101" s="777"/>
      <c r="J101" s="777"/>
      <c r="K101" s="777"/>
      <c r="L101" s="777"/>
      <c r="M101" s="777"/>
      <c r="N101" s="777"/>
      <c r="O101" s="777"/>
      <c r="P101" s="777"/>
      <c r="Q101" s="777"/>
      <c r="R101" s="777"/>
      <c r="S101" s="777"/>
      <c r="T101" s="778"/>
    </row>
    <row r="102" spans="2:20" ht="18" customHeight="1">
      <c r="B102" s="779"/>
      <c r="C102" s="780" t="s">
        <v>209</v>
      </c>
      <c r="D102" s="780"/>
      <c r="E102" s="780"/>
      <c r="F102" s="781"/>
      <c r="G102" s="782"/>
      <c r="H102" s="783"/>
      <c r="I102" s="783"/>
      <c r="J102" s="783"/>
      <c r="K102" s="783"/>
      <c r="L102" s="783"/>
      <c r="M102" s="783"/>
      <c r="N102" s="783"/>
      <c r="O102" s="784"/>
      <c r="P102" s="784"/>
      <c r="Q102" s="784"/>
      <c r="R102" s="785"/>
      <c r="S102" s="783"/>
      <c r="T102" s="786"/>
    </row>
    <row r="103" spans="2:20" ht="12" customHeight="1">
      <c r="B103" s="787"/>
      <c r="C103" s="788"/>
      <c r="D103" s="788"/>
      <c r="E103" s="788"/>
      <c r="F103" s="788"/>
      <c r="G103" s="788"/>
      <c r="H103" s="783"/>
      <c r="I103" s="783"/>
      <c r="J103" s="783"/>
      <c r="K103" s="783"/>
      <c r="L103" s="783"/>
      <c r="M103" s="783"/>
      <c r="N103" s="783"/>
      <c r="O103" s="783"/>
      <c r="P103" s="783"/>
      <c r="Q103" s="783"/>
      <c r="R103" s="783"/>
      <c r="S103" s="783"/>
      <c r="T103" s="786"/>
    </row>
    <row r="104" spans="2:20" ht="20.25" customHeight="1">
      <c r="B104" s="789"/>
      <c r="C104" s="3060" t="s">
        <v>210</v>
      </c>
      <c r="D104" s="3060"/>
      <c r="E104" s="3060"/>
      <c r="F104" s="3060"/>
      <c r="G104" s="3060"/>
      <c r="H104" s="3060"/>
      <c r="I104" s="3060"/>
      <c r="J104" s="3060"/>
      <c r="K104" s="3060"/>
      <c r="L104" s="3060"/>
      <c r="M104" s="3060"/>
      <c r="N104" s="3060"/>
      <c r="O104" s="3060"/>
      <c r="P104" s="3060"/>
      <c r="Q104" s="3060"/>
      <c r="R104" s="3060"/>
      <c r="S104" s="790"/>
      <c r="T104" s="791"/>
    </row>
    <row r="105" spans="2:20" ht="7.5" customHeight="1">
      <c r="B105" s="789"/>
      <c r="C105" s="797"/>
      <c r="D105" s="797"/>
      <c r="E105" s="797"/>
      <c r="F105" s="797"/>
      <c r="G105" s="797"/>
      <c r="H105" s="797"/>
      <c r="I105" s="797"/>
      <c r="J105" s="797"/>
      <c r="K105" s="797"/>
      <c r="L105" s="797"/>
      <c r="M105" s="797"/>
      <c r="N105" s="797"/>
      <c r="O105" s="797"/>
      <c r="P105" s="797"/>
      <c r="Q105" s="797"/>
      <c r="R105" s="797"/>
      <c r="S105" s="790"/>
      <c r="T105" s="791"/>
    </row>
    <row r="106" spans="2:20" ht="15.75" customHeight="1">
      <c r="B106" s="789"/>
      <c r="C106" s="783"/>
      <c r="D106" s="783"/>
      <c r="E106" s="783"/>
      <c r="F106" s="810" t="s">
        <v>211</v>
      </c>
      <c r="G106" s="492"/>
      <c r="H106" s="3063" t="s">
        <v>212</v>
      </c>
      <c r="I106" s="3062"/>
      <c r="J106" s="3062"/>
      <c r="K106" s="3062"/>
      <c r="L106" s="3062"/>
      <c r="M106" s="3062"/>
      <c r="N106" s="3062"/>
      <c r="O106" s="3062"/>
      <c r="P106" s="3062"/>
      <c r="Q106" s="3062"/>
      <c r="R106" s="3062"/>
      <c r="S106" s="790"/>
      <c r="T106" s="791"/>
    </row>
    <row r="107" spans="2:20" ht="6.75" customHeight="1">
      <c r="B107" s="789"/>
      <c r="C107" s="783"/>
      <c r="D107" s="783"/>
      <c r="E107" s="783"/>
      <c r="F107" s="811"/>
      <c r="G107" s="809"/>
      <c r="H107" s="797"/>
      <c r="I107" s="797"/>
      <c r="J107" s="797"/>
      <c r="K107" s="797"/>
      <c r="L107" s="797"/>
      <c r="M107" s="797"/>
      <c r="N107" s="797"/>
      <c r="O107" s="797"/>
      <c r="P107" s="797"/>
      <c r="Q107" s="797"/>
      <c r="R107" s="797"/>
      <c r="S107" s="790"/>
      <c r="T107" s="791"/>
    </row>
    <row r="108" spans="2:20" ht="15.75" customHeight="1">
      <c r="B108" s="789"/>
      <c r="C108" s="783"/>
      <c r="D108" s="783"/>
      <c r="E108" s="783"/>
      <c r="F108" s="812" t="s">
        <v>213</v>
      </c>
      <c r="G108" s="412"/>
      <c r="H108" s="3063" t="s">
        <v>2394</v>
      </c>
      <c r="I108" s="3062"/>
      <c r="J108" s="3062"/>
      <c r="K108" s="3062"/>
      <c r="L108" s="3062"/>
      <c r="M108" s="3062"/>
      <c r="N108" s="3062"/>
      <c r="O108" s="3062"/>
      <c r="P108" s="3062"/>
      <c r="Q108" s="3062"/>
      <c r="R108" s="3062"/>
      <c r="S108" s="790"/>
      <c r="T108" s="791"/>
    </row>
    <row r="109" spans="2:20" ht="6.75" customHeight="1">
      <c r="B109" s="789"/>
      <c r="C109" s="783"/>
      <c r="D109" s="783"/>
      <c r="E109" s="783"/>
      <c r="F109" s="811"/>
      <c r="G109" s="809"/>
      <c r="H109" s="797"/>
      <c r="I109" s="797"/>
      <c r="J109" s="797"/>
      <c r="K109" s="797"/>
      <c r="L109" s="797"/>
      <c r="M109" s="797"/>
      <c r="N109" s="797"/>
      <c r="O109" s="797"/>
      <c r="P109" s="797"/>
      <c r="Q109" s="797"/>
      <c r="R109" s="797"/>
      <c r="S109" s="790"/>
      <c r="T109" s="791"/>
    </row>
    <row r="110" spans="2:20" ht="15.75" customHeight="1">
      <c r="B110" s="789"/>
      <c r="C110" s="783"/>
      <c r="D110" s="783"/>
      <c r="E110" s="783"/>
      <c r="F110" s="810" t="s">
        <v>214</v>
      </c>
      <c r="G110" s="413"/>
      <c r="H110" s="3063" t="s">
        <v>215</v>
      </c>
      <c r="I110" s="3062"/>
      <c r="J110" s="3062"/>
      <c r="K110" s="3062"/>
      <c r="L110" s="3062"/>
      <c r="M110" s="3062"/>
      <c r="N110" s="3062"/>
      <c r="O110" s="3062"/>
      <c r="P110" s="3062"/>
      <c r="Q110" s="3062"/>
      <c r="R110" s="3062"/>
      <c r="S110" s="790"/>
      <c r="T110" s="791"/>
    </row>
    <row r="111" spans="2:20" ht="6.75" customHeight="1">
      <c r="B111" s="789"/>
      <c r="C111" s="783"/>
      <c r="D111" s="783"/>
      <c r="E111" s="783"/>
      <c r="F111" s="811"/>
      <c r="G111" s="809"/>
      <c r="H111" s="797"/>
      <c r="I111" s="797"/>
      <c r="J111" s="797"/>
      <c r="K111" s="797"/>
      <c r="L111" s="797"/>
      <c r="M111" s="797"/>
      <c r="N111" s="797"/>
      <c r="O111" s="797"/>
      <c r="P111" s="797"/>
      <c r="Q111" s="797"/>
      <c r="R111" s="797"/>
      <c r="S111" s="790"/>
      <c r="T111" s="791"/>
    </row>
    <row r="112" spans="2:20" ht="15.75" customHeight="1">
      <c r="B112" s="789"/>
      <c r="C112" s="783"/>
      <c r="D112" s="783"/>
      <c r="E112" s="783"/>
      <c r="F112" s="810" t="s">
        <v>216</v>
      </c>
      <c r="G112" s="1188"/>
      <c r="H112" s="3063" t="s">
        <v>217</v>
      </c>
      <c r="I112" s="3062"/>
      <c r="J112" s="3062"/>
      <c r="K112" s="3062"/>
      <c r="L112" s="3062"/>
      <c r="M112" s="3062"/>
      <c r="N112" s="3062"/>
      <c r="O112" s="3062"/>
      <c r="P112" s="3062"/>
      <c r="Q112" s="3062"/>
      <c r="R112" s="3062"/>
      <c r="S112" s="790"/>
      <c r="T112" s="791"/>
    </row>
    <row r="113" spans="2:22" ht="18.75" customHeight="1">
      <c r="B113" s="789"/>
      <c r="C113" s="783"/>
      <c r="D113" s="783"/>
      <c r="E113" s="783"/>
      <c r="F113" s="811"/>
      <c r="G113" s="813"/>
      <c r="H113" s="814"/>
      <c r="I113" s="814"/>
      <c r="J113" s="814"/>
      <c r="K113" s="814"/>
      <c r="L113" s="814"/>
      <c r="M113" s="814"/>
      <c r="N113" s="814"/>
      <c r="O113" s="814"/>
      <c r="P113" s="797"/>
      <c r="Q113" s="797"/>
      <c r="R113" s="797"/>
      <c r="S113" s="790"/>
      <c r="T113" s="791"/>
    </row>
    <row r="114" spans="2:22" ht="19.5" customHeight="1">
      <c r="B114" s="789"/>
      <c r="C114" s="3060" t="s">
        <v>218</v>
      </c>
      <c r="D114" s="3060"/>
      <c r="E114" s="3060"/>
      <c r="F114" s="3060"/>
      <c r="G114" s="3060"/>
      <c r="H114" s="3060"/>
      <c r="I114" s="3060"/>
      <c r="J114" s="3060"/>
      <c r="K114" s="3060"/>
      <c r="L114" s="3060"/>
      <c r="M114" s="3060"/>
      <c r="N114" s="3060"/>
      <c r="O114" s="3060"/>
      <c r="P114" s="3060"/>
      <c r="Q114" s="3060"/>
      <c r="R114" s="3060"/>
      <c r="S114" s="790"/>
      <c r="T114" s="791"/>
    </row>
    <row r="115" spans="2:22" ht="3" customHeight="1">
      <c r="B115" s="789"/>
      <c r="C115" s="797"/>
      <c r="D115" s="797"/>
      <c r="E115" s="797"/>
      <c r="F115" s="797"/>
      <c r="G115" s="797"/>
      <c r="H115" s="797"/>
      <c r="I115" s="797"/>
      <c r="J115" s="797"/>
      <c r="K115" s="797"/>
      <c r="L115" s="797"/>
      <c r="M115" s="797"/>
      <c r="N115" s="797"/>
      <c r="O115" s="797"/>
      <c r="P115" s="797"/>
      <c r="Q115" s="797"/>
      <c r="R115" s="797"/>
      <c r="S115" s="790"/>
      <c r="T115" s="791"/>
    </row>
    <row r="116" spans="2:22" ht="15.75" customHeight="1">
      <c r="B116" s="789"/>
      <c r="C116" s="797"/>
      <c r="D116" s="797"/>
      <c r="E116" s="3069" t="s">
        <v>219</v>
      </c>
      <c r="F116" s="3073"/>
      <c r="G116" s="439" t="s">
        <v>220</v>
      </c>
      <c r="H116" s="3063" t="s">
        <v>221</v>
      </c>
      <c r="I116" s="3062"/>
      <c r="J116" s="3062"/>
      <c r="K116" s="3062"/>
      <c r="L116" s="3062"/>
      <c r="M116" s="3062"/>
      <c r="N116" s="3062"/>
      <c r="O116" s="797"/>
      <c r="P116" s="797"/>
      <c r="Q116" s="797"/>
      <c r="R116" s="797"/>
      <c r="S116" s="790"/>
      <c r="T116" s="791"/>
    </row>
    <row r="117" spans="2:22" ht="7.5" customHeight="1">
      <c r="B117" s="789"/>
      <c r="C117" s="797"/>
      <c r="D117" s="797"/>
      <c r="E117" s="797"/>
      <c r="F117" s="797"/>
      <c r="G117" s="815"/>
      <c r="H117" s="797"/>
      <c r="I117" s="797"/>
      <c r="J117" s="797"/>
      <c r="K117" s="797"/>
      <c r="L117" s="797"/>
      <c r="M117" s="797"/>
      <c r="N117" s="797"/>
      <c r="O117" s="797"/>
      <c r="P117" s="797"/>
      <c r="Q117" s="797"/>
      <c r="R117" s="797"/>
      <c r="S117" s="790"/>
      <c r="T117" s="791"/>
    </row>
    <row r="118" spans="2:22" ht="15.75" customHeight="1">
      <c r="B118" s="789"/>
      <c r="C118" s="797"/>
      <c r="D118" s="797"/>
      <c r="E118" s="3061" t="s">
        <v>219</v>
      </c>
      <c r="F118" s="3072"/>
      <c r="G118" s="1189" t="s">
        <v>222</v>
      </c>
      <c r="H118" s="3064" t="s">
        <v>223</v>
      </c>
      <c r="I118" s="3065"/>
      <c r="J118" s="3065"/>
      <c r="K118" s="3065"/>
      <c r="L118" s="3065"/>
      <c r="M118" s="3065"/>
      <c r="N118" s="3065"/>
      <c r="O118" s="797"/>
      <c r="P118" s="797"/>
      <c r="Q118" s="797"/>
      <c r="R118" s="797"/>
      <c r="S118" s="790"/>
      <c r="T118" s="791"/>
    </row>
    <row r="119" spans="2:22" ht="16.5" customHeight="1">
      <c r="B119" s="789"/>
      <c r="C119" s="797"/>
      <c r="D119" s="797"/>
      <c r="E119" s="797"/>
      <c r="F119" s="797"/>
      <c r="G119" s="816"/>
      <c r="H119" s="797"/>
      <c r="I119" s="797"/>
      <c r="J119" s="797"/>
      <c r="K119" s="797"/>
      <c r="L119" s="797"/>
      <c r="M119" s="797"/>
      <c r="N119" s="797"/>
      <c r="O119" s="797"/>
      <c r="P119" s="797"/>
      <c r="Q119" s="797"/>
      <c r="R119" s="797"/>
      <c r="S119" s="790"/>
      <c r="T119" s="791"/>
    </row>
    <row r="120" spans="2:22" ht="19.5" customHeight="1">
      <c r="B120" s="789"/>
      <c r="C120" s="3060" t="s">
        <v>224</v>
      </c>
      <c r="D120" s="3060"/>
      <c r="E120" s="3060"/>
      <c r="F120" s="3060"/>
      <c r="G120" s="3060"/>
      <c r="H120" s="3060"/>
      <c r="I120" s="3060"/>
      <c r="J120" s="3060"/>
      <c r="K120" s="3060"/>
      <c r="L120" s="3060"/>
      <c r="M120" s="3060"/>
      <c r="N120" s="3060"/>
      <c r="O120" s="3060"/>
      <c r="P120" s="3060"/>
      <c r="Q120" s="3060"/>
      <c r="R120" s="3060"/>
      <c r="S120" s="790"/>
      <c r="T120" s="791"/>
    </row>
    <row r="121" spans="2:22" ht="3" customHeight="1">
      <c r="B121" s="789"/>
      <c r="C121" s="797"/>
      <c r="D121" s="797"/>
      <c r="E121" s="797"/>
      <c r="F121" s="797"/>
      <c r="G121" s="797"/>
      <c r="H121" s="797"/>
      <c r="I121" s="797"/>
      <c r="J121" s="797"/>
      <c r="K121" s="797"/>
      <c r="L121" s="797"/>
      <c r="M121" s="797"/>
      <c r="N121" s="797"/>
      <c r="O121" s="797"/>
      <c r="P121" s="797"/>
      <c r="Q121" s="797"/>
      <c r="R121" s="797"/>
      <c r="S121" s="790"/>
      <c r="T121" s="791"/>
    </row>
    <row r="122" spans="2:22" ht="16.5" customHeight="1">
      <c r="B122" s="789"/>
      <c r="C122" s="797"/>
      <c r="D122" s="783"/>
      <c r="E122" s="783"/>
      <c r="F122" s="783"/>
      <c r="G122" s="817" t="s">
        <v>225</v>
      </c>
      <c r="H122" s="946" t="s">
        <v>226</v>
      </c>
      <c r="I122" s="1177"/>
      <c r="J122" s="1177"/>
      <c r="K122" s="1177"/>
      <c r="L122" s="783"/>
      <c r="M122" s="783"/>
      <c r="N122" s="783"/>
      <c r="O122" s="797"/>
      <c r="P122" s="797"/>
      <c r="Q122" s="797"/>
      <c r="R122" s="797"/>
      <c r="S122" s="790"/>
      <c r="T122" s="791"/>
      <c r="V122" s="367"/>
    </row>
    <row r="123" spans="2:22" ht="3.75" customHeight="1">
      <c r="B123" s="789"/>
      <c r="C123" s="797"/>
      <c r="D123" s="783"/>
      <c r="E123" s="783"/>
      <c r="F123" s="783"/>
      <c r="G123" s="900"/>
      <c r="H123" s="947"/>
      <c r="I123" s="900"/>
      <c r="J123" s="900"/>
      <c r="K123" s="900"/>
      <c r="L123" s="783"/>
      <c r="M123" s="783"/>
      <c r="N123" s="783"/>
      <c r="O123" s="797"/>
      <c r="P123" s="797"/>
      <c r="Q123" s="797"/>
      <c r="R123" s="797"/>
      <c r="S123" s="790"/>
      <c r="T123" s="791"/>
    </row>
    <row r="124" spans="2:22" ht="16.5" customHeight="1">
      <c r="B124" s="789"/>
      <c r="C124" s="797"/>
      <c r="D124" s="783"/>
      <c r="E124" s="783"/>
      <c r="F124" s="783"/>
      <c r="G124" s="817" t="s">
        <v>227</v>
      </c>
      <c r="H124" s="946" t="s">
        <v>228</v>
      </c>
      <c r="I124" s="1177"/>
      <c r="J124" s="1177"/>
      <c r="K124" s="1177"/>
      <c r="L124" s="783"/>
      <c r="M124" s="783"/>
      <c r="N124" s="783"/>
      <c r="O124" s="797"/>
      <c r="P124" s="797"/>
      <c r="Q124" s="797"/>
      <c r="R124" s="797"/>
      <c r="S124" s="790"/>
      <c r="T124" s="791"/>
      <c r="V124" s="367"/>
    </row>
    <row r="125" spans="2:22" ht="6.75" customHeight="1">
      <c r="B125" s="789"/>
      <c r="C125" s="797"/>
      <c r="D125" s="783"/>
      <c r="E125" s="783"/>
      <c r="F125" s="783"/>
      <c r="G125" s="797"/>
      <c r="H125" s="948"/>
      <c r="I125" s="797"/>
      <c r="J125" s="797"/>
      <c r="K125" s="797"/>
      <c r="L125" s="783"/>
      <c r="M125" s="783"/>
      <c r="N125" s="783"/>
      <c r="O125" s="797"/>
      <c r="P125" s="797"/>
      <c r="Q125" s="797"/>
      <c r="R125" s="797"/>
      <c r="S125" s="790"/>
      <c r="T125" s="791"/>
    </row>
    <row r="126" spans="2:22" ht="14.25" customHeight="1">
      <c r="B126" s="789"/>
      <c r="C126" s="797"/>
      <c r="D126" s="783"/>
      <c r="E126" s="783"/>
      <c r="F126" s="783"/>
      <c r="G126" s="818" t="s">
        <v>229</v>
      </c>
      <c r="H126" s="949" t="s">
        <v>230</v>
      </c>
      <c r="I126" s="1176"/>
      <c r="J126" s="797"/>
      <c r="K126" s="797"/>
      <c r="L126" s="783"/>
      <c r="M126" s="783"/>
      <c r="N126" s="783"/>
      <c r="O126" s="797"/>
      <c r="P126" s="797"/>
      <c r="Q126" s="797"/>
      <c r="R126" s="797"/>
      <c r="S126" s="790"/>
      <c r="T126" s="791"/>
    </row>
    <row r="127" spans="2:22" ht="3.75" customHeight="1">
      <c r="B127" s="789"/>
      <c r="C127" s="797"/>
      <c r="D127" s="783"/>
      <c r="E127" s="783"/>
      <c r="F127" s="783"/>
      <c r="G127" s="797"/>
      <c r="H127" s="948"/>
      <c r="I127" s="797"/>
      <c r="J127" s="797"/>
      <c r="K127" s="797"/>
      <c r="L127" s="783"/>
      <c r="M127" s="783"/>
      <c r="N127" s="783"/>
      <c r="O127" s="797"/>
      <c r="P127" s="797"/>
      <c r="Q127" s="797"/>
      <c r="R127" s="797"/>
      <c r="S127" s="790"/>
      <c r="T127" s="791"/>
    </row>
    <row r="128" spans="2:22" ht="14.25" customHeight="1">
      <c r="B128" s="789"/>
      <c r="C128" s="797"/>
      <c r="D128" s="783"/>
      <c r="E128" s="783"/>
      <c r="F128" s="783"/>
      <c r="G128" s="818" t="s">
        <v>231</v>
      </c>
      <c r="H128" s="949" t="s">
        <v>232</v>
      </c>
      <c r="I128" s="1176"/>
      <c r="J128" s="797"/>
      <c r="K128" s="797"/>
      <c r="L128" s="783"/>
      <c r="M128" s="783"/>
      <c r="N128" s="783"/>
      <c r="O128" s="797"/>
      <c r="P128" s="797"/>
      <c r="Q128" s="797"/>
      <c r="R128" s="797"/>
      <c r="S128" s="790"/>
      <c r="T128" s="791"/>
    </row>
    <row r="129" spans="2:22" ht="3.75" customHeight="1">
      <c r="B129" s="789"/>
      <c r="C129" s="797"/>
      <c r="D129" s="783"/>
      <c r="E129" s="783"/>
      <c r="F129" s="783"/>
      <c r="G129" s="797"/>
      <c r="H129" s="948"/>
      <c r="I129" s="797"/>
      <c r="J129" s="797"/>
      <c r="K129" s="797"/>
      <c r="L129" s="783"/>
      <c r="M129" s="783"/>
      <c r="N129" s="783"/>
      <c r="O129" s="797"/>
      <c r="P129" s="797"/>
      <c r="Q129" s="797"/>
      <c r="R129" s="797"/>
      <c r="S129" s="790"/>
      <c r="T129" s="791"/>
    </row>
    <row r="130" spans="2:22" ht="16.5" customHeight="1">
      <c r="B130" s="789"/>
      <c r="C130" s="797"/>
      <c r="D130" s="783"/>
      <c r="E130" s="783"/>
      <c r="F130" s="783"/>
      <c r="G130" s="819" t="s">
        <v>233</v>
      </c>
      <c r="H130" s="949" t="s">
        <v>234</v>
      </c>
      <c r="I130" s="1176"/>
      <c r="J130" s="797"/>
      <c r="K130" s="797"/>
      <c r="L130" s="783"/>
      <c r="M130" s="783"/>
      <c r="N130" s="783"/>
      <c r="O130" s="797"/>
      <c r="P130" s="797"/>
      <c r="Q130" s="797"/>
      <c r="R130" s="797"/>
      <c r="S130" s="790"/>
      <c r="T130" s="791"/>
      <c r="V130" s="367"/>
    </row>
    <row r="131" spans="2:22" ht="3.75" customHeight="1">
      <c r="B131" s="789"/>
      <c r="C131" s="797"/>
      <c r="D131" s="783"/>
      <c r="E131" s="783"/>
      <c r="F131" s="783"/>
      <c r="G131" s="797"/>
      <c r="H131" s="948"/>
      <c r="I131" s="797"/>
      <c r="J131" s="797"/>
      <c r="K131" s="797"/>
      <c r="L131" s="783"/>
      <c r="M131" s="783"/>
      <c r="N131" s="783"/>
      <c r="O131" s="797"/>
      <c r="P131" s="797"/>
      <c r="Q131" s="797"/>
      <c r="R131" s="797"/>
      <c r="S131" s="790"/>
      <c r="T131" s="791"/>
    </row>
    <row r="132" spans="2:22" ht="14.25" customHeight="1">
      <c r="B132" s="789"/>
      <c r="C132" s="797"/>
      <c r="D132" s="783"/>
      <c r="E132" s="783"/>
      <c r="F132" s="783"/>
      <c r="G132" s="1190" t="s">
        <v>155</v>
      </c>
      <c r="H132" s="949" t="s">
        <v>235</v>
      </c>
      <c r="I132" s="1176"/>
      <c r="J132" s="797"/>
      <c r="K132" s="797"/>
      <c r="L132" s="783"/>
      <c r="M132" s="783"/>
      <c r="N132" s="783"/>
      <c r="O132" s="797"/>
      <c r="P132" s="797"/>
      <c r="Q132" s="797"/>
      <c r="R132" s="797"/>
      <c r="S132" s="790"/>
      <c r="T132" s="791"/>
    </row>
    <row r="133" spans="2:22" ht="3.75" customHeight="1">
      <c r="B133" s="789"/>
      <c r="C133" s="797"/>
      <c r="D133" s="783"/>
      <c r="E133" s="783"/>
      <c r="F133" s="783"/>
      <c r="G133" s="797"/>
      <c r="H133" s="948"/>
      <c r="I133" s="797"/>
      <c r="J133" s="797"/>
      <c r="K133" s="797"/>
      <c r="L133" s="783"/>
      <c r="M133" s="783"/>
      <c r="N133" s="783"/>
      <c r="O133" s="797"/>
      <c r="P133" s="797"/>
      <c r="Q133" s="797"/>
      <c r="R133" s="797"/>
      <c r="S133" s="790"/>
      <c r="T133" s="791"/>
    </row>
    <row r="134" spans="2:22" ht="14.25" customHeight="1">
      <c r="B134" s="789"/>
      <c r="C134" s="797"/>
      <c r="D134" s="783"/>
      <c r="E134" s="783"/>
      <c r="F134" s="783"/>
      <c r="G134" s="820">
        <v>6</v>
      </c>
      <c r="H134" s="949" t="s">
        <v>236</v>
      </c>
      <c r="I134" s="1176"/>
      <c r="J134" s="797"/>
      <c r="K134" s="797"/>
      <c r="L134" s="783"/>
      <c r="M134" s="783"/>
      <c r="N134" s="783"/>
      <c r="O134" s="797"/>
      <c r="P134" s="797"/>
      <c r="Q134" s="797"/>
      <c r="R134" s="797"/>
      <c r="S134" s="790"/>
      <c r="T134" s="791"/>
    </row>
    <row r="135" spans="2:22" ht="3.75" customHeight="1">
      <c r="B135" s="789"/>
      <c r="C135" s="797"/>
      <c r="D135" s="783"/>
      <c r="E135" s="783"/>
      <c r="F135" s="783"/>
      <c r="G135" s="797"/>
      <c r="H135" s="948"/>
      <c r="I135" s="797"/>
      <c r="J135" s="797"/>
      <c r="K135" s="797"/>
      <c r="L135" s="783"/>
      <c r="M135" s="783"/>
      <c r="N135" s="783"/>
      <c r="O135" s="797"/>
      <c r="P135" s="797"/>
      <c r="Q135" s="797"/>
      <c r="R135" s="797"/>
      <c r="S135" s="790"/>
      <c r="T135" s="791"/>
    </row>
    <row r="136" spans="2:22" ht="16.5" customHeight="1">
      <c r="B136" s="789"/>
      <c r="C136" s="797"/>
      <c r="D136" s="783"/>
      <c r="E136" s="783"/>
      <c r="F136" s="783"/>
      <c r="G136" s="821" t="s">
        <v>237</v>
      </c>
      <c r="H136" s="949" t="s">
        <v>238</v>
      </c>
      <c r="I136" s="1176"/>
      <c r="J136" s="797"/>
      <c r="K136" s="797"/>
      <c r="L136" s="783"/>
      <c r="M136" s="783"/>
      <c r="N136" s="783"/>
      <c r="O136" s="797"/>
      <c r="P136" s="797"/>
      <c r="Q136" s="797"/>
      <c r="R136" s="797"/>
      <c r="S136" s="790"/>
      <c r="T136" s="791"/>
      <c r="V136" s="367"/>
    </row>
    <row r="137" spans="2:22" ht="3.75" customHeight="1">
      <c r="B137" s="789"/>
      <c r="C137" s="797"/>
      <c r="D137" s="783"/>
      <c r="E137" s="783"/>
      <c r="F137" s="783"/>
      <c r="G137" s="797"/>
      <c r="H137" s="948"/>
      <c r="I137" s="797"/>
      <c r="J137" s="797"/>
      <c r="K137" s="797"/>
      <c r="L137" s="783"/>
      <c r="M137" s="783"/>
      <c r="N137" s="783"/>
      <c r="O137" s="797"/>
      <c r="P137" s="797"/>
      <c r="Q137" s="797"/>
      <c r="R137" s="797"/>
      <c r="S137" s="790"/>
      <c r="T137" s="791"/>
    </row>
    <row r="138" spans="2:22" ht="17.25" customHeight="1">
      <c r="B138" s="789"/>
      <c r="C138" s="797"/>
      <c r="D138" s="783"/>
      <c r="E138" s="783"/>
      <c r="F138" s="783"/>
      <c r="G138" s="822" t="s">
        <v>239</v>
      </c>
      <c r="H138" s="949" t="s">
        <v>240</v>
      </c>
      <c r="I138" s="1176"/>
      <c r="J138" s="797"/>
      <c r="K138" s="797"/>
      <c r="L138" s="783"/>
      <c r="M138" s="783"/>
      <c r="N138" s="783"/>
      <c r="O138" s="797"/>
      <c r="P138" s="797"/>
      <c r="Q138" s="797"/>
      <c r="R138" s="797"/>
      <c r="S138" s="790"/>
      <c r="T138" s="791"/>
    </row>
    <row r="139" spans="2:22" ht="3.75" customHeight="1">
      <c r="B139" s="789"/>
      <c r="C139" s="797"/>
      <c r="D139" s="797"/>
      <c r="E139" s="797"/>
      <c r="F139" s="797"/>
      <c r="G139" s="797"/>
      <c r="H139" s="797"/>
      <c r="I139" s="797"/>
      <c r="J139" s="797"/>
      <c r="K139" s="797"/>
      <c r="L139" s="797"/>
      <c r="M139" s="797"/>
      <c r="N139" s="797"/>
      <c r="O139" s="797"/>
      <c r="P139" s="797"/>
      <c r="Q139" s="797"/>
      <c r="R139" s="797"/>
      <c r="S139" s="790"/>
      <c r="T139" s="791"/>
    </row>
    <row r="140" spans="2:22" ht="15.75" customHeight="1">
      <c r="B140" s="789"/>
      <c r="C140" s="807"/>
      <c r="D140" s="807"/>
      <c r="E140" s="807"/>
      <c r="F140" s="807"/>
      <c r="G140" s="875"/>
      <c r="H140" s="875"/>
      <c r="I140" s="875"/>
      <c r="J140" s="875"/>
      <c r="K140" s="875"/>
      <c r="L140" s="875"/>
      <c r="M140" s="875"/>
      <c r="N140" s="875"/>
      <c r="O140" s="875"/>
      <c r="P140" s="875"/>
      <c r="Q140" s="875"/>
      <c r="R140" s="875"/>
      <c r="S140" s="790"/>
      <c r="T140" s="791"/>
    </row>
    <row r="141" spans="2:22" ht="19.5" customHeight="1">
      <c r="B141" s="789"/>
      <c r="C141" s="3060" t="s">
        <v>241</v>
      </c>
      <c r="D141" s="3060"/>
      <c r="E141" s="3060"/>
      <c r="F141" s="3060"/>
      <c r="G141" s="3060"/>
      <c r="H141" s="3060"/>
      <c r="I141" s="3060"/>
      <c r="J141" s="3060"/>
      <c r="K141" s="3060"/>
      <c r="L141" s="3060"/>
      <c r="M141" s="3060"/>
      <c r="N141" s="3060"/>
      <c r="O141" s="3060"/>
      <c r="P141" s="3060"/>
      <c r="Q141" s="3060"/>
      <c r="R141" s="3060"/>
      <c r="S141" s="790"/>
      <c r="T141" s="791"/>
    </row>
    <row r="142" spans="2:22" ht="6" customHeight="1">
      <c r="B142" s="789"/>
      <c r="C142" s="797"/>
      <c r="D142" s="797"/>
      <c r="E142" s="797"/>
      <c r="F142" s="797"/>
      <c r="G142" s="3059">
        <v>1</v>
      </c>
      <c r="H142" s="797"/>
      <c r="I142" s="797"/>
      <c r="J142" s="797"/>
      <c r="K142" s="797"/>
      <c r="L142" s="797"/>
      <c r="M142" s="797"/>
      <c r="N142" s="797"/>
      <c r="O142" s="797"/>
      <c r="P142" s="797"/>
      <c r="Q142" s="797"/>
      <c r="R142" s="797"/>
      <c r="S142" s="790"/>
      <c r="T142" s="791"/>
    </row>
    <row r="143" spans="2:22" ht="15.75" customHeight="1">
      <c r="B143" s="789"/>
      <c r="C143" s="797"/>
      <c r="D143" s="797"/>
      <c r="E143" s="3069"/>
      <c r="F143" s="3069"/>
      <c r="G143" s="3059"/>
      <c r="H143" s="3062" t="s">
        <v>242</v>
      </c>
      <c r="I143" s="3062"/>
      <c r="J143" s="3062"/>
      <c r="K143" s="3062"/>
      <c r="L143" s="3062"/>
      <c r="M143" s="3062"/>
      <c r="N143" s="3062"/>
      <c r="O143" s="797"/>
      <c r="P143" s="797"/>
      <c r="Q143" s="797"/>
      <c r="R143" s="797"/>
      <c r="S143" s="790"/>
      <c r="T143" s="791"/>
    </row>
    <row r="144" spans="2:22" ht="6" customHeight="1">
      <c r="B144" s="789"/>
      <c r="C144" s="797"/>
      <c r="D144" s="797"/>
      <c r="E144" s="797"/>
      <c r="F144" s="797"/>
      <c r="G144" s="3059">
        <v>2</v>
      </c>
      <c r="H144" s="797"/>
      <c r="I144" s="797"/>
      <c r="J144" s="797"/>
      <c r="K144" s="797"/>
      <c r="L144" s="797"/>
      <c r="M144" s="797"/>
      <c r="N144" s="797"/>
      <c r="O144" s="797"/>
      <c r="P144" s="797"/>
      <c r="Q144" s="797"/>
      <c r="R144" s="797"/>
      <c r="S144" s="790"/>
      <c r="T144" s="791"/>
    </row>
    <row r="145" spans="2:38" ht="15.75" customHeight="1">
      <c r="B145" s="789"/>
      <c r="C145" s="797"/>
      <c r="D145" s="797"/>
      <c r="E145" s="3061"/>
      <c r="F145" s="3061"/>
      <c r="G145" s="3059"/>
      <c r="H145" s="3062" t="s">
        <v>243</v>
      </c>
      <c r="I145" s="3062"/>
      <c r="J145" s="3062"/>
      <c r="K145" s="3062"/>
      <c r="L145" s="3062"/>
      <c r="M145" s="3062"/>
      <c r="N145" s="3062"/>
      <c r="O145" s="797"/>
      <c r="P145" s="797"/>
      <c r="Q145" s="797"/>
      <c r="R145" s="797"/>
      <c r="S145" s="790"/>
      <c r="T145" s="791"/>
    </row>
    <row r="146" spans="2:38" ht="6" customHeight="1">
      <c r="B146" s="789"/>
      <c r="C146" s="797"/>
      <c r="D146" s="797"/>
      <c r="E146" s="797"/>
      <c r="F146" s="797"/>
      <c r="G146" s="3059">
        <v>3</v>
      </c>
      <c r="H146" s="797"/>
      <c r="I146" s="797"/>
      <c r="J146" s="797"/>
      <c r="K146" s="797"/>
      <c r="L146" s="797"/>
      <c r="M146" s="797"/>
      <c r="N146" s="797"/>
      <c r="O146" s="797"/>
      <c r="P146" s="797"/>
      <c r="Q146" s="797"/>
      <c r="R146" s="797"/>
      <c r="S146" s="790"/>
      <c r="T146" s="791"/>
    </row>
    <row r="147" spans="2:38" ht="15.75" customHeight="1">
      <c r="B147" s="789"/>
      <c r="C147" s="797"/>
      <c r="D147" s="797"/>
      <c r="E147" s="3061"/>
      <c r="F147" s="3061"/>
      <c r="G147" s="3059"/>
      <c r="H147" s="3062" t="s">
        <v>244</v>
      </c>
      <c r="I147" s="3062"/>
      <c r="J147" s="3062"/>
      <c r="K147" s="3062"/>
      <c r="L147" s="3062"/>
      <c r="M147" s="3062"/>
      <c r="N147" s="3062"/>
      <c r="O147" s="797"/>
      <c r="P147" s="797"/>
      <c r="Q147" s="797"/>
      <c r="R147" s="797"/>
      <c r="S147" s="790"/>
      <c r="T147" s="791"/>
    </row>
    <row r="148" spans="2:38" ht="6" customHeight="1">
      <c r="B148" s="789"/>
      <c r="C148" s="797"/>
      <c r="D148" s="797"/>
      <c r="E148" s="797"/>
      <c r="F148" s="797"/>
      <c r="G148" s="3059">
        <v>4</v>
      </c>
      <c r="H148" s="797"/>
      <c r="I148" s="797"/>
      <c r="J148" s="797"/>
      <c r="K148" s="797"/>
      <c r="L148" s="797"/>
      <c r="M148" s="797"/>
      <c r="N148" s="797"/>
      <c r="O148" s="797"/>
      <c r="P148" s="797"/>
      <c r="Q148" s="797"/>
      <c r="R148" s="797"/>
      <c r="S148" s="790"/>
      <c r="T148" s="791"/>
    </row>
    <row r="149" spans="2:38" ht="15.75" customHeight="1">
      <c r="B149" s="789"/>
      <c r="C149" s="797"/>
      <c r="D149" s="797"/>
      <c r="E149" s="3061"/>
      <c r="F149" s="3061"/>
      <c r="G149" s="3059"/>
      <c r="H149" s="3062" t="s">
        <v>245</v>
      </c>
      <c r="I149" s="3062"/>
      <c r="J149" s="3062"/>
      <c r="K149" s="3062"/>
      <c r="L149" s="3062"/>
      <c r="M149" s="3062"/>
      <c r="N149" s="3062"/>
      <c r="O149" s="797"/>
      <c r="P149" s="797"/>
      <c r="Q149" s="797"/>
      <c r="R149" s="797"/>
      <c r="S149" s="790"/>
      <c r="T149" s="791"/>
    </row>
    <row r="150" spans="2:38" ht="6" customHeight="1">
      <c r="B150" s="789"/>
      <c r="C150" s="797"/>
      <c r="D150" s="797"/>
      <c r="E150" s="797"/>
      <c r="F150" s="797"/>
      <c r="G150" s="3059">
        <v>5</v>
      </c>
      <c r="H150" s="797"/>
      <c r="I150" s="797"/>
      <c r="J150" s="797"/>
      <c r="K150" s="797"/>
      <c r="L150" s="797"/>
      <c r="M150" s="797"/>
      <c r="N150" s="797"/>
      <c r="O150" s="797"/>
      <c r="P150" s="797"/>
      <c r="Q150" s="797"/>
      <c r="R150" s="797"/>
      <c r="S150" s="790"/>
      <c r="T150" s="791"/>
    </row>
    <row r="151" spans="2:38" ht="15.75" customHeight="1">
      <c r="B151" s="789"/>
      <c r="C151" s="797"/>
      <c r="D151" s="797"/>
      <c r="E151" s="3061"/>
      <c r="F151" s="3061"/>
      <c r="G151" s="3059"/>
      <c r="H151" s="3062" t="s">
        <v>246</v>
      </c>
      <c r="I151" s="3062"/>
      <c r="J151" s="3062"/>
      <c r="K151" s="3062"/>
      <c r="L151" s="3062"/>
      <c r="M151" s="3062"/>
      <c r="N151" s="3062"/>
      <c r="O151" s="797"/>
      <c r="P151" s="797"/>
      <c r="Q151" s="797"/>
      <c r="R151" s="797"/>
      <c r="S151" s="790"/>
      <c r="T151" s="791"/>
    </row>
    <row r="152" spans="2:38" ht="16.5" customHeight="1" thickBot="1">
      <c r="B152" s="808"/>
      <c r="C152" s="853"/>
      <c r="D152" s="853"/>
      <c r="E152" s="853"/>
      <c r="F152" s="853"/>
      <c r="G152" s="2396"/>
      <c r="H152" s="853"/>
      <c r="I152" s="853"/>
      <c r="J152" s="853"/>
      <c r="K152" s="853"/>
      <c r="L152" s="853"/>
      <c r="M152" s="853"/>
      <c r="N152" s="853"/>
      <c r="O152" s="853"/>
      <c r="P152" s="853"/>
      <c r="Q152" s="853"/>
      <c r="R152" s="853"/>
      <c r="S152" s="825"/>
      <c r="T152" s="826"/>
    </row>
    <row r="153" spans="2:38" ht="27.75" customHeight="1">
      <c r="B153" s="588"/>
      <c r="C153" s="587"/>
      <c r="D153" s="587"/>
      <c r="E153" s="587"/>
      <c r="R153" s="1178"/>
      <c r="S153" s="1178"/>
      <c r="T153" s="1178"/>
    </row>
    <row r="154" spans="2:38" ht="24" customHeight="1">
      <c r="B154" s="938" t="s">
        <v>247</v>
      </c>
      <c r="C154" s="842"/>
      <c r="D154" s="842"/>
      <c r="E154" s="842"/>
      <c r="F154" s="842"/>
      <c r="G154" s="842"/>
      <c r="H154" s="842"/>
      <c r="I154" s="842"/>
      <c r="J154" s="842"/>
      <c r="K154" s="842"/>
      <c r="L154" s="842"/>
      <c r="M154" s="842"/>
      <c r="N154" s="843"/>
      <c r="O154" s="843"/>
      <c r="P154" s="843"/>
      <c r="Q154" s="843"/>
      <c r="R154" s="771"/>
      <c r="S154" s="771"/>
      <c r="T154" s="771"/>
      <c r="AF154" s="239"/>
      <c r="AG154" s="240"/>
      <c r="AH154" s="240"/>
      <c r="AI154" s="240"/>
      <c r="AJ154" s="55"/>
      <c r="AK154" s="55"/>
      <c r="AL154" s="55"/>
    </row>
    <row r="155" spans="2:38" ht="11.25" customHeight="1" thickBot="1"/>
    <row r="156" spans="2:38" ht="14.25" customHeight="1">
      <c r="B156" s="774"/>
      <c r="C156" s="775"/>
      <c r="D156" s="775"/>
      <c r="E156" s="775"/>
      <c r="F156" s="775"/>
      <c r="G156" s="776"/>
      <c r="H156" s="777"/>
      <c r="I156" s="777"/>
      <c r="J156" s="777"/>
      <c r="K156" s="777"/>
      <c r="L156" s="777"/>
      <c r="M156" s="777"/>
      <c r="N156" s="777"/>
      <c r="O156" s="777"/>
      <c r="P156" s="777"/>
      <c r="Q156" s="777"/>
      <c r="R156" s="777"/>
      <c r="S156" s="777"/>
      <c r="T156" s="778"/>
    </row>
    <row r="157" spans="2:38" ht="18" customHeight="1">
      <c r="B157" s="779"/>
      <c r="C157" s="780" t="s">
        <v>248</v>
      </c>
      <c r="D157" s="780"/>
      <c r="E157" s="780"/>
      <c r="F157" s="781"/>
      <c r="G157" s="782"/>
      <c r="H157" s="783"/>
      <c r="I157" s="783"/>
      <c r="J157" s="783"/>
      <c r="K157" s="783"/>
      <c r="L157" s="783"/>
      <c r="M157" s="783"/>
      <c r="N157" s="783"/>
      <c r="O157" s="784"/>
      <c r="P157" s="784"/>
      <c r="Q157" s="784"/>
      <c r="R157" s="785"/>
      <c r="S157" s="783"/>
      <c r="T157" s="786"/>
    </row>
    <row r="158" spans="2:38" ht="16.5" customHeight="1">
      <c r="B158" s="787"/>
      <c r="C158" s="788"/>
      <c r="D158" s="788"/>
      <c r="E158" s="788"/>
      <c r="F158" s="788"/>
      <c r="G158" s="788"/>
      <c r="H158" s="783"/>
      <c r="I158" s="783"/>
      <c r="J158" s="783"/>
      <c r="K158" s="783"/>
      <c r="L158" s="783"/>
      <c r="M158" s="783"/>
      <c r="N158" s="783"/>
      <c r="O158" s="783"/>
      <c r="P158" s="783"/>
      <c r="Q158" s="783"/>
      <c r="R158" s="783"/>
      <c r="S158" s="783"/>
      <c r="T158" s="786"/>
    </row>
    <row r="159" spans="2:38" ht="22.5" customHeight="1">
      <c r="B159" s="789"/>
      <c r="C159" s="3066" t="s">
        <v>249</v>
      </c>
      <c r="D159" s="3066"/>
      <c r="E159" s="3066"/>
      <c r="F159" s="3066"/>
      <c r="G159" s="3066"/>
      <c r="H159" s="3066"/>
      <c r="I159" s="3066"/>
      <c r="J159" s="3066"/>
      <c r="K159" s="3066"/>
      <c r="L159" s="3066"/>
      <c r="M159" s="3066"/>
      <c r="N159" s="3066"/>
      <c r="O159" s="3066"/>
      <c r="P159" s="3066"/>
      <c r="Q159" s="3066"/>
      <c r="R159" s="3066"/>
      <c r="S159" s="790"/>
      <c r="T159" s="791"/>
    </row>
    <row r="160" spans="2:38" ht="18.75" customHeight="1">
      <c r="B160" s="789"/>
      <c r="C160" s="3066" t="s">
        <v>250</v>
      </c>
      <c r="D160" s="3066"/>
      <c r="E160" s="3066"/>
      <c r="F160" s="3066"/>
      <c r="G160" s="3066"/>
      <c r="H160" s="3066"/>
      <c r="I160" s="3066"/>
      <c r="J160" s="3066"/>
      <c r="K160" s="3066"/>
      <c r="L160" s="3066"/>
      <c r="M160" s="3066"/>
      <c r="N160" s="3066"/>
      <c r="O160" s="3066"/>
      <c r="P160" s="3066"/>
      <c r="Q160" s="3066"/>
      <c r="R160" s="3066"/>
      <c r="S160" s="790"/>
      <c r="T160" s="791"/>
    </row>
    <row r="161" spans="2:20" ht="10.5" customHeight="1" thickBot="1">
      <c r="B161" s="808"/>
      <c r="C161" s="823"/>
      <c r="D161" s="823"/>
      <c r="E161" s="823"/>
      <c r="F161" s="823"/>
      <c r="G161" s="824"/>
      <c r="H161" s="824"/>
      <c r="I161" s="824"/>
      <c r="J161" s="824"/>
      <c r="K161" s="824"/>
      <c r="L161" s="824"/>
      <c r="M161" s="824"/>
      <c r="N161" s="824"/>
      <c r="O161" s="824"/>
      <c r="P161" s="824"/>
      <c r="Q161" s="824"/>
      <c r="R161" s="824"/>
      <c r="S161" s="825"/>
      <c r="T161" s="826"/>
    </row>
  </sheetData>
  <sheetProtection algorithmName="SHA-512" hashValue="T3SRgtR7LcqZ77KNzzDfxOEJd8hlwlTRhttHCTnB+ABmuuf+jcXlNW24VnR0RFcXo/T9sl+OwY/ILAIF8vlW9Q==" saltValue="7N7yQ1XRiIHVwN7cfzLyag==" spinCount="100000" sheet="1" objects="1" scenarios="1"/>
  <mergeCells count="64">
    <mergeCell ref="O6:R6"/>
    <mergeCell ref="C22:L22"/>
    <mergeCell ref="C24:R24"/>
    <mergeCell ref="C29:R29"/>
    <mergeCell ref="D37:D38"/>
    <mergeCell ref="C48:R48"/>
    <mergeCell ref="C46:R46"/>
    <mergeCell ref="F76:H76"/>
    <mergeCell ref="F67:I67"/>
    <mergeCell ref="C40:R40"/>
    <mergeCell ref="F72:H72"/>
    <mergeCell ref="C60:R60"/>
    <mergeCell ref="F66:I66"/>
    <mergeCell ref="F63:I63"/>
    <mergeCell ref="F64:I64"/>
    <mergeCell ref="F75:I75"/>
    <mergeCell ref="C50:R50"/>
    <mergeCell ref="F62:I62"/>
    <mergeCell ref="F73:H73"/>
    <mergeCell ref="F65:I65"/>
    <mergeCell ref="J72:M74"/>
    <mergeCell ref="P3:T3"/>
    <mergeCell ref="E118:F118"/>
    <mergeCell ref="E116:F116"/>
    <mergeCell ref="H106:R106"/>
    <mergeCell ref="H112:R112"/>
    <mergeCell ref="O35:O36"/>
    <mergeCell ref="G35:G36"/>
    <mergeCell ref="C104:R104"/>
    <mergeCell ref="D34:D35"/>
    <mergeCell ref="C44:R44"/>
    <mergeCell ref="J63:M65"/>
    <mergeCell ref="F78:H78"/>
    <mergeCell ref="H108:R108"/>
    <mergeCell ref="C6:N6"/>
    <mergeCell ref="C69:R69"/>
    <mergeCell ref="F71:H71"/>
    <mergeCell ref="C160:R160"/>
    <mergeCell ref="C82:S82"/>
    <mergeCell ref="F77:H77"/>
    <mergeCell ref="F74:H74"/>
    <mergeCell ref="E145:F145"/>
    <mergeCell ref="H145:N145"/>
    <mergeCell ref="G144:G145"/>
    <mergeCell ref="G142:G143"/>
    <mergeCell ref="E147:F147"/>
    <mergeCell ref="H147:N147"/>
    <mergeCell ref="G146:G147"/>
    <mergeCell ref="E149:F149"/>
    <mergeCell ref="C159:R159"/>
    <mergeCell ref="E143:F143"/>
    <mergeCell ref="H149:N149"/>
    <mergeCell ref="G150:G151"/>
    <mergeCell ref="C80:R80"/>
    <mergeCell ref="G148:G149"/>
    <mergeCell ref="C141:R141"/>
    <mergeCell ref="E151:F151"/>
    <mergeCell ref="H151:N151"/>
    <mergeCell ref="H143:N143"/>
    <mergeCell ref="C120:R120"/>
    <mergeCell ref="H116:N116"/>
    <mergeCell ref="H118:N118"/>
    <mergeCell ref="C114:R114"/>
    <mergeCell ref="H110:R110"/>
  </mergeCells>
  <conditionalFormatting sqref="G150 G148 G146 G144 G142">
    <cfRule type="iconSet" priority="2788">
      <iconSet iconSet="5Rating" showValue="0">
        <cfvo type="percent" val="0"/>
        <cfvo type="num" val="1" gte="0"/>
        <cfvo type="num" val="2" gte="0"/>
        <cfvo type="num" val="3" gte="0"/>
        <cfvo type="num" val="4" gte="0"/>
      </iconSet>
    </cfRule>
  </conditionalFormatting>
  <conditionalFormatting sqref="R20">
    <cfRule type="containsText" dxfId="671" priority="26" operator="containsText" text="Complété">
      <formula>NOT(ISERROR(SEARCH("Complété",R20)))</formula>
    </cfRule>
    <cfRule type="containsText" dxfId="670" priority="27" operator="containsText" text="À compléter">
      <formula>NOT(ISERROR(SEARCH("À compléter",R20)))</formula>
    </cfRule>
  </conditionalFormatting>
  <conditionalFormatting sqref="R58">
    <cfRule type="containsText" dxfId="669" priority="22" operator="containsText" text="Complété">
      <formula>NOT(ISERROR(SEARCH("Complété",R58)))</formula>
    </cfRule>
    <cfRule type="containsText" dxfId="668" priority="23" operator="containsText" text="À compléter">
      <formula>NOT(ISERROR(SEARCH("À compléter",R58)))</formula>
    </cfRule>
  </conditionalFormatting>
  <conditionalFormatting sqref="R102">
    <cfRule type="containsText" dxfId="667" priority="6" operator="containsText" text="Complété">
      <formula>NOT(ISERROR(SEARCH("Complété",R102)))</formula>
    </cfRule>
    <cfRule type="containsText" dxfId="666" priority="7" operator="containsText" text="À compléter">
      <formula>NOT(ISERROR(SEARCH("À compléter",R102)))</formula>
    </cfRule>
  </conditionalFormatting>
  <conditionalFormatting sqref="R157">
    <cfRule type="containsText" dxfId="665" priority="2" operator="containsText" text="Complété">
      <formula>NOT(ISERROR(SEARCH("Complété",R157)))</formula>
    </cfRule>
    <cfRule type="containsText" dxfId="664" priority="3" operator="containsText" text="À compléter">
      <formula>NOT(ISERROR(SEARCH("À compléter",R157)))</formula>
    </cfRule>
  </conditionalFormatting>
  <hyperlinks>
    <hyperlink ref="O6:R6" r:id="rId1" display="https://fr.surveymonkey.com/r/PGA-Eau" xr:uid="{00000000-0004-0000-0300-000000000000}"/>
  </hyperlinks>
  <pageMargins left="0.9" right="0.69" top="0.55118110236220474" bottom="0.55118110236220474" header="0.31496062992125984" footer="0.31496062992125984"/>
  <pageSetup scale="56" fitToHeight="0" orientation="landscape" r:id="rId2"/>
  <headerFooter>
    <oddFooter>&amp;L&amp;9Version 1.0   © CERIU2023&amp;R&amp;9Onglet MODE D'EMPLOI
Page &amp;P de &amp;N</oddFooter>
  </headerFooter>
  <rowBreaks count="2" manualBreakCount="2">
    <brk id="53" max="16383" man="1"/>
    <brk id="99" max="16383"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499984740745262"/>
    <pageSetUpPr fitToPage="1"/>
  </sheetPr>
  <dimension ref="A1:AI190"/>
  <sheetViews>
    <sheetView showGridLines="0" topLeftCell="A185" zoomScaleNormal="100" workbookViewId="0">
      <selection activeCell="A170" sqref="A170"/>
    </sheetView>
  </sheetViews>
  <sheetFormatPr baseColWidth="10" defaultColWidth="11.44140625" defaultRowHeight="14.4"/>
  <cols>
    <col min="1" max="1" width="2" style="28" customWidth="1"/>
    <col min="2" max="2" width="3.44140625" style="28" customWidth="1"/>
    <col min="3" max="3" width="23.5546875" style="28" customWidth="1"/>
    <col min="4" max="11" width="15.44140625" style="28" customWidth="1"/>
    <col min="12" max="12" width="15.109375" style="28" customWidth="1"/>
    <col min="13" max="15" width="15.44140625" style="28" customWidth="1"/>
    <col min="16" max="16" width="3.6640625" style="28" customWidth="1"/>
    <col min="17" max="18" width="3" style="28" customWidth="1"/>
    <col min="19" max="16384" width="11.44140625" style="28"/>
  </cols>
  <sheetData>
    <row r="1" spans="1:35" ht="9" customHeight="1"/>
    <row r="2" spans="1:35" ht="44.25" customHeight="1">
      <c r="B2" s="772" t="s">
        <v>156</v>
      </c>
      <c r="C2" s="769"/>
      <c r="D2" s="769"/>
      <c r="E2" s="769"/>
      <c r="F2" s="769"/>
      <c r="G2" s="769"/>
      <c r="H2" s="769"/>
      <c r="I2" s="769"/>
      <c r="J2" s="769"/>
      <c r="K2" s="769"/>
      <c r="L2" s="770"/>
      <c r="M2" s="770"/>
      <c r="N2" s="770"/>
      <c r="O2" s="773"/>
      <c r="P2" s="773"/>
      <c r="Q2" s="773"/>
    </row>
    <row r="3" spans="1:35" ht="26.25" customHeight="1">
      <c r="B3" s="588"/>
      <c r="C3" s="587"/>
      <c r="M3" s="3070" t="s">
        <v>4041</v>
      </c>
      <c r="N3" s="3071"/>
      <c r="O3" s="3071"/>
      <c r="P3" s="3071"/>
      <c r="Q3" s="3071"/>
    </row>
    <row r="4" spans="1:35" ht="9.75" customHeight="1" thickBot="1">
      <c r="B4" s="475"/>
      <c r="C4" s="476"/>
      <c r="D4" s="476"/>
      <c r="E4" s="476"/>
      <c r="F4" s="476"/>
      <c r="G4" s="476"/>
      <c r="H4" s="476"/>
      <c r="I4" s="476"/>
      <c r="J4" s="476"/>
      <c r="K4" s="476"/>
      <c r="L4" s="35"/>
      <c r="M4" s="35"/>
      <c r="N4" s="35"/>
      <c r="O4" s="58"/>
      <c r="P4" s="58"/>
      <c r="Q4" s="58"/>
    </row>
    <row r="5" spans="1:35" ht="9" customHeight="1">
      <c r="B5" s="844"/>
      <c r="C5" s="845"/>
      <c r="D5" s="845"/>
      <c r="E5" s="845"/>
      <c r="F5" s="845"/>
      <c r="G5" s="845"/>
      <c r="H5" s="845"/>
      <c r="I5" s="845"/>
      <c r="J5" s="845"/>
      <c r="K5" s="845"/>
      <c r="L5" s="845"/>
      <c r="M5" s="845"/>
      <c r="N5" s="845"/>
      <c r="O5" s="845"/>
      <c r="P5" s="846"/>
      <c r="Q5" s="847"/>
    </row>
    <row r="6" spans="1:35" ht="23.25" customHeight="1">
      <c r="B6" s="962" t="s">
        <v>251</v>
      </c>
      <c r="C6" s="783"/>
      <c r="D6" s="797"/>
      <c r="E6" s="797"/>
      <c r="F6" s="797"/>
      <c r="G6" s="783"/>
      <c r="H6" s="961"/>
      <c r="I6" s="3095" t="s">
        <v>252</v>
      </c>
      <c r="J6" s="3108"/>
      <c r="K6" s="3108"/>
      <c r="L6" s="3108"/>
      <c r="M6" s="3108"/>
      <c r="N6" s="3108"/>
      <c r="O6" s="3108"/>
      <c r="P6" s="790"/>
      <c r="Q6" s="791"/>
    </row>
    <row r="7" spans="1:35" ht="10.5" customHeight="1">
      <c r="B7" s="848"/>
      <c r="C7" s="1182"/>
      <c r="D7" s="797"/>
      <c r="E7" s="797"/>
      <c r="F7" s="797"/>
      <c r="G7" s="783"/>
      <c r="H7" s="849"/>
      <c r="I7" s="3096"/>
      <c r="J7" s="783"/>
      <c r="K7" s="850"/>
      <c r="L7" s="783"/>
      <c r="M7" s="851"/>
      <c r="N7" s="850"/>
      <c r="O7" s="1175"/>
      <c r="P7" s="790"/>
      <c r="Q7" s="791"/>
    </row>
    <row r="8" spans="1:35" s="72" customFormat="1" ht="19.5" customHeight="1">
      <c r="B8" s="789"/>
      <c r="C8" s="1183" t="s">
        <v>253</v>
      </c>
      <c r="D8" s="860" t="s">
        <v>254</v>
      </c>
      <c r="E8" s="861"/>
      <c r="F8" s="861"/>
      <c r="G8" s="861"/>
      <c r="H8" s="862"/>
      <c r="I8" s="863" t="str">
        <f>O19</f>
        <v>À compléter</v>
      </c>
      <c r="J8" s="861"/>
      <c r="K8" s="867"/>
      <c r="L8" s="867"/>
      <c r="M8" s="867"/>
      <c r="N8" s="867"/>
      <c r="O8" s="868"/>
      <c r="P8" s="790"/>
      <c r="Q8" s="791"/>
    </row>
    <row r="9" spans="1:35" s="72" customFormat="1" ht="19.5" customHeight="1">
      <c r="B9" s="789"/>
      <c r="C9" s="1184" t="s">
        <v>255</v>
      </c>
      <c r="D9" s="854" t="s">
        <v>256</v>
      </c>
      <c r="E9" s="855"/>
      <c r="F9" s="855"/>
      <c r="G9" s="856"/>
      <c r="H9" s="857"/>
      <c r="I9" s="858" t="str">
        <f>O39</f>
        <v>À compléter</v>
      </c>
      <c r="J9" s="856"/>
      <c r="K9" s="867"/>
      <c r="L9" s="867"/>
      <c r="M9" s="867"/>
      <c r="N9" s="867"/>
      <c r="O9" s="868"/>
      <c r="P9" s="790"/>
      <c r="Q9" s="791"/>
    </row>
    <row r="10" spans="1:35" s="72" customFormat="1" ht="19.5" customHeight="1">
      <c r="B10" s="789"/>
      <c r="C10" s="1184" t="s">
        <v>257</v>
      </c>
      <c r="D10" s="854" t="s">
        <v>2384</v>
      </c>
      <c r="E10" s="855"/>
      <c r="F10" s="855"/>
      <c r="G10" s="859"/>
      <c r="H10" s="857"/>
      <c r="I10" s="858" t="str">
        <f>O56</f>
        <v>À compléter</v>
      </c>
      <c r="J10" s="859"/>
      <c r="K10" s="867"/>
      <c r="L10" s="867"/>
      <c r="M10" s="867"/>
      <c r="N10" s="867"/>
      <c r="O10" s="868"/>
      <c r="P10" s="790"/>
      <c r="Q10" s="791"/>
    </row>
    <row r="11" spans="1:35" s="72" customFormat="1" ht="19.5" customHeight="1">
      <c r="B11" s="789"/>
      <c r="C11" s="1184" t="s">
        <v>258</v>
      </c>
      <c r="D11" s="854" t="s">
        <v>259</v>
      </c>
      <c r="E11" s="855"/>
      <c r="F11" s="855"/>
      <c r="G11" s="859"/>
      <c r="H11" s="857"/>
      <c r="I11" s="858" t="str">
        <f>O111</f>
        <v>À compléter</v>
      </c>
      <c r="J11" s="859"/>
      <c r="K11" s="867"/>
      <c r="L11" s="867"/>
      <c r="M11" s="867"/>
      <c r="N11" s="867"/>
      <c r="O11" s="868"/>
      <c r="P11" s="790"/>
      <c r="Q11" s="791"/>
    </row>
    <row r="12" spans="1:35" s="72" customFormat="1" ht="19.5" customHeight="1">
      <c r="B12" s="789"/>
      <c r="C12" s="1185" t="s">
        <v>260</v>
      </c>
      <c r="D12" s="911" t="s">
        <v>261</v>
      </c>
      <c r="E12" s="912"/>
      <c r="F12" s="912"/>
      <c r="G12" s="913"/>
      <c r="H12" s="914"/>
      <c r="I12" s="915" t="str">
        <f>O151</f>
        <v>À compléter</v>
      </c>
      <c r="J12" s="913"/>
      <c r="K12" s="867"/>
      <c r="L12" s="867"/>
      <c r="M12" s="867"/>
      <c r="N12" s="867"/>
      <c r="O12" s="868"/>
      <c r="P12" s="790"/>
      <c r="Q12" s="791"/>
    </row>
    <row r="13" spans="1:35" s="72" customFormat="1" ht="19.5" customHeight="1">
      <c r="B13" s="789"/>
      <c r="C13" s="1186" t="s">
        <v>262</v>
      </c>
      <c r="D13" s="864" t="s">
        <v>263</v>
      </c>
      <c r="E13" s="865"/>
      <c r="F13" s="865"/>
      <c r="G13" s="865"/>
      <c r="H13" s="866"/>
      <c r="I13" s="870" t="str">
        <f>O173</f>
        <v>À compléter</v>
      </c>
      <c r="J13" s="865"/>
      <c r="K13" s="868"/>
      <c r="L13" s="868"/>
      <c r="M13" s="868"/>
      <c r="N13" s="868"/>
      <c r="O13" s="868"/>
      <c r="P13" s="790"/>
      <c r="Q13" s="791"/>
    </row>
    <row r="14" spans="1:35" ht="14.25" customHeight="1" thickBot="1">
      <c r="B14" s="808"/>
      <c r="C14" s="805"/>
      <c r="D14" s="805"/>
      <c r="E14" s="805"/>
      <c r="F14" s="852"/>
      <c r="G14" s="852"/>
      <c r="H14" s="852"/>
      <c r="I14" s="852"/>
      <c r="J14" s="794"/>
      <c r="K14" s="794"/>
      <c r="L14" s="794"/>
      <c r="M14" s="853"/>
      <c r="N14" s="853"/>
      <c r="O14" s="853"/>
      <c r="P14" s="825"/>
      <c r="Q14" s="826"/>
    </row>
    <row r="15" spans="1:35" ht="18.75" customHeight="1">
      <c r="B15" s="475"/>
      <c r="C15" s="476"/>
      <c r="D15" s="476"/>
      <c r="E15" s="476"/>
      <c r="F15" s="476"/>
      <c r="G15" s="476"/>
      <c r="H15" s="476"/>
      <c r="I15" s="476"/>
      <c r="J15" s="476"/>
      <c r="K15" s="476"/>
      <c r="L15" s="35"/>
      <c r="M15" s="35"/>
      <c r="N15" s="35"/>
      <c r="O15" s="58"/>
      <c r="P15" s="58"/>
      <c r="Q15" s="58"/>
    </row>
    <row r="16" spans="1:35" ht="24" customHeight="1">
      <c r="A16" s="1187"/>
      <c r="B16" s="841" t="s">
        <v>264</v>
      </c>
      <c r="C16" s="842"/>
      <c r="D16" s="842"/>
      <c r="E16" s="842"/>
      <c r="F16" s="842"/>
      <c r="G16" s="842"/>
      <c r="H16" s="842"/>
      <c r="I16" s="842"/>
      <c r="J16" s="842"/>
      <c r="K16" s="842"/>
      <c r="L16" s="843"/>
      <c r="M16" s="843"/>
      <c r="N16" s="843"/>
      <c r="O16" s="771"/>
      <c r="P16" s="771"/>
      <c r="Q16" s="771"/>
      <c r="AC16" s="239"/>
      <c r="AD16" s="240"/>
      <c r="AE16" s="240"/>
      <c r="AF16" s="240"/>
      <c r="AG16" s="55"/>
      <c r="AH16" s="55"/>
      <c r="AI16" s="55"/>
    </row>
    <row r="17" spans="2:17" ht="12.75" customHeight="1" thickBot="1"/>
    <row r="18" spans="2:17" ht="14.25" customHeight="1">
      <c r="B18" s="774"/>
      <c r="C18" s="775"/>
      <c r="D18" s="775"/>
      <c r="E18" s="776"/>
      <c r="F18" s="777"/>
      <c r="G18" s="777"/>
      <c r="H18" s="777"/>
      <c r="I18" s="777"/>
      <c r="J18" s="777"/>
      <c r="K18" s="777"/>
      <c r="L18" s="777"/>
      <c r="M18" s="777"/>
      <c r="N18" s="777"/>
      <c r="O18" s="777"/>
      <c r="P18" s="777"/>
      <c r="Q18" s="778"/>
    </row>
    <row r="19" spans="2:17" ht="18" customHeight="1">
      <c r="B19" s="779"/>
      <c r="C19" s="780" t="s">
        <v>265</v>
      </c>
      <c r="D19" s="781"/>
      <c r="E19" s="782"/>
      <c r="F19" s="783"/>
      <c r="G19" s="783"/>
      <c r="H19" s="783"/>
      <c r="I19" s="783"/>
      <c r="J19" s="783"/>
      <c r="K19" s="783"/>
      <c r="L19" s="783"/>
      <c r="M19" s="784"/>
      <c r="N19" s="784" t="s">
        <v>219</v>
      </c>
      <c r="O19" s="353" t="str">
        <f>IF((ISBLANK(N32)=FALSE),"Complété","À compléter")</f>
        <v>À compléter</v>
      </c>
      <c r="P19" s="783"/>
      <c r="Q19" s="786"/>
    </row>
    <row r="20" spans="2:17" ht="12" customHeight="1">
      <c r="B20" s="787"/>
      <c r="C20" s="788"/>
      <c r="D20" s="788"/>
      <c r="E20" s="788"/>
      <c r="F20" s="783"/>
      <c r="G20" s="783"/>
      <c r="H20" s="783"/>
      <c r="I20" s="783"/>
      <c r="J20" s="783"/>
      <c r="K20" s="783"/>
      <c r="L20" s="783"/>
      <c r="M20" s="783"/>
      <c r="N20" s="783"/>
      <c r="O20" s="783"/>
      <c r="P20" s="783"/>
      <c r="Q20" s="786"/>
    </row>
    <row r="21" spans="2:17" ht="25.5" customHeight="1">
      <c r="B21" s="789"/>
      <c r="C21" s="3132" t="s">
        <v>266</v>
      </c>
      <c r="D21" s="3133"/>
      <c r="E21" s="3133"/>
      <c r="F21" s="3133"/>
      <c r="G21" s="3133"/>
      <c r="H21" s="3133"/>
      <c r="I21" s="3133"/>
      <c r="J21" s="3133"/>
      <c r="K21" s="3133"/>
      <c r="L21" s="3133"/>
      <c r="M21" s="3133"/>
      <c r="N21" s="3133"/>
      <c r="O21" s="3133"/>
      <c r="P21" s="871"/>
      <c r="Q21" s="791"/>
    </row>
    <row r="22" spans="2:17" ht="20.25" customHeight="1">
      <c r="B22" s="789"/>
      <c r="C22" s="3100" t="s">
        <v>267</v>
      </c>
      <c r="D22" s="3101"/>
      <c r="E22" s="3101"/>
      <c r="F22" s="3101"/>
      <c r="G22" s="3101"/>
      <c r="H22" s="3101"/>
      <c r="I22" s="3101"/>
      <c r="J22" s="3101"/>
      <c r="K22" s="3101"/>
      <c r="L22" s="3101"/>
      <c r="M22" s="3101"/>
      <c r="N22" s="3101"/>
      <c r="O22" s="3101"/>
      <c r="P22" s="673"/>
      <c r="Q22" s="791"/>
    </row>
    <row r="23" spans="2:17" ht="16.5" customHeight="1">
      <c r="B23" s="789"/>
      <c r="C23" s="3124" t="s">
        <v>2385</v>
      </c>
      <c r="D23" s="3125"/>
      <c r="E23" s="3125"/>
      <c r="F23" s="3125"/>
      <c r="G23" s="3125"/>
      <c r="H23" s="3125"/>
      <c r="I23" s="3125"/>
      <c r="J23" s="3125"/>
      <c r="K23" s="3125"/>
      <c r="L23" s="3125"/>
      <c r="M23" s="3125"/>
      <c r="N23" s="3125"/>
      <c r="O23" s="3125"/>
      <c r="P23" s="673"/>
      <c r="Q23" s="791"/>
    </row>
    <row r="24" spans="2:17" ht="34.5" customHeight="1">
      <c r="B24" s="789"/>
      <c r="C24" s="3102" t="s">
        <v>268</v>
      </c>
      <c r="D24" s="3103"/>
      <c r="E24" s="3103"/>
      <c r="F24" s="3103"/>
      <c r="G24" s="3103"/>
      <c r="H24" s="3103"/>
      <c r="I24" s="3103"/>
      <c r="J24" s="3103"/>
      <c r="K24" s="3103"/>
      <c r="L24" s="3103"/>
      <c r="M24" s="3103"/>
      <c r="N24" s="3103"/>
      <c r="O24" s="3103"/>
      <c r="P24" s="673"/>
      <c r="Q24" s="791"/>
    </row>
    <row r="25" spans="2:17" ht="18" customHeight="1">
      <c r="B25" s="789"/>
      <c r="C25" s="3124" t="s">
        <v>2386</v>
      </c>
      <c r="D25" s="3125"/>
      <c r="E25" s="3125"/>
      <c r="F25" s="3125"/>
      <c r="G25" s="3125"/>
      <c r="H25" s="3125"/>
      <c r="I25" s="3125"/>
      <c r="J25" s="3125"/>
      <c r="K25" s="3125"/>
      <c r="L25" s="3125"/>
      <c r="M25" s="3125"/>
      <c r="N25" s="3125"/>
      <c r="O25" s="3125"/>
      <c r="P25" s="673"/>
      <c r="Q25" s="791"/>
    </row>
    <row r="26" spans="2:17" ht="36.75" customHeight="1">
      <c r="B26" s="789"/>
      <c r="C26" s="3100" t="s">
        <v>269</v>
      </c>
      <c r="D26" s="3101"/>
      <c r="E26" s="3101"/>
      <c r="F26" s="3101"/>
      <c r="G26" s="3101"/>
      <c r="H26" s="3101"/>
      <c r="I26" s="3101"/>
      <c r="J26" s="3101"/>
      <c r="K26" s="3101"/>
      <c r="L26" s="3101"/>
      <c r="M26" s="3101"/>
      <c r="N26" s="3101"/>
      <c r="O26" s="3101"/>
      <c r="P26" s="673"/>
      <c r="Q26" s="791"/>
    </row>
    <row r="27" spans="2:17" ht="19.5" customHeight="1">
      <c r="B27" s="789"/>
      <c r="C27" s="872" t="s">
        <v>270</v>
      </c>
      <c r="D27" s="318"/>
      <c r="E27" s="265"/>
      <c r="F27" s="265"/>
      <c r="G27" s="265"/>
      <c r="H27" s="265"/>
      <c r="I27" s="265"/>
      <c r="J27" s="265"/>
      <c r="K27" s="265"/>
      <c r="L27" s="265"/>
      <c r="M27" s="265"/>
      <c r="N27" s="265"/>
      <c r="O27" s="265"/>
      <c r="P27" s="673"/>
      <c r="Q27" s="791"/>
    </row>
    <row r="28" spans="2:17" ht="15.75" customHeight="1">
      <c r="B28" s="789"/>
      <c r="C28" s="873" t="s">
        <v>271</v>
      </c>
      <c r="D28" s="78"/>
      <c r="E28" s="265"/>
      <c r="F28" s="265"/>
      <c r="G28" s="265"/>
      <c r="H28" s="265"/>
      <c r="I28" s="265"/>
      <c r="J28" s="265"/>
      <c r="K28" s="265"/>
      <c r="L28" s="265"/>
      <c r="M28" s="265"/>
      <c r="N28" s="265"/>
      <c r="O28" s="265"/>
      <c r="P28" s="673"/>
      <c r="Q28" s="791"/>
    </row>
    <row r="29" spans="2:17" ht="11.25" customHeight="1">
      <c r="B29" s="789"/>
      <c r="C29" s="3126"/>
      <c r="D29" s="3127"/>
      <c r="E29" s="3127"/>
      <c r="F29" s="3127"/>
      <c r="G29" s="3127"/>
      <c r="H29" s="3127"/>
      <c r="I29" s="3127"/>
      <c r="J29" s="3127"/>
      <c r="K29" s="3127"/>
      <c r="L29" s="3127"/>
      <c r="M29" s="3127"/>
      <c r="N29" s="3127"/>
      <c r="O29" s="3127"/>
      <c r="P29" s="3128"/>
      <c r="Q29" s="791"/>
    </row>
    <row r="30" spans="2:17" ht="13.5" customHeight="1">
      <c r="B30" s="789"/>
      <c r="C30" s="827"/>
      <c r="D30" s="827"/>
      <c r="E30" s="827"/>
      <c r="F30" s="827"/>
      <c r="G30" s="827"/>
      <c r="H30" s="827"/>
      <c r="I30" s="827"/>
      <c r="J30" s="827"/>
      <c r="K30" s="827"/>
      <c r="L30" s="827"/>
      <c r="M30" s="827"/>
      <c r="N30" s="828"/>
      <c r="O30" s="828"/>
      <c r="P30" s="790"/>
      <c r="Q30" s="791"/>
    </row>
    <row r="31" spans="2:17" ht="10.5" customHeight="1">
      <c r="B31" s="789"/>
      <c r="C31" s="258"/>
      <c r="D31" s="259"/>
      <c r="E31" s="275"/>
      <c r="F31" s="275"/>
      <c r="G31" s="275"/>
      <c r="H31" s="275"/>
      <c r="I31" s="275"/>
      <c r="J31" s="275"/>
      <c r="K31" s="275"/>
      <c r="L31" s="275"/>
      <c r="M31" s="275"/>
      <c r="N31" s="275"/>
      <c r="O31" s="275"/>
      <c r="P31" s="261"/>
      <c r="Q31" s="791"/>
    </row>
    <row r="32" spans="2:17" ht="30.75" customHeight="1">
      <c r="B32" s="829" t="str">
        <f>IF(ISBLANK(N32)=FALSE,"","u")</f>
        <v>u</v>
      </c>
      <c r="C32" s="3104" t="s">
        <v>2387</v>
      </c>
      <c r="D32" s="3105"/>
      <c r="E32" s="3105"/>
      <c r="F32" s="3105"/>
      <c r="G32" s="3105"/>
      <c r="H32" s="3105"/>
      <c r="I32" s="3105"/>
      <c r="J32" s="3105"/>
      <c r="K32" s="3105"/>
      <c r="L32" s="3105"/>
      <c r="M32" s="3105"/>
      <c r="N32" s="3106"/>
      <c r="O32" s="3107"/>
      <c r="P32" s="931">
        <v>6</v>
      </c>
      <c r="Q32" s="791"/>
    </row>
    <row r="33" spans="1:35" ht="9.75" customHeight="1">
      <c r="B33" s="789"/>
      <c r="C33" s="304"/>
      <c r="D33" s="305"/>
      <c r="E33" s="835"/>
      <c r="F33" s="835"/>
      <c r="G33" s="835"/>
      <c r="H33" s="835"/>
      <c r="I33" s="835"/>
      <c r="J33" s="835"/>
      <c r="K33" s="835"/>
      <c r="L33" s="835"/>
      <c r="M33" s="835"/>
      <c r="N33" s="835"/>
      <c r="O33" s="835"/>
      <c r="P33" s="307"/>
      <c r="Q33" s="791"/>
    </row>
    <row r="34" spans="1:35" ht="14.25" customHeight="1" thickBot="1">
      <c r="B34" s="792"/>
      <c r="C34" s="793"/>
      <c r="D34" s="793"/>
      <c r="E34" s="793"/>
      <c r="F34" s="794"/>
      <c r="G34" s="794"/>
      <c r="H34" s="794"/>
      <c r="I34" s="794"/>
      <c r="J34" s="794"/>
      <c r="K34" s="794"/>
      <c r="L34" s="794"/>
      <c r="M34" s="794"/>
      <c r="N34" s="794"/>
      <c r="O34" s="794"/>
      <c r="P34" s="794"/>
      <c r="Q34" s="795"/>
    </row>
    <row r="35" spans="1:35" ht="18.75" customHeight="1">
      <c r="B35" s="475"/>
      <c r="C35" s="476"/>
      <c r="D35" s="476"/>
      <c r="E35" s="476"/>
      <c r="F35" s="476"/>
      <c r="G35" s="476"/>
      <c r="H35" s="476"/>
      <c r="I35" s="476"/>
      <c r="J35" s="476"/>
      <c r="K35" s="476"/>
      <c r="L35" s="35"/>
      <c r="M35" s="35"/>
      <c r="N35" s="35"/>
      <c r="O35" s="58"/>
      <c r="P35" s="58"/>
      <c r="Q35" s="58"/>
    </row>
    <row r="36" spans="1:35" ht="24" customHeight="1">
      <c r="A36" s="1187"/>
      <c r="B36" s="841" t="s">
        <v>273</v>
      </c>
      <c r="C36" s="842"/>
      <c r="D36" s="842"/>
      <c r="E36" s="842"/>
      <c r="F36" s="842"/>
      <c r="G36" s="842"/>
      <c r="H36" s="842"/>
      <c r="I36" s="842"/>
      <c r="J36" s="842"/>
      <c r="K36" s="842"/>
      <c r="L36" s="843"/>
      <c r="M36" s="843"/>
      <c r="N36" s="843"/>
      <c r="O36" s="771"/>
      <c r="P36" s="771"/>
      <c r="Q36" s="771"/>
      <c r="AC36" s="239"/>
      <c r="AD36" s="240"/>
      <c r="AE36" s="240"/>
      <c r="AF36" s="240"/>
      <c r="AG36" s="55"/>
      <c r="AH36" s="55"/>
      <c r="AI36" s="55"/>
    </row>
    <row r="37" spans="1:35" ht="12.75" customHeight="1" thickBot="1"/>
    <row r="38" spans="1:35" ht="14.25" customHeight="1">
      <c r="B38" s="774"/>
      <c r="C38" s="775"/>
      <c r="D38" s="775"/>
      <c r="E38" s="776"/>
      <c r="F38" s="777"/>
      <c r="G38" s="777"/>
      <c r="H38" s="777"/>
      <c r="I38" s="777"/>
      <c r="J38" s="777"/>
      <c r="K38" s="777"/>
      <c r="L38" s="777"/>
      <c r="M38" s="777"/>
      <c r="N38" s="777"/>
      <c r="O38" s="777"/>
      <c r="P38" s="777"/>
      <c r="Q38" s="778"/>
    </row>
    <row r="39" spans="1:35" ht="18" customHeight="1">
      <c r="B39" s="779"/>
      <c r="C39" s="836" t="s">
        <v>274</v>
      </c>
      <c r="D39" s="830"/>
      <c r="E39" s="831"/>
      <c r="F39" s="832"/>
      <c r="G39" s="832"/>
      <c r="H39" s="832"/>
      <c r="I39" s="832"/>
      <c r="J39" s="832"/>
      <c r="K39" s="832"/>
      <c r="L39" s="832"/>
      <c r="M39" s="833"/>
      <c r="N39" s="784" t="s">
        <v>219</v>
      </c>
      <c r="O39" s="353" t="str">
        <f>IF((ISBLANK(N49)=FALSE),"Complété","À compléter")</f>
        <v>À compléter</v>
      </c>
      <c r="P39" s="783"/>
      <c r="Q39" s="786"/>
    </row>
    <row r="40" spans="1:35" ht="12" customHeight="1">
      <c r="B40" s="787"/>
      <c r="C40" s="834"/>
      <c r="D40" s="834"/>
      <c r="E40" s="834"/>
      <c r="F40" s="832"/>
      <c r="G40" s="832"/>
      <c r="H40" s="832"/>
      <c r="I40" s="832"/>
      <c r="J40" s="832"/>
      <c r="K40" s="832"/>
      <c r="L40" s="832"/>
      <c r="M40" s="832"/>
      <c r="N40" s="832"/>
      <c r="O40" s="832"/>
      <c r="P40" s="783"/>
      <c r="Q40" s="786"/>
    </row>
    <row r="41" spans="1:35" ht="27" customHeight="1">
      <c r="B41" s="789"/>
      <c r="C41" s="3132" t="s">
        <v>266</v>
      </c>
      <c r="D41" s="3133"/>
      <c r="E41" s="3133"/>
      <c r="F41" s="3133"/>
      <c r="G41" s="3133"/>
      <c r="H41" s="3133"/>
      <c r="I41" s="3133"/>
      <c r="J41" s="3133"/>
      <c r="K41" s="3133"/>
      <c r="L41" s="3133"/>
      <c r="M41" s="3133"/>
      <c r="N41" s="3133"/>
      <c r="O41" s="3133"/>
      <c r="P41" s="871"/>
      <c r="Q41" s="791"/>
    </row>
    <row r="42" spans="1:35" ht="20.25" customHeight="1">
      <c r="B42" s="787"/>
      <c r="C42" s="3100" t="s">
        <v>275</v>
      </c>
      <c r="D42" s="3101"/>
      <c r="E42" s="3101"/>
      <c r="F42" s="3101"/>
      <c r="G42" s="3101"/>
      <c r="H42" s="3101"/>
      <c r="I42" s="3101"/>
      <c r="J42" s="3101"/>
      <c r="K42" s="3101"/>
      <c r="L42" s="3101"/>
      <c r="M42" s="3101"/>
      <c r="N42" s="3101"/>
      <c r="O42" s="3101"/>
      <c r="P42" s="874"/>
      <c r="Q42" s="786"/>
    </row>
    <row r="43" spans="1:35" ht="18" customHeight="1">
      <c r="B43" s="787"/>
      <c r="C43" s="3102" t="s">
        <v>132</v>
      </c>
      <c r="D43" s="3103"/>
      <c r="E43" s="3103"/>
      <c r="F43" s="3103"/>
      <c r="G43" s="3103"/>
      <c r="H43" s="3103"/>
      <c r="I43" s="3103"/>
      <c r="J43" s="3103"/>
      <c r="K43" s="3103"/>
      <c r="L43" s="3103"/>
      <c r="M43" s="3103"/>
      <c r="N43" s="3103"/>
      <c r="O43" s="3103"/>
      <c r="P43" s="874"/>
      <c r="Q43" s="786"/>
    </row>
    <row r="44" spans="1:35" ht="54.75" customHeight="1">
      <c r="B44" s="787"/>
      <c r="C44" s="3102" t="s">
        <v>276</v>
      </c>
      <c r="D44" s="3103"/>
      <c r="E44" s="3103"/>
      <c r="F44" s="3103"/>
      <c r="G44" s="3103"/>
      <c r="H44" s="3103"/>
      <c r="I44" s="3103"/>
      <c r="J44" s="3103"/>
      <c r="K44" s="3103"/>
      <c r="L44" s="3103"/>
      <c r="M44" s="3103"/>
      <c r="N44" s="3103"/>
      <c r="O44" s="3103"/>
      <c r="P44" s="874"/>
      <c r="Q44" s="786"/>
    </row>
    <row r="45" spans="1:35" ht="23.25" customHeight="1">
      <c r="B45" s="789"/>
      <c r="C45" s="3148" t="s">
        <v>277</v>
      </c>
      <c r="D45" s="3149"/>
      <c r="E45" s="3149"/>
      <c r="F45" s="3149"/>
      <c r="G45" s="3149"/>
      <c r="H45" s="3149"/>
      <c r="I45" s="3149"/>
      <c r="J45" s="3149"/>
      <c r="K45" s="3149"/>
      <c r="L45" s="3149"/>
      <c r="M45" s="3149"/>
      <c r="N45" s="3149"/>
      <c r="O45" s="3149"/>
      <c r="P45" s="874"/>
      <c r="Q45" s="791"/>
    </row>
    <row r="46" spans="1:35" ht="27" customHeight="1">
      <c r="B46" s="789"/>
      <c r="C46" s="3150" t="s">
        <v>278</v>
      </c>
      <c r="D46" s="3151"/>
      <c r="E46" s="3151"/>
      <c r="F46" s="3151"/>
      <c r="G46" s="3151"/>
      <c r="H46" s="3151"/>
      <c r="I46" s="3151"/>
      <c r="J46" s="3151"/>
      <c r="K46" s="3151"/>
      <c r="L46" s="3151"/>
      <c r="M46" s="3151"/>
      <c r="N46" s="3151"/>
      <c r="O46" s="3151"/>
      <c r="P46" s="307"/>
      <c r="Q46" s="791"/>
    </row>
    <row r="47" spans="1:35" ht="13.5" customHeight="1">
      <c r="B47" s="789"/>
      <c r="C47" s="827"/>
      <c r="D47" s="827"/>
      <c r="E47" s="827"/>
      <c r="F47" s="827"/>
      <c r="G47" s="827"/>
      <c r="H47" s="827"/>
      <c r="I47" s="827"/>
      <c r="J47" s="827"/>
      <c r="K47" s="827"/>
      <c r="L47" s="827"/>
      <c r="M47" s="827"/>
      <c r="N47" s="828"/>
      <c r="O47" s="828"/>
      <c r="P47" s="790"/>
      <c r="Q47" s="791"/>
    </row>
    <row r="48" spans="1:35" ht="9.75" customHeight="1">
      <c r="B48" s="789"/>
      <c r="C48" s="258"/>
      <c r="D48" s="259"/>
      <c r="E48" s="275"/>
      <c r="F48" s="275"/>
      <c r="G48" s="275"/>
      <c r="H48" s="275"/>
      <c r="I48" s="275"/>
      <c r="J48" s="275"/>
      <c r="K48" s="275"/>
      <c r="L48" s="275"/>
      <c r="M48" s="275"/>
      <c r="N48" s="275"/>
      <c r="O48" s="275"/>
      <c r="P48" s="261"/>
      <c r="Q48" s="791"/>
    </row>
    <row r="49" spans="1:35" ht="30.75" customHeight="1">
      <c r="B49" s="829" t="str">
        <f>IF(ISBLANK(N49)=FALSE,"","u")</f>
        <v>u</v>
      </c>
      <c r="C49" s="3152" t="s">
        <v>279</v>
      </c>
      <c r="D49" s="3153"/>
      <c r="E49" s="3153"/>
      <c r="F49" s="3153"/>
      <c r="G49" s="3153"/>
      <c r="H49" s="3153"/>
      <c r="I49" s="3153"/>
      <c r="J49" s="3153"/>
      <c r="K49" s="3153"/>
      <c r="L49" s="3153"/>
      <c r="M49" s="3153"/>
      <c r="N49" s="3106"/>
      <c r="O49" s="3107"/>
      <c r="P49" s="931">
        <v>6</v>
      </c>
      <c r="Q49" s="791"/>
    </row>
    <row r="50" spans="1:35" ht="9.75" customHeight="1">
      <c r="B50" s="789"/>
      <c r="C50" s="304"/>
      <c r="D50" s="305"/>
      <c r="E50" s="835"/>
      <c r="F50" s="835"/>
      <c r="G50" s="835"/>
      <c r="H50" s="835"/>
      <c r="I50" s="835"/>
      <c r="J50" s="835"/>
      <c r="K50" s="835"/>
      <c r="L50" s="835"/>
      <c r="M50" s="835"/>
      <c r="N50" s="835"/>
      <c r="O50" s="835"/>
      <c r="P50" s="307"/>
      <c r="Q50" s="791"/>
    </row>
    <row r="51" spans="1:35" ht="15" customHeight="1" thickBot="1">
      <c r="B51" s="808"/>
      <c r="C51" s="823"/>
      <c r="D51" s="823"/>
      <c r="E51" s="824"/>
      <c r="F51" s="824"/>
      <c r="G51" s="824"/>
      <c r="H51" s="824"/>
      <c r="I51" s="824"/>
      <c r="J51" s="824"/>
      <c r="K51" s="824"/>
      <c r="L51" s="824"/>
      <c r="M51" s="824"/>
      <c r="N51" s="824"/>
      <c r="O51" s="824"/>
      <c r="P51" s="825"/>
      <c r="Q51" s="826"/>
    </row>
    <row r="52" spans="1:35" ht="18.75" customHeight="1">
      <c r="B52" s="475"/>
      <c r="C52" s="476"/>
      <c r="D52" s="476"/>
      <c r="E52" s="476"/>
      <c r="F52" s="476"/>
      <c r="G52" s="476"/>
      <c r="H52" s="476"/>
      <c r="I52" s="476"/>
      <c r="J52" s="476"/>
      <c r="K52" s="476"/>
      <c r="L52" s="35"/>
      <c r="M52" s="35"/>
      <c r="N52" s="35"/>
      <c r="O52" s="58"/>
      <c r="P52" s="58"/>
      <c r="Q52" s="58"/>
    </row>
    <row r="53" spans="1:35" ht="24" customHeight="1">
      <c r="A53" s="1187"/>
      <c r="B53" s="841" t="s">
        <v>280</v>
      </c>
      <c r="C53" s="842"/>
      <c r="D53" s="842"/>
      <c r="E53" s="842"/>
      <c r="F53" s="842"/>
      <c r="G53" s="842"/>
      <c r="H53" s="842"/>
      <c r="I53" s="842"/>
      <c r="J53" s="842"/>
      <c r="K53" s="842"/>
      <c r="L53" s="843"/>
      <c r="M53" s="843"/>
      <c r="N53" s="843"/>
      <c r="O53" s="771"/>
      <c r="P53" s="771"/>
      <c r="Q53" s="771"/>
      <c r="AC53" s="239"/>
      <c r="AD53" s="240"/>
      <c r="AE53" s="240"/>
      <c r="AF53" s="240"/>
      <c r="AG53" s="55"/>
      <c r="AH53" s="55"/>
      <c r="AI53" s="55"/>
    </row>
    <row r="54" spans="1:35" ht="12.75" customHeight="1" thickBot="1"/>
    <row r="55" spans="1:35" ht="14.25" customHeight="1">
      <c r="B55" s="774"/>
      <c r="C55" s="775"/>
      <c r="D55" s="775"/>
      <c r="E55" s="776"/>
      <c r="F55" s="777"/>
      <c r="G55" s="777"/>
      <c r="H55" s="777"/>
      <c r="I55" s="777"/>
      <c r="J55" s="777"/>
      <c r="K55" s="777"/>
      <c r="L55" s="777"/>
      <c r="M55" s="777"/>
      <c r="N55" s="777"/>
      <c r="O55" s="777"/>
      <c r="P55" s="777"/>
      <c r="Q55" s="778"/>
    </row>
    <row r="56" spans="1:35" ht="18" customHeight="1">
      <c r="B56" s="779"/>
      <c r="C56" s="836" t="s">
        <v>281</v>
      </c>
      <c r="D56" s="781"/>
      <c r="E56" s="782"/>
      <c r="F56" s="783"/>
      <c r="G56" s="783"/>
      <c r="H56" s="783"/>
      <c r="I56" s="783"/>
      <c r="J56" s="783"/>
      <c r="K56" s="783"/>
      <c r="L56" s="783"/>
      <c r="M56" s="783"/>
      <c r="N56" s="784" t="s">
        <v>219</v>
      </c>
      <c r="O56" s="353" t="str">
        <f>IF(COUNTBLANK(B61:B104)=ROWS(B61:B104),"Complété","À compléter")</f>
        <v>À compléter</v>
      </c>
      <c r="P56" s="783"/>
      <c r="Q56" s="786"/>
    </row>
    <row r="57" spans="1:35" ht="23.25" customHeight="1">
      <c r="B57" s="779"/>
      <c r="C57" s="783" t="s">
        <v>2403</v>
      </c>
      <c r="D57" s="781"/>
      <c r="E57" s="782"/>
      <c r="F57" s="783"/>
      <c r="G57" s="783"/>
      <c r="H57" s="783"/>
      <c r="I57" s="783"/>
      <c r="J57" s="783"/>
      <c r="K57" s="783"/>
      <c r="L57" s="783"/>
      <c r="M57" s="783"/>
      <c r="N57" s="784"/>
      <c r="O57" s="783"/>
      <c r="P57" s="783"/>
      <c r="Q57" s="786"/>
    </row>
    <row r="58" spans="1:35" ht="18" customHeight="1">
      <c r="B58" s="779"/>
      <c r="C58" s="868" t="s">
        <v>2404</v>
      </c>
      <c r="D58" s="781"/>
      <c r="E58" s="782"/>
      <c r="F58" s="783"/>
      <c r="G58" s="783"/>
      <c r="H58" s="783"/>
      <c r="I58" s="783"/>
      <c r="J58" s="783"/>
      <c r="K58" s="783"/>
      <c r="L58" s="783"/>
      <c r="M58" s="783"/>
      <c r="N58" s="784"/>
      <c r="O58" s="783"/>
      <c r="P58" s="783"/>
      <c r="Q58" s="786"/>
    </row>
    <row r="59" spans="1:35" ht="3.75" customHeight="1">
      <c r="B59" s="787"/>
      <c r="C59" s="788"/>
      <c r="D59" s="788"/>
      <c r="E59" s="788"/>
      <c r="F59" s="783"/>
      <c r="G59" s="783"/>
      <c r="H59" s="783"/>
      <c r="I59" s="783"/>
      <c r="J59" s="783"/>
      <c r="K59" s="783"/>
      <c r="L59" s="783"/>
      <c r="M59" s="783"/>
      <c r="N59" s="783"/>
      <c r="O59" s="783"/>
      <c r="P59" s="783"/>
      <c r="Q59" s="786"/>
    </row>
    <row r="60" spans="1:35" ht="6.75" customHeight="1">
      <c r="B60" s="787"/>
      <c r="C60" s="788"/>
      <c r="D60" s="788"/>
      <c r="E60" s="788"/>
      <c r="F60" s="783"/>
      <c r="G60" s="783"/>
      <c r="H60" s="783"/>
      <c r="I60" s="783"/>
      <c r="J60" s="783"/>
      <c r="K60" s="783"/>
      <c r="L60" s="783"/>
      <c r="M60" s="783"/>
      <c r="N60" s="783"/>
      <c r="O60" s="783"/>
      <c r="P60" s="783"/>
      <c r="Q60" s="786"/>
    </row>
    <row r="61" spans="1:35" ht="9.6" customHeight="1">
      <c r="B61" s="789"/>
      <c r="C61" s="258"/>
      <c r="D61" s="881"/>
      <c r="E61" s="260"/>
      <c r="F61" s="260"/>
      <c r="G61" s="260"/>
      <c r="H61" s="260"/>
      <c r="I61" s="260"/>
      <c r="J61" s="260"/>
      <c r="K61" s="260"/>
      <c r="L61" s="260"/>
      <c r="M61" s="260"/>
      <c r="N61" s="260"/>
      <c r="O61" s="260"/>
      <c r="P61" s="261"/>
      <c r="Q61" s="791"/>
    </row>
    <row r="62" spans="1:35" ht="28.95" customHeight="1">
      <c r="B62" s="829" t="str">
        <f>IF(ISBLANK(D62)=FALSE,"","u")</f>
        <v>u</v>
      </c>
      <c r="C62" s="957" t="s">
        <v>282</v>
      </c>
      <c r="D62" s="3134"/>
      <c r="E62" s="3135"/>
      <c r="F62" s="3136"/>
      <c r="G62" s="2809">
        <v>6</v>
      </c>
      <c r="H62" s="3137"/>
      <c r="I62" s="3137"/>
      <c r="J62" s="3137"/>
      <c r="K62" s="3137"/>
      <c r="L62" s="2409"/>
      <c r="M62" s="3137"/>
      <c r="N62" s="3137"/>
      <c r="O62" s="3137"/>
      <c r="P62" s="604"/>
      <c r="Q62" s="791"/>
    </row>
    <row r="63" spans="1:35" ht="8.25" customHeight="1">
      <c r="B63" s="789"/>
      <c r="C63" s="268"/>
      <c r="D63" s="269"/>
      <c r="E63" s="270"/>
      <c r="F63" s="270"/>
      <c r="G63" s="270"/>
      <c r="H63" s="270"/>
      <c r="I63" s="271"/>
      <c r="J63" s="272"/>
      <c r="K63" s="272"/>
      <c r="L63" s="272"/>
      <c r="M63" s="272"/>
      <c r="N63" s="272"/>
      <c r="O63" s="272"/>
      <c r="P63" s="273"/>
      <c r="Q63" s="791"/>
    </row>
    <row r="64" spans="1:35" ht="15.75" customHeight="1">
      <c r="B64" s="789"/>
      <c r="C64" s="783"/>
      <c r="D64" s="783"/>
      <c r="E64" s="783"/>
      <c r="F64" s="783"/>
      <c r="G64" s="783"/>
      <c r="H64" s="783"/>
      <c r="I64" s="783"/>
      <c r="J64" s="783"/>
      <c r="K64" s="783"/>
      <c r="L64" s="783"/>
      <c r="M64" s="783"/>
      <c r="N64" s="783"/>
      <c r="O64" s="783"/>
      <c r="P64" s="783"/>
      <c r="Q64" s="791"/>
    </row>
    <row r="65" spans="2:17" ht="18" customHeight="1">
      <c r="B65" s="779"/>
      <c r="C65" s="836" t="s">
        <v>283</v>
      </c>
      <c r="D65" s="783"/>
      <c r="E65" s="783"/>
      <c r="F65" s="783"/>
      <c r="G65" s="783"/>
      <c r="H65" s="783"/>
      <c r="I65" s="783"/>
      <c r="J65" s="783"/>
      <c r="K65" s="783"/>
      <c r="L65" s="783"/>
      <c r="M65" s="783"/>
      <c r="N65" s="783"/>
      <c r="O65" s="783"/>
      <c r="P65" s="783"/>
      <c r="Q65" s="786"/>
    </row>
    <row r="66" spans="2:17" ht="7.95" customHeight="1">
      <c r="B66" s="789"/>
      <c r="C66" s="783"/>
      <c r="D66" s="783"/>
      <c r="E66" s="783"/>
      <c r="F66" s="783"/>
      <c r="G66" s="783"/>
      <c r="H66" s="783"/>
      <c r="I66" s="783"/>
      <c r="J66" s="783"/>
      <c r="K66" s="783"/>
      <c r="L66" s="783"/>
      <c r="M66" s="783"/>
      <c r="N66" s="783"/>
      <c r="O66" s="783"/>
      <c r="P66" s="783"/>
      <c r="Q66" s="791"/>
    </row>
    <row r="67" spans="2:17">
      <c r="B67" s="789"/>
      <c r="C67" s="783" t="s">
        <v>2405</v>
      </c>
      <c r="D67" s="783"/>
      <c r="E67" s="783"/>
      <c r="F67" s="783"/>
      <c r="G67" s="783"/>
      <c r="H67" s="783"/>
      <c r="I67" s="783"/>
      <c r="J67" s="783"/>
      <c r="K67" s="783"/>
      <c r="L67" s="783"/>
      <c r="M67" s="783"/>
      <c r="N67" s="783"/>
      <c r="O67" s="783"/>
      <c r="P67" s="783"/>
      <c r="Q67" s="791"/>
    </row>
    <row r="68" spans="2:17" ht="8.25" customHeight="1">
      <c r="B68" s="789"/>
      <c r="C68" s="783"/>
      <c r="D68" s="783"/>
      <c r="E68" s="783"/>
      <c r="F68" s="783"/>
      <c r="G68" s="783"/>
      <c r="H68" s="783"/>
      <c r="I68" s="783"/>
      <c r="J68" s="783"/>
      <c r="K68" s="783"/>
      <c r="L68" s="783"/>
      <c r="M68" s="783"/>
      <c r="N68" s="783"/>
      <c r="O68" s="783"/>
      <c r="P68" s="783"/>
      <c r="Q68" s="791"/>
    </row>
    <row r="69" spans="2:17" ht="12" customHeight="1">
      <c r="B69" s="789"/>
      <c r="C69" s="783" t="s">
        <v>2406</v>
      </c>
      <c r="D69" s="783"/>
      <c r="E69" s="783"/>
      <c r="F69" s="783"/>
      <c r="G69" s="783"/>
      <c r="H69" s="783"/>
      <c r="I69" s="783"/>
      <c r="J69" s="783"/>
      <c r="K69" s="783"/>
      <c r="L69" s="783"/>
      <c r="M69" s="783"/>
      <c r="N69" s="783"/>
      <c r="O69" s="783"/>
      <c r="P69" s="783"/>
      <c r="Q69" s="791"/>
    </row>
    <row r="70" spans="2:17" ht="7.2" customHeight="1">
      <c r="B70" s="789"/>
      <c r="C70" s="807"/>
      <c r="D70" s="807"/>
      <c r="E70" s="790"/>
      <c r="F70" s="790"/>
      <c r="G70" s="790"/>
      <c r="H70" s="790"/>
      <c r="I70" s="790"/>
      <c r="J70" s="790"/>
      <c r="K70" s="790"/>
      <c r="L70" s="790"/>
      <c r="M70" s="790"/>
      <c r="N70" s="790"/>
      <c r="O70" s="790"/>
      <c r="P70" s="790"/>
      <c r="Q70" s="791"/>
    </row>
    <row r="71" spans="2:17" ht="18" customHeight="1">
      <c r="B71" s="789"/>
      <c r="C71" s="258"/>
      <c r="D71" s="881"/>
      <c r="E71" s="260"/>
      <c r="F71" s="260"/>
      <c r="G71" s="260"/>
      <c r="H71" s="260"/>
      <c r="I71" s="260"/>
      <c r="J71" s="260"/>
      <c r="K71" s="260"/>
      <c r="L71" s="260"/>
      <c r="M71" s="260"/>
      <c r="N71" s="260"/>
      <c r="O71" s="260"/>
      <c r="P71" s="261"/>
      <c r="Q71" s="791"/>
    </row>
    <row r="72" spans="2:17" ht="29.25" customHeight="1">
      <c r="B72" s="829" t="str">
        <f>IF(OR(IDENTIFICATION!$D$62='MENU DÉROULANT'!$D$20,IDENTIFICATION!$D$62='MENU DÉROULANT'!$D$21,AND(ISBLANK(D72)=FALSE,D73="")),"","u")</f>
        <v>u</v>
      </c>
      <c r="C72" s="957" t="s">
        <v>2407</v>
      </c>
      <c r="D72" s="3129"/>
      <c r="E72" s="3130"/>
      <c r="F72" s="3131"/>
      <c r="G72" s="902" t="s">
        <v>283</v>
      </c>
      <c r="H72" s="3138" t="str">
        <f>IF(ISBLANK($D$72)=TRUE,"",VLOOKUP($D$72,'Liste municipalités'!$B$5:$D$1128,2,FALSE))</f>
        <v/>
      </c>
      <c r="I72" s="3140"/>
      <c r="J72" s="3140"/>
      <c r="K72" s="3140"/>
      <c r="L72" s="3139"/>
      <c r="M72" s="901" t="s">
        <v>284</v>
      </c>
      <c r="N72" s="3138" t="str">
        <f>IF(ISBLANK($D$72)=TRUE,"",VLOOKUP($D$72,'Liste municipalités'!$B$5:$D$1128,3,FALSE))</f>
        <v/>
      </c>
      <c r="O72" s="3139"/>
      <c r="P72" s="604"/>
      <c r="Q72" s="791"/>
    </row>
    <row r="73" spans="2:17" ht="19.2" customHeight="1">
      <c r="B73" s="829"/>
      <c r="C73" s="876"/>
      <c r="D73" s="2882" t="str">
        <f>IF(ISNA(H72)=TRUE,"ATTENTION: ceci n'est pas un code géographique valide; veuillez vous référer à l'onglet Liste municipalités","")</f>
        <v/>
      </c>
      <c r="E73" s="2882"/>
      <c r="F73" s="2882"/>
      <c r="G73" s="877"/>
      <c r="H73" s="879"/>
      <c r="I73" s="879"/>
      <c r="J73" s="879"/>
      <c r="K73" s="879"/>
      <c r="L73" s="878"/>
      <c r="M73" s="880"/>
      <c r="N73" s="880"/>
      <c r="O73" s="880"/>
      <c r="P73" s="604"/>
      <c r="Q73" s="791"/>
    </row>
    <row r="74" spans="2:17" ht="8.25" customHeight="1">
      <c r="B74" s="789"/>
      <c r="C74" s="268"/>
      <c r="D74" s="269"/>
      <c r="E74" s="270"/>
      <c r="F74" s="270"/>
      <c r="G74" s="270"/>
      <c r="H74" s="270"/>
      <c r="I74" s="271"/>
      <c r="J74" s="272"/>
      <c r="K74" s="272"/>
      <c r="L74" s="272"/>
      <c r="M74" s="272"/>
      <c r="N74" s="272"/>
      <c r="O74" s="272"/>
      <c r="P74" s="273"/>
      <c r="Q74" s="791"/>
    </row>
    <row r="75" spans="2:17" ht="18.75" customHeight="1">
      <c r="B75" s="789"/>
      <c r="C75" s="783"/>
      <c r="D75" s="783"/>
      <c r="E75" s="783"/>
      <c r="F75" s="783"/>
      <c r="G75" s="783"/>
      <c r="H75" s="783"/>
      <c r="I75" s="783"/>
      <c r="J75" s="783"/>
      <c r="K75" s="783"/>
      <c r="L75" s="783"/>
      <c r="M75" s="783"/>
      <c r="N75" s="783"/>
      <c r="O75" s="783"/>
      <c r="P75" s="783"/>
      <c r="Q75" s="791"/>
    </row>
    <row r="76" spans="2:17" ht="18" customHeight="1">
      <c r="B76" s="779"/>
      <c r="C76" s="836" t="s">
        <v>285</v>
      </c>
      <c r="D76" s="783"/>
      <c r="E76" s="783"/>
      <c r="F76" s="783"/>
      <c r="G76" s="783"/>
      <c r="H76" s="783"/>
      <c r="I76" s="783"/>
      <c r="J76" s="783"/>
      <c r="K76" s="783"/>
      <c r="L76" s="783"/>
      <c r="M76" s="783"/>
      <c r="N76" s="783"/>
      <c r="O76" s="783"/>
      <c r="P76" s="783"/>
      <c r="Q76" s="786"/>
    </row>
    <row r="77" spans="2:17" ht="21.75" customHeight="1">
      <c r="B77" s="789"/>
      <c r="C77" s="783" t="s">
        <v>4035</v>
      </c>
      <c r="D77" s="783"/>
      <c r="E77" s="783"/>
      <c r="F77" s="783"/>
      <c r="G77" s="783"/>
      <c r="H77" s="783"/>
      <c r="I77" s="783"/>
      <c r="J77" s="783"/>
      <c r="K77" s="783"/>
      <c r="L77" s="783"/>
      <c r="M77" s="783"/>
      <c r="N77" s="783"/>
      <c r="O77" s="783"/>
      <c r="P77" s="783"/>
      <c r="Q77" s="791"/>
    </row>
    <row r="78" spans="2:17" ht="8.25" customHeight="1">
      <c r="B78" s="789"/>
      <c r="C78" s="783"/>
      <c r="D78" s="783"/>
      <c r="E78" s="783"/>
      <c r="F78" s="783"/>
      <c r="G78" s="783"/>
      <c r="H78" s="783"/>
      <c r="I78" s="783"/>
      <c r="J78" s="783"/>
      <c r="K78" s="783"/>
      <c r="L78" s="783"/>
      <c r="M78" s="783"/>
      <c r="N78" s="783"/>
      <c r="O78" s="783"/>
      <c r="P78" s="783"/>
      <c r="Q78" s="791"/>
    </row>
    <row r="79" spans="2:17" ht="15.75" customHeight="1">
      <c r="B79" s="789"/>
      <c r="C79" s="2416"/>
      <c r="D79" s="260"/>
      <c r="E79" s="260"/>
      <c r="F79" s="260"/>
      <c r="G79" s="260"/>
      <c r="H79" s="260"/>
      <c r="I79" s="260"/>
      <c r="J79" s="260"/>
      <c r="K79" s="260"/>
      <c r="L79" s="260"/>
      <c r="M79" s="260"/>
      <c r="N79" s="260"/>
      <c r="O79" s="260"/>
      <c r="P79" s="261"/>
      <c r="Q79" s="791"/>
    </row>
    <row r="80" spans="2:17" ht="18" customHeight="1">
      <c r="B80" s="789"/>
      <c r="C80" s="2410"/>
      <c r="D80" s="877"/>
      <c r="E80" s="877"/>
      <c r="F80" s="877"/>
      <c r="G80" s="877"/>
      <c r="H80" s="877"/>
      <c r="I80" s="877"/>
      <c r="J80" s="877"/>
      <c r="K80" s="877"/>
      <c r="L80" s="877"/>
      <c r="M80" s="877"/>
      <c r="N80" s="877"/>
      <c r="O80" s="877"/>
      <c r="P80" s="2411"/>
      <c r="Q80" s="791"/>
    </row>
    <row r="81" spans="2:17" ht="29.25" customHeight="1">
      <c r="B81" s="829" t="str">
        <f>IF(OR($D$62="",$D$62='MENU DÉROULANT'!$D$19,$D$62='MENU DÉROULANT'!$D$21,AND(ISBLANK(D81)=FALSE,ISBLANK(H81)=FALSE)),"","u")</f>
        <v/>
      </c>
      <c r="C81" s="957" t="s">
        <v>286</v>
      </c>
      <c r="D81" s="3116"/>
      <c r="E81" s="3117"/>
      <c r="F81" s="3118"/>
      <c r="G81" s="957" t="s">
        <v>2272</v>
      </c>
      <c r="H81" s="3159" t="str">
        <f>IF(ISBLANK($D$81)=TRUE,"",VLOOKUP($D$81,'Liste régies'!$B$5:$D$38,2,FALSE))</f>
        <v/>
      </c>
      <c r="I81" s="3160"/>
      <c r="J81" s="3160"/>
      <c r="K81" s="3160"/>
      <c r="L81" s="3161"/>
      <c r="M81" s="901" t="s">
        <v>284</v>
      </c>
      <c r="N81" s="3157" t="str">
        <f>IF(ISBLANK($D$81)=TRUE,"",VLOOKUP($D$81,'Liste régies'!$B$5:$D$38,3,FALSE))</f>
        <v/>
      </c>
      <c r="O81" s="3158"/>
      <c r="P81" s="2411"/>
      <c r="Q81" s="791"/>
    </row>
    <row r="82" spans="2:17" ht="17.25" customHeight="1">
      <c r="B82" s="789"/>
      <c r="C82" s="2410"/>
      <c r="D82" s="877"/>
      <c r="E82" s="877"/>
      <c r="F82" s="877"/>
      <c r="G82" s="2881"/>
      <c r="H82" s="877"/>
      <c r="I82" s="877"/>
      <c r="J82" s="877"/>
      <c r="K82" s="877"/>
      <c r="L82" s="877"/>
      <c r="M82" s="877"/>
      <c r="N82" s="877"/>
      <c r="O82" s="877"/>
      <c r="P82" s="2411"/>
      <c r="Q82" s="791"/>
    </row>
    <row r="83" spans="2:17" ht="18" customHeight="1">
      <c r="B83" s="829"/>
      <c r="C83" s="2410"/>
      <c r="D83" s="2412" t="s">
        <v>287</v>
      </c>
      <c r="F83" s="2412" t="s">
        <v>288</v>
      </c>
      <c r="H83" s="877"/>
      <c r="I83" s="2412" t="s">
        <v>289</v>
      </c>
      <c r="K83" s="877"/>
      <c r="L83" s="2993" t="s">
        <v>4039</v>
      </c>
      <c r="M83" s="877"/>
      <c r="N83" s="877"/>
      <c r="O83" s="877"/>
      <c r="P83" s="2411"/>
      <c r="Q83" s="791"/>
    </row>
    <row r="84" spans="2:17" ht="8.25" customHeight="1">
      <c r="B84" s="829"/>
      <c r="C84" s="2410"/>
      <c r="D84" s="877"/>
      <c r="E84" s="877"/>
      <c r="F84" s="877"/>
      <c r="G84" s="877"/>
      <c r="H84" s="877"/>
      <c r="I84" s="877"/>
      <c r="J84" s="877"/>
      <c r="K84" s="877"/>
      <c r="L84" s="877"/>
      <c r="M84" s="877"/>
      <c r="N84" s="877"/>
      <c r="O84" s="877"/>
      <c r="P84" s="2411"/>
      <c r="Q84" s="791"/>
    </row>
    <row r="85" spans="2:17" ht="24.75" customHeight="1">
      <c r="B85" s="789"/>
      <c r="C85" s="2410" t="s">
        <v>290</v>
      </c>
      <c r="D85" s="3111"/>
      <c r="E85" s="3112"/>
      <c r="F85" s="3113" t="str">
        <f>IF(ISBLANK($D$85)=TRUE,"",VLOOKUP($D$85,'Liste municipalités'!$B$5:$D$1128,2,FALSE))</f>
        <v/>
      </c>
      <c r="G85" s="3114"/>
      <c r="H85" s="3114"/>
      <c r="I85" s="3113" t="str">
        <f>IF(ISBLANK($D$85)=TRUE,"",VLOOKUP($D$85,'Liste municipalités'!$B$5:$D$1128,3,FALSE))</f>
        <v/>
      </c>
      <c r="J85" s="3114"/>
      <c r="K85" s="3115"/>
      <c r="L85" s="3172"/>
      <c r="M85" s="3172"/>
      <c r="N85" s="3154" t="str">
        <f>IF(ISNA(F85)=TRUE,"Attention: code géographique invalide; veuillez vous référer à l'onglet Liste municipalités","")</f>
        <v/>
      </c>
      <c r="O85" s="3155"/>
      <c r="P85" s="3156"/>
      <c r="Q85" s="791"/>
    </row>
    <row r="86" spans="2:17" ht="24.75" customHeight="1">
      <c r="B86" s="789"/>
      <c r="C86" s="2410" t="s">
        <v>291</v>
      </c>
      <c r="D86" s="3111"/>
      <c r="E86" s="3112"/>
      <c r="F86" s="3113" t="str">
        <f>IF(ISBLANK($D$86)=TRUE,"",VLOOKUP($D$86,'Liste municipalités'!$B$5:$D$1128,2,FALSE))</f>
        <v/>
      </c>
      <c r="G86" s="3114"/>
      <c r="H86" s="3114"/>
      <c r="I86" s="3113" t="str">
        <f>IF(ISBLANK($D$86)=TRUE,"",VLOOKUP($D$86,'Liste municipalités'!$B$5:$D$1128,3,FALSE))</f>
        <v/>
      </c>
      <c r="J86" s="3114"/>
      <c r="K86" s="3115"/>
      <c r="L86" s="3172"/>
      <c r="M86" s="3172"/>
      <c r="N86" s="3154" t="str">
        <f t="shared" ref="N86:N94" si="0">IF(ISNA(F86)=TRUE,"Attention: code géographique invalide; veuillez vous référer à l'onglet Liste municipalités","")</f>
        <v/>
      </c>
      <c r="O86" s="3155"/>
      <c r="P86" s="3156"/>
      <c r="Q86" s="791"/>
    </row>
    <row r="87" spans="2:17" ht="24.75" customHeight="1">
      <c r="B87" s="789"/>
      <c r="C87" s="2410" t="s">
        <v>292</v>
      </c>
      <c r="D87" s="3111"/>
      <c r="E87" s="3112"/>
      <c r="F87" s="3113" t="str">
        <f>IF(ISBLANK($D$87)=TRUE,"",VLOOKUP($D$87,'Liste municipalités'!$B$5:$D$1128,2,FALSE))</f>
        <v/>
      </c>
      <c r="G87" s="3114"/>
      <c r="H87" s="3114"/>
      <c r="I87" s="3113" t="str">
        <f>IF(ISBLANK($D$87)=TRUE,"",VLOOKUP($D$87,'Liste municipalités'!$B$5:$D$1128,3,FALSE))</f>
        <v/>
      </c>
      <c r="J87" s="3114"/>
      <c r="K87" s="3115"/>
      <c r="L87" s="3172"/>
      <c r="M87" s="3172"/>
      <c r="N87" s="3154" t="str">
        <f t="shared" si="0"/>
        <v/>
      </c>
      <c r="O87" s="3155"/>
      <c r="P87" s="3156"/>
      <c r="Q87" s="791"/>
    </row>
    <row r="88" spans="2:17" ht="24.75" customHeight="1">
      <c r="B88" s="829"/>
      <c r="C88" s="2410" t="s">
        <v>293</v>
      </c>
      <c r="D88" s="3111"/>
      <c r="E88" s="3112"/>
      <c r="F88" s="3113" t="str">
        <f>IF(ISBLANK($D$88)=TRUE,"",VLOOKUP($D$88,'Liste municipalités'!$B$5:$D$1128,2,FALSE))</f>
        <v/>
      </c>
      <c r="G88" s="3114"/>
      <c r="H88" s="3114"/>
      <c r="I88" s="3113" t="str">
        <f>IF(ISBLANK($D$88)=TRUE,"",VLOOKUP($D$88,'Liste municipalités'!$B$5:$D$1128,3,FALSE))</f>
        <v/>
      </c>
      <c r="J88" s="3114"/>
      <c r="K88" s="3115"/>
      <c r="L88" s="3172"/>
      <c r="M88" s="3172"/>
      <c r="N88" s="3154" t="str">
        <f t="shared" si="0"/>
        <v/>
      </c>
      <c r="O88" s="3155"/>
      <c r="P88" s="3156"/>
      <c r="Q88" s="791"/>
    </row>
    <row r="89" spans="2:17" ht="24.75" customHeight="1">
      <c r="B89" s="829"/>
      <c r="C89" s="2410" t="s">
        <v>294</v>
      </c>
      <c r="D89" s="3111"/>
      <c r="E89" s="3112"/>
      <c r="F89" s="3113" t="str">
        <f>IF(ISBLANK($D$89)=TRUE,"",VLOOKUP($D$89,'Liste municipalités'!$B$5:$D$1128,2,FALSE))</f>
        <v/>
      </c>
      <c r="G89" s="3114"/>
      <c r="H89" s="3114"/>
      <c r="I89" s="3113" t="str">
        <f>IF(ISBLANK($D$89)=TRUE,"",VLOOKUP($D$89,'Liste municipalités'!$B$5:$D$1128,3,FALSE))</f>
        <v/>
      </c>
      <c r="J89" s="3114"/>
      <c r="K89" s="3115"/>
      <c r="L89" s="3172"/>
      <c r="M89" s="3172"/>
      <c r="N89" s="3154" t="str">
        <f t="shared" si="0"/>
        <v/>
      </c>
      <c r="O89" s="3155"/>
      <c r="P89" s="3156"/>
      <c r="Q89" s="791"/>
    </row>
    <row r="90" spans="2:17" ht="24.75" customHeight="1">
      <c r="B90" s="789"/>
      <c r="C90" s="2410" t="s">
        <v>295</v>
      </c>
      <c r="D90" s="3111"/>
      <c r="E90" s="3112"/>
      <c r="F90" s="3113" t="str">
        <f>IF(ISBLANK($D$90)=TRUE,"",VLOOKUP($D$90,'Liste municipalités'!$B$5:$D$1128,2,FALSE))</f>
        <v/>
      </c>
      <c r="G90" s="3114"/>
      <c r="H90" s="3114"/>
      <c r="I90" s="3113" t="str">
        <f>IF(ISBLANK($D$90)=TRUE,"",VLOOKUP($D$90,'Liste municipalités'!$B$5:$D$1128,3,FALSE))</f>
        <v/>
      </c>
      <c r="J90" s="3114"/>
      <c r="K90" s="3115"/>
      <c r="L90" s="3172"/>
      <c r="M90" s="3172"/>
      <c r="N90" s="3154" t="str">
        <f t="shared" si="0"/>
        <v/>
      </c>
      <c r="O90" s="3155"/>
      <c r="P90" s="3156"/>
      <c r="Q90" s="791"/>
    </row>
    <row r="91" spans="2:17" ht="24.75" customHeight="1">
      <c r="B91" s="789"/>
      <c r="C91" s="2410" t="s">
        <v>296</v>
      </c>
      <c r="D91" s="3111"/>
      <c r="E91" s="3112"/>
      <c r="F91" s="3113" t="str">
        <f>IF(ISBLANK($D$91)=TRUE,"",VLOOKUP($D$91,'Liste municipalités'!$B$5:$D$1128,2,FALSE))</f>
        <v/>
      </c>
      <c r="G91" s="3114"/>
      <c r="H91" s="3114"/>
      <c r="I91" s="3113" t="str">
        <f>IF(ISBLANK($D$91)=TRUE,"",VLOOKUP($D$91,'Liste municipalités'!$B$5:$D$1128,3,FALSE))</f>
        <v/>
      </c>
      <c r="J91" s="3114"/>
      <c r="K91" s="3115"/>
      <c r="L91" s="3172"/>
      <c r="M91" s="3172"/>
      <c r="N91" s="3154" t="str">
        <f t="shared" si="0"/>
        <v/>
      </c>
      <c r="O91" s="3155"/>
      <c r="P91" s="3156"/>
      <c r="Q91" s="791"/>
    </row>
    <row r="92" spans="2:17" ht="24.75" customHeight="1">
      <c r="B92" s="789"/>
      <c r="C92" s="2410" t="s">
        <v>297</v>
      </c>
      <c r="D92" s="3111"/>
      <c r="E92" s="3112"/>
      <c r="F92" s="3113" t="str">
        <f>IF(ISBLANK($D$92)=TRUE,"",VLOOKUP($D$92,'Liste municipalités'!$B$5:$D$1128,2,FALSE))</f>
        <v/>
      </c>
      <c r="G92" s="3114"/>
      <c r="H92" s="3114"/>
      <c r="I92" s="3113" t="str">
        <f>IF(ISBLANK($D$92)=TRUE,"",VLOOKUP($D$92,'Liste municipalités'!$B$5:$D$1128,3,FALSE))</f>
        <v/>
      </c>
      <c r="J92" s="3114"/>
      <c r="K92" s="3115"/>
      <c r="L92" s="3172"/>
      <c r="M92" s="3172"/>
      <c r="N92" s="3154" t="str">
        <f t="shared" si="0"/>
        <v/>
      </c>
      <c r="O92" s="3155"/>
      <c r="P92" s="3156"/>
      <c r="Q92" s="791"/>
    </row>
    <row r="93" spans="2:17" ht="24.75" customHeight="1">
      <c r="B93" s="829"/>
      <c r="C93" s="2410" t="s">
        <v>298</v>
      </c>
      <c r="D93" s="3111"/>
      <c r="E93" s="3112"/>
      <c r="F93" s="3113" t="str">
        <f>IF(ISBLANK($D$93)=TRUE,"",VLOOKUP($D$93,'Liste municipalités'!$B$5:$D$1128,2,FALSE))</f>
        <v/>
      </c>
      <c r="G93" s="3114"/>
      <c r="H93" s="3114"/>
      <c r="I93" s="3113" t="str">
        <f>IF(ISBLANK($D$93)=TRUE,"",VLOOKUP($D$93,'Liste municipalités'!$B$5:$D$1128,3,FALSE))</f>
        <v/>
      </c>
      <c r="J93" s="3114"/>
      <c r="K93" s="3115"/>
      <c r="L93" s="3172"/>
      <c r="M93" s="3172"/>
      <c r="N93" s="3154" t="str">
        <f t="shared" si="0"/>
        <v/>
      </c>
      <c r="O93" s="3155"/>
      <c r="P93" s="3156"/>
      <c r="Q93" s="791"/>
    </row>
    <row r="94" spans="2:17" ht="24.75" customHeight="1">
      <c r="B94" s="829"/>
      <c r="C94" s="2410" t="s">
        <v>299</v>
      </c>
      <c r="D94" s="3111"/>
      <c r="E94" s="3112"/>
      <c r="F94" s="3113" t="str">
        <f>IF(ISBLANK($D$94)=TRUE,"",VLOOKUP($D$94,'Liste municipalités'!$B$5:$D$1128,2,FALSE))</f>
        <v/>
      </c>
      <c r="G94" s="3114"/>
      <c r="H94" s="3114"/>
      <c r="I94" s="3113" t="str">
        <f>IF(ISBLANK($D$94)=TRUE,"",VLOOKUP($D$94,'Liste municipalités'!$B$5:$D$1128,3,FALSE))</f>
        <v/>
      </c>
      <c r="J94" s="3114"/>
      <c r="K94" s="3115"/>
      <c r="L94" s="3172"/>
      <c r="M94" s="3172"/>
      <c r="N94" s="3154" t="str">
        <f t="shared" si="0"/>
        <v/>
      </c>
      <c r="O94" s="3155"/>
      <c r="P94" s="3156"/>
      <c r="Q94" s="791"/>
    </row>
    <row r="95" spans="2:17" ht="17.25" customHeight="1">
      <c r="B95" s="789"/>
      <c r="C95" s="2413"/>
      <c r="D95" s="2414"/>
      <c r="E95" s="2414"/>
      <c r="F95" s="2414"/>
      <c r="G95" s="2414"/>
      <c r="H95" s="2414"/>
      <c r="I95" s="2414"/>
      <c r="J95" s="2414"/>
      <c r="K95" s="2414"/>
      <c r="L95" s="2414"/>
      <c r="M95" s="2414"/>
      <c r="N95" s="2414"/>
      <c r="O95" s="2414"/>
      <c r="P95" s="2415"/>
      <c r="Q95" s="791"/>
    </row>
    <row r="96" spans="2:17" ht="15.75" customHeight="1">
      <c r="B96" s="789"/>
      <c r="C96" s="783"/>
      <c r="D96" s="783"/>
      <c r="E96" s="783"/>
      <c r="F96" s="783"/>
      <c r="G96" s="783"/>
      <c r="H96" s="783"/>
      <c r="I96" s="783"/>
      <c r="J96" s="783"/>
      <c r="K96" s="783"/>
      <c r="L96" s="783"/>
      <c r="M96" s="783"/>
      <c r="N96" s="783"/>
      <c r="O96" s="783"/>
      <c r="P96" s="783"/>
      <c r="Q96" s="791"/>
    </row>
    <row r="97" spans="1:35" ht="18" customHeight="1">
      <c r="B97" s="779"/>
      <c r="C97" s="836" t="s">
        <v>2381</v>
      </c>
      <c r="D97" s="783"/>
      <c r="E97" s="783"/>
      <c r="F97" s="783"/>
      <c r="G97" s="783"/>
      <c r="H97" s="783"/>
      <c r="I97" s="783"/>
      <c r="J97" s="783"/>
      <c r="K97" s="783"/>
      <c r="L97" s="783"/>
      <c r="M97" s="783"/>
      <c r="N97" s="783"/>
      <c r="O97" s="783"/>
      <c r="P97" s="783"/>
      <c r="Q97" s="786"/>
    </row>
    <row r="98" spans="1:35" ht="7.95" customHeight="1">
      <c r="B98" s="789"/>
      <c r="C98" s="783"/>
      <c r="D98" s="783"/>
      <c r="E98" s="783"/>
      <c r="F98" s="783"/>
      <c r="G98" s="783"/>
      <c r="H98" s="783"/>
      <c r="I98" s="783"/>
      <c r="J98" s="783"/>
      <c r="K98" s="783"/>
      <c r="L98" s="783"/>
      <c r="M98" s="783"/>
      <c r="N98" s="783"/>
      <c r="O98" s="783"/>
      <c r="P98" s="783"/>
      <c r="Q98" s="791"/>
    </row>
    <row r="99" spans="1:35">
      <c r="B99" s="789"/>
      <c r="C99" s="783" t="s">
        <v>2382</v>
      </c>
      <c r="D99" s="783"/>
      <c r="E99" s="783"/>
      <c r="F99" s="783"/>
      <c r="G99" s="783"/>
      <c r="H99" s="783"/>
      <c r="I99" s="783"/>
      <c r="J99" s="783"/>
      <c r="K99" s="783"/>
      <c r="L99" s="783"/>
      <c r="M99" s="783"/>
      <c r="N99" s="783"/>
      <c r="O99" s="783"/>
      <c r="P99" s="783"/>
      <c r="Q99" s="791"/>
    </row>
    <row r="100" spans="1:35" ht="7.2" customHeight="1">
      <c r="B100" s="789"/>
      <c r="C100" s="807"/>
      <c r="D100" s="807"/>
      <c r="E100" s="790"/>
      <c r="F100" s="790"/>
      <c r="G100" s="790"/>
      <c r="H100" s="790"/>
      <c r="I100" s="790"/>
      <c r="J100" s="790"/>
      <c r="K100" s="790"/>
      <c r="L100" s="790"/>
      <c r="M100" s="790"/>
      <c r="N100" s="790"/>
      <c r="O100" s="790"/>
      <c r="P100" s="790"/>
      <c r="Q100" s="791"/>
    </row>
    <row r="101" spans="1:35" ht="18" customHeight="1">
      <c r="B101" s="789"/>
      <c r="C101" s="258"/>
      <c r="D101" s="1346"/>
      <c r="E101" s="260"/>
      <c r="F101" s="260"/>
      <c r="G101" s="260"/>
      <c r="H101" s="260"/>
      <c r="I101" s="260"/>
      <c r="J101" s="260"/>
      <c r="K101" s="260"/>
      <c r="L101" s="260"/>
      <c r="M101" s="260"/>
      <c r="N101" s="260"/>
      <c r="O101" s="260"/>
      <c r="P101" s="261"/>
      <c r="Q101" s="791"/>
    </row>
    <row r="102" spans="1:35" ht="29.25" customHeight="1">
      <c r="B102" s="829" t="str">
        <f>IF(OR($D$62="",IDENTIFICATION!$D$62='MENU DÉROULANT'!$D$19,IDENTIFICATION!$D$62='MENU DÉROULANT'!$D$20,ISBLANK(H102)=FALSE),"","u")</f>
        <v/>
      </c>
      <c r="C102" s="957" t="s">
        <v>4029</v>
      </c>
      <c r="D102" s="3163"/>
      <c r="E102" s="3164"/>
      <c r="F102" s="3165"/>
      <c r="G102" s="957" t="s">
        <v>2383</v>
      </c>
      <c r="H102" s="3111"/>
      <c r="I102" s="3112"/>
      <c r="J102" s="3112"/>
      <c r="K102" s="3112"/>
      <c r="L102" s="3162"/>
      <c r="M102" s="901" t="s">
        <v>284</v>
      </c>
      <c r="N102" s="3166"/>
      <c r="O102" s="3167"/>
      <c r="P102" s="604"/>
      <c r="Q102" s="791"/>
    </row>
    <row r="103" spans="1:35" ht="19.2" customHeight="1">
      <c r="B103" s="829"/>
      <c r="C103" s="876"/>
      <c r="D103" s="2949" t="str">
        <f>IF(ISNA(#REF!)=TRUE,"ATTENTION: ceci n'est pas un code géographique valide; veuillez vous référer à l'onglet Liste municipalités","")</f>
        <v/>
      </c>
      <c r="E103" s="2949"/>
      <c r="F103" s="2949"/>
      <c r="G103" s="877"/>
      <c r="H103" s="879"/>
      <c r="I103" s="879"/>
      <c r="J103" s="879"/>
      <c r="K103" s="879"/>
      <c r="L103" s="878"/>
      <c r="M103" s="880"/>
      <c r="N103" s="880"/>
      <c r="O103" s="880"/>
      <c r="P103" s="604"/>
      <c r="Q103" s="791"/>
    </row>
    <row r="104" spans="1:35" ht="8.25" customHeight="1">
      <c r="B104" s="789"/>
      <c r="C104" s="268"/>
      <c r="D104" s="269"/>
      <c r="E104" s="270"/>
      <c r="F104" s="270"/>
      <c r="G104" s="270"/>
      <c r="H104" s="270"/>
      <c r="I104" s="271"/>
      <c r="J104" s="272"/>
      <c r="K104" s="272"/>
      <c r="L104" s="272"/>
      <c r="M104" s="272"/>
      <c r="N104" s="272"/>
      <c r="O104" s="272"/>
      <c r="P104" s="273"/>
      <c r="Q104" s="791"/>
    </row>
    <row r="105" spans="1:35" ht="18.75" customHeight="1">
      <c r="B105" s="789"/>
      <c r="C105" s="783"/>
      <c r="D105" s="783"/>
      <c r="E105" s="783"/>
      <c r="F105" s="783"/>
      <c r="G105" s="783"/>
      <c r="H105" s="783"/>
      <c r="I105" s="783"/>
      <c r="J105" s="783"/>
      <c r="K105" s="783"/>
      <c r="L105" s="783"/>
      <c r="M105" s="783"/>
      <c r="N105" s="783"/>
      <c r="O105" s="783"/>
      <c r="P105" s="783"/>
      <c r="Q105" s="791"/>
    </row>
    <row r="106" spans="1:35" ht="19.5" customHeight="1" thickBot="1">
      <c r="B106" s="869"/>
      <c r="C106" s="794"/>
      <c r="D106" s="794"/>
      <c r="E106" s="794"/>
      <c r="F106" s="794"/>
      <c r="G106" s="794"/>
      <c r="H106" s="794"/>
      <c r="I106" s="794"/>
      <c r="J106" s="794"/>
      <c r="K106" s="794"/>
      <c r="L106" s="794"/>
      <c r="M106" s="794"/>
      <c r="N106" s="794"/>
      <c r="O106" s="794"/>
      <c r="P106" s="794"/>
      <c r="Q106" s="795"/>
    </row>
    <row r="107" spans="1:35" ht="24" customHeight="1">
      <c r="B107" s="475"/>
      <c r="C107" s="476"/>
      <c r="D107" s="476"/>
      <c r="E107" s="476"/>
      <c r="F107" s="476"/>
      <c r="G107" s="476"/>
      <c r="H107" s="476"/>
      <c r="I107" s="476"/>
      <c r="J107" s="476"/>
      <c r="K107" s="476"/>
      <c r="L107" s="35"/>
      <c r="M107" s="35"/>
      <c r="N107" s="35"/>
      <c r="O107" s="58"/>
      <c r="P107" s="58"/>
      <c r="Q107" s="58"/>
    </row>
    <row r="108" spans="1:35" ht="24" customHeight="1">
      <c r="A108" s="1187"/>
      <c r="B108" s="841" t="s">
        <v>300</v>
      </c>
      <c r="C108" s="842"/>
      <c r="D108" s="842"/>
      <c r="E108" s="842"/>
      <c r="F108" s="842"/>
      <c r="G108" s="842"/>
      <c r="H108" s="842"/>
      <c r="I108" s="842"/>
      <c r="J108" s="842"/>
      <c r="K108" s="842"/>
      <c r="L108" s="843"/>
      <c r="M108" s="843"/>
      <c r="N108" s="843"/>
      <c r="O108" s="771"/>
      <c r="P108" s="771"/>
      <c r="Q108" s="771"/>
      <c r="AC108" s="239"/>
      <c r="AD108" s="240"/>
      <c r="AE108" s="240"/>
      <c r="AF108" s="240"/>
      <c r="AG108" s="55"/>
      <c r="AH108" s="55"/>
      <c r="AI108" s="55"/>
    </row>
    <row r="109" spans="1:35" ht="12.75" customHeight="1" thickBot="1"/>
    <row r="110" spans="1:35" ht="17.25" customHeight="1">
      <c r="B110" s="774"/>
      <c r="C110" s="775"/>
      <c r="D110" s="775"/>
      <c r="E110" s="776"/>
      <c r="F110" s="777"/>
      <c r="G110" s="777"/>
      <c r="H110" s="777"/>
      <c r="I110" s="777"/>
      <c r="J110" s="777"/>
      <c r="K110" s="777"/>
      <c r="L110" s="777"/>
      <c r="M110" s="777"/>
      <c r="N110" s="777"/>
      <c r="O110" s="777"/>
      <c r="P110" s="777"/>
      <c r="Q110" s="778"/>
    </row>
    <row r="111" spans="1:35" ht="18" customHeight="1">
      <c r="B111" s="779"/>
      <c r="C111" s="836" t="s">
        <v>301</v>
      </c>
      <c r="D111" s="781"/>
      <c r="E111" s="782"/>
      <c r="F111" s="783"/>
      <c r="G111" s="783"/>
      <c r="H111" s="783"/>
      <c r="I111" s="783"/>
      <c r="J111" s="783"/>
      <c r="K111" s="783"/>
      <c r="L111" s="783"/>
      <c r="M111" s="783"/>
      <c r="N111" s="784" t="s">
        <v>219</v>
      </c>
      <c r="O111" s="353" t="str">
        <f>IF((COUNTBLANK(B115:B145)=ROWS(B115:B145)),"Complété","À compléter")</f>
        <v>À compléter</v>
      </c>
      <c r="P111" s="783"/>
      <c r="Q111" s="786"/>
    </row>
    <row r="112" spans="1:35" ht="8.25" customHeight="1">
      <c r="B112" s="787"/>
      <c r="C112" s="788"/>
      <c r="D112" s="788"/>
      <c r="E112" s="788"/>
      <c r="F112" s="783"/>
      <c r="G112" s="783"/>
      <c r="H112" s="783"/>
      <c r="I112" s="783"/>
      <c r="J112" s="783"/>
      <c r="K112" s="783"/>
      <c r="L112" s="783"/>
      <c r="M112" s="783"/>
      <c r="N112" s="783"/>
      <c r="O112" s="783"/>
      <c r="P112" s="783"/>
      <c r="Q112" s="786"/>
    </row>
    <row r="113" spans="2:17" ht="24.75" customHeight="1">
      <c r="B113" s="789"/>
      <c r="C113" s="868" t="s">
        <v>302</v>
      </c>
      <c r="D113" s="807"/>
      <c r="E113" s="875"/>
      <c r="F113" s="875"/>
      <c r="G113" s="875"/>
      <c r="H113" s="875"/>
      <c r="I113" s="875"/>
      <c r="J113" s="875"/>
      <c r="K113" s="875"/>
      <c r="L113" s="875"/>
      <c r="M113" s="875"/>
      <c r="N113" s="875"/>
      <c r="O113" s="875"/>
      <c r="P113" s="790"/>
      <c r="Q113" s="791"/>
    </row>
    <row r="114" spans="2:17" ht="9" customHeight="1">
      <c r="B114" s="789"/>
      <c r="C114" s="807"/>
      <c r="D114" s="807"/>
      <c r="E114" s="875"/>
      <c r="F114" s="875"/>
      <c r="G114" s="875"/>
      <c r="H114" s="875"/>
      <c r="I114" s="875"/>
      <c r="J114" s="875"/>
      <c r="K114" s="875"/>
      <c r="L114" s="875"/>
      <c r="M114" s="875"/>
      <c r="N114" s="875"/>
      <c r="O114" s="875"/>
      <c r="P114" s="790"/>
      <c r="Q114" s="791"/>
    </row>
    <row r="115" spans="2:17" ht="18" customHeight="1">
      <c r="B115" s="789"/>
      <c r="C115" s="258"/>
      <c r="D115" s="259"/>
      <c r="E115" s="275"/>
      <c r="F115" s="275"/>
      <c r="G115" s="275"/>
      <c r="H115" s="275"/>
      <c r="I115" s="275"/>
      <c r="J115" s="275"/>
      <c r="K115" s="275"/>
      <c r="L115" s="275"/>
      <c r="M115" s="275"/>
      <c r="N115" s="275"/>
      <c r="O115" s="275"/>
      <c r="P115" s="261"/>
      <c r="Q115" s="791"/>
    </row>
    <row r="116" spans="2:17" ht="18" customHeight="1">
      <c r="B116" s="829" t="str">
        <f>IF(OR(ISBLANK(E116))=FALSE,"","u")</f>
        <v>u</v>
      </c>
      <c r="C116" s="104"/>
      <c r="D116" s="925" t="s">
        <v>303</v>
      </c>
      <c r="E116" s="631"/>
      <c r="F116" s="928" t="s">
        <v>304</v>
      </c>
      <c r="G116" s="929"/>
      <c r="H116" s="929"/>
      <c r="I116" s="929"/>
      <c r="J116" s="929"/>
      <c r="K116" s="929"/>
      <c r="L116" s="265"/>
      <c r="M116" s="265"/>
      <c r="N116" s="265"/>
      <c r="O116" s="265"/>
      <c r="P116" s="266"/>
      <c r="Q116" s="791"/>
    </row>
    <row r="117" spans="2:17" ht="18" customHeight="1">
      <c r="B117" s="789"/>
      <c r="C117" s="104"/>
      <c r="D117" s="303"/>
      <c r="E117" s="303"/>
      <c r="F117" s="265"/>
      <c r="G117" s="265"/>
      <c r="H117" s="265"/>
      <c r="I117" s="265"/>
      <c r="J117" s="265"/>
      <c r="K117" s="265"/>
      <c r="L117" s="265"/>
      <c r="M117" s="265"/>
      <c r="N117" s="265"/>
      <c r="O117" s="265"/>
      <c r="P117" s="266"/>
      <c r="Q117" s="791"/>
    </row>
    <row r="118" spans="2:17" ht="18" customHeight="1">
      <c r="B118" s="829" t="str">
        <f>IF(OR(ISBLANK(E118))=FALSE,"","u")</f>
        <v>u</v>
      </c>
      <c r="C118" s="104"/>
      <c r="D118" s="927" t="s">
        <v>305</v>
      </c>
      <c r="E118" s="631"/>
      <c r="F118" s="2950">
        <v>6</v>
      </c>
      <c r="G118" s="2418" t="str">
        <f>IF(IDENTIFICATION!$D$62='MENU DÉROULANT'!$D$19,"que notre municipalité remet au MAMH.",IF(IDENTIFICATION!$D$62='MENU DÉROULANT'!$D$20,"que la régie remet au MAMH.",IF(IDENTIFICATION!$D$62='MENU DÉROULANT'!$D$21,"réalisé par notre organisation.","")))</f>
        <v/>
      </c>
      <c r="H118" s="265"/>
      <c r="I118" s="265"/>
      <c r="J118" s="265"/>
      <c r="K118" s="265"/>
      <c r="L118" s="265"/>
      <c r="M118" s="265"/>
      <c r="N118" s="265"/>
      <c r="O118" s="265"/>
      <c r="P118" s="266"/>
      <c r="Q118" s="791"/>
    </row>
    <row r="119" spans="2:17" ht="18" customHeight="1">
      <c r="B119" s="829"/>
      <c r="C119" s="104"/>
      <c r="D119" s="2417"/>
      <c r="E119" s="2418"/>
      <c r="F119" s="2418"/>
      <c r="H119" s="265"/>
      <c r="I119" s="265"/>
      <c r="J119" s="265"/>
      <c r="K119" s="265"/>
      <c r="L119" s="265"/>
      <c r="M119" s="265"/>
      <c r="N119" s="265"/>
      <c r="O119" s="265"/>
      <c r="P119" s="266"/>
      <c r="Q119" s="791"/>
    </row>
    <row r="120" spans="2:17" ht="38.4" customHeight="1">
      <c r="B120" s="789"/>
      <c r="C120" s="3109" t="s">
        <v>310</v>
      </c>
      <c r="D120" s="3110"/>
      <c r="E120" s="3169"/>
      <c r="F120" s="3170"/>
      <c r="G120" s="3170"/>
      <c r="H120" s="3170"/>
      <c r="I120" s="3170"/>
      <c r="J120" s="3170"/>
      <c r="K120" s="3170"/>
      <c r="L120" s="3170"/>
      <c r="M120" s="3170"/>
      <c r="N120" s="3170"/>
      <c r="O120" s="3171"/>
      <c r="P120" s="604"/>
      <c r="Q120" s="791"/>
    </row>
    <row r="121" spans="2:17" ht="18" customHeight="1">
      <c r="B121" s="789"/>
      <c r="C121" s="304"/>
      <c r="D121" s="305"/>
      <c r="E121" s="835"/>
      <c r="F121" s="835"/>
      <c r="G121" s="835"/>
      <c r="H121" s="835"/>
      <c r="I121" s="835"/>
      <c r="J121" s="835"/>
      <c r="K121" s="835"/>
      <c r="L121" s="835"/>
      <c r="M121" s="835"/>
      <c r="N121" s="835"/>
      <c r="O121" s="835"/>
      <c r="P121" s="307"/>
      <c r="Q121" s="791"/>
    </row>
    <row r="122" spans="2:17" ht="24.75" customHeight="1">
      <c r="B122" s="789"/>
      <c r="C122" s="882"/>
      <c r="D122" s="882"/>
      <c r="E122" s="883"/>
      <c r="F122" s="884"/>
      <c r="G122" s="883"/>
      <c r="H122" s="884"/>
      <c r="I122" s="783"/>
      <c r="J122" s="883"/>
      <c r="K122" s="884"/>
      <c r="L122" s="883"/>
      <c r="M122" s="884"/>
      <c r="N122" s="883"/>
      <c r="O122" s="884"/>
      <c r="P122" s="884"/>
      <c r="Q122" s="791"/>
    </row>
    <row r="123" spans="2:17" ht="17.25" customHeight="1">
      <c r="B123" s="789"/>
      <c r="C123" s="3060" t="s">
        <v>2270</v>
      </c>
      <c r="D123" s="3060"/>
      <c r="E123" s="3060"/>
      <c r="F123" s="3060"/>
      <c r="G123" s="3060"/>
      <c r="H123" s="3060"/>
      <c r="I123" s="3060"/>
      <c r="J123" s="3060"/>
      <c r="K123" s="3060"/>
      <c r="L123" s="3060"/>
      <c r="M123" s="3060"/>
      <c r="N123" s="3060"/>
      <c r="O123" s="3060"/>
      <c r="P123" s="790"/>
      <c r="Q123" s="791"/>
    </row>
    <row r="124" spans="2:17" s="308" customFormat="1" ht="17.25" customHeight="1">
      <c r="B124" s="799"/>
      <c r="C124" s="800"/>
      <c r="D124" s="801"/>
      <c r="E124" s="801"/>
      <c r="F124" s="802"/>
      <c r="G124" s="802"/>
      <c r="H124" s="802"/>
      <c r="I124" s="802"/>
      <c r="J124" s="802"/>
      <c r="K124" s="802"/>
      <c r="L124" s="802"/>
      <c r="M124" s="802"/>
      <c r="N124" s="802"/>
      <c r="O124" s="802"/>
      <c r="P124" s="802"/>
      <c r="Q124" s="803"/>
    </row>
    <row r="125" spans="2:17" s="308" customFormat="1" ht="14.25" customHeight="1">
      <c r="B125" s="799"/>
      <c r="C125" s="885"/>
      <c r="D125" s="886"/>
      <c r="E125" s="886"/>
      <c r="F125" s="887"/>
      <c r="G125" s="887"/>
      <c r="H125" s="887"/>
      <c r="I125" s="887"/>
      <c r="J125" s="887"/>
      <c r="K125" s="887"/>
      <c r="L125" s="887"/>
      <c r="M125" s="887"/>
      <c r="N125" s="887"/>
      <c r="O125" s="887"/>
      <c r="P125" s="894"/>
      <c r="Q125" s="803"/>
    </row>
    <row r="126" spans="2:17" ht="18" customHeight="1">
      <c r="B126" s="829" t="str">
        <f>IF(OR(ISBLANK(F126),ISBLANK(I126),ISBLANK(L126))=FALSE,"","u")</f>
        <v>u</v>
      </c>
      <c r="C126" s="2805"/>
      <c r="D126" s="2806"/>
      <c r="E126" s="2807" t="s">
        <v>307</v>
      </c>
      <c r="F126" s="631"/>
      <c r="G126" s="265"/>
      <c r="H126" s="2419" t="s">
        <v>308</v>
      </c>
      <c r="I126" s="631"/>
      <c r="J126" s="265"/>
      <c r="K126" s="2420" t="s">
        <v>309</v>
      </c>
      <c r="L126" s="631"/>
      <c r="M126" s="265"/>
      <c r="N126" s="265"/>
      <c r="O126" s="265"/>
      <c r="P126" s="266"/>
      <c r="Q126" s="791"/>
    </row>
    <row r="127" spans="2:17" ht="18" customHeight="1">
      <c r="B127" s="829"/>
      <c r="C127" s="2805"/>
      <c r="D127" s="2806"/>
      <c r="E127" s="2806"/>
      <c r="F127" s="2806"/>
      <c r="G127" s="2806"/>
      <c r="H127" s="2806"/>
      <c r="I127" s="2806"/>
      <c r="J127" s="2806"/>
      <c r="K127" s="2806"/>
      <c r="L127" s="2806"/>
      <c r="M127" s="2806"/>
      <c r="N127" s="265"/>
      <c r="O127" s="265"/>
      <c r="P127" s="266"/>
      <c r="Q127" s="791"/>
    </row>
    <row r="128" spans="2:17" ht="38.4" customHeight="1">
      <c r="B128" s="789"/>
      <c r="C128" s="3109" t="s">
        <v>2271</v>
      </c>
      <c r="D128" s="3110"/>
      <c r="E128" s="3168"/>
      <c r="F128" s="3168"/>
      <c r="G128" s="3168"/>
      <c r="H128" s="3168"/>
      <c r="I128" s="3168"/>
      <c r="J128" s="3168"/>
      <c r="K128" s="3168"/>
      <c r="L128" s="3168"/>
      <c r="M128" s="3168"/>
      <c r="N128" s="3168"/>
      <c r="O128" s="3168"/>
      <c r="P128" s="604"/>
      <c r="Q128" s="791"/>
    </row>
    <row r="129" spans="2:17" s="308" customFormat="1" ht="13.5" customHeight="1">
      <c r="B129" s="799"/>
      <c r="C129" s="891"/>
      <c r="D129" s="892"/>
      <c r="E129" s="892"/>
      <c r="F129" s="893"/>
      <c r="G129" s="893"/>
      <c r="H129" s="893"/>
      <c r="I129" s="893"/>
      <c r="J129" s="893"/>
      <c r="K129" s="893"/>
      <c r="L129" s="893"/>
      <c r="M129" s="893"/>
      <c r="N129" s="893"/>
      <c r="O129" s="893"/>
      <c r="P129" s="897"/>
      <c r="Q129" s="803"/>
    </row>
    <row r="130" spans="2:17" ht="24.75" customHeight="1">
      <c r="B130" s="789"/>
      <c r="C130" s="882"/>
      <c r="D130" s="882"/>
      <c r="E130" s="883"/>
      <c r="F130" s="884"/>
      <c r="G130" s="883"/>
      <c r="H130" s="884"/>
      <c r="I130" s="783"/>
      <c r="J130" s="883"/>
      <c r="K130" s="884"/>
      <c r="L130" s="883"/>
      <c r="M130" s="884"/>
      <c r="N130" s="883"/>
      <c r="O130" s="884"/>
      <c r="P130" s="884"/>
      <c r="Q130" s="791"/>
    </row>
    <row r="131" spans="2:17" ht="17.25" customHeight="1">
      <c r="B131" s="789"/>
      <c r="C131" s="3060" t="s">
        <v>311</v>
      </c>
      <c r="D131" s="3060"/>
      <c r="E131" s="3060"/>
      <c r="F131" s="3060"/>
      <c r="G131" s="3060"/>
      <c r="H131" s="3060"/>
      <c r="I131" s="3060"/>
      <c r="J131" s="3060"/>
      <c r="K131" s="3060"/>
      <c r="L131" s="3060"/>
      <c r="M131" s="3060"/>
      <c r="N131" s="3060"/>
      <c r="O131" s="3060"/>
      <c r="P131" s="790"/>
      <c r="Q131" s="791"/>
    </row>
    <row r="132" spans="2:17" ht="15.75" customHeight="1">
      <c r="B132" s="787"/>
      <c r="C132" s="798" t="s">
        <v>312</v>
      </c>
      <c r="D132" s="788"/>
      <c r="E132" s="788"/>
      <c r="F132" s="783"/>
      <c r="G132" s="783"/>
      <c r="H132" s="783"/>
      <c r="I132" s="783"/>
      <c r="J132" s="783"/>
      <c r="K132" s="783"/>
      <c r="L132" s="783"/>
      <c r="M132" s="783"/>
      <c r="N132" s="783"/>
      <c r="O132" s="783"/>
      <c r="P132" s="783"/>
      <c r="Q132" s="786"/>
    </row>
    <row r="133" spans="2:17" ht="6.75" customHeight="1">
      <c r="B133" s="787"/>
      <c r="C133" s="798"/>
      <c r="D133" s="788"/>
      <c r="E133" s="788"/>
      <c r="F133" s="783"/>
      <c r="G133" s="783"/>
      <c r="H133" s="783"/>
      <c r="I133" s="783"/>
      <c r="J133" s="783"/>
      <c r="K133" s="783"/>
      <c r="L133" s="783"/>
      <c r="M133" s="783"/>
      <c r="N133" s="783"/>
      <c r="O133" s="783"/>
      <c r="P133" s="783"/>
      <c r="Q133" s="786"/>
    </row>
    <row r="134" spans="2:17" ht="22.5" customHeight="1">
      <c r="B134" s="787"/>
      <c r="C134" s="798"/>
      <c r="D134" s="2188" t="s">
        <v>153</v>
      </c>
      <c r="E134" s="2189"/>
      <c r="F134" s="783"/>
      <c r="G134" s="480" t="s">
        <v>158</v>
      </c>
      <c r="H134" s="479"/>
      <c r="I134" s="783"/>
      <c r="J134" s="2247" t="s">
        <v>161</v>
      </c>
      <c r="K134" s="2248"/>
      <c r="L134" s="783"/>
      <c r="M134" s="783"/>
      <c r="N134" s="783"/>
      <c r="O134" s="783"/>
      <c r="P134" s="783"/>
      <c r="Q134" s="786"/>
    </row>
    <row r="135" spans="2:17" ht="12" customHeight="1">
      <c r="B135" s="787"/>
      <c r="C135" s="798"/>
      <c r="D135" s="788"/>
      <c r="E135" s="788"/>
      <c r="F135" s="783"/>
      <c r="G135" s="783"/>
      <c r="H135" s="783"/>
      <c r="I135" s="783"/>
      <c r="J135" s="783"/>
      <c r="K135" s="783"/>
      <c r="L135" s="783"/>
      <c r="M135" s="783"/>
      <c r="N135" s="783"/>
      <c r="O135" s="783"/>
      <c r="P135" s="783"/>
      <c r="Q135" s="786"/>
    </row>
    <row r="136" spans="2:17" ht="15.75" customHeight="1">
      <c r="B136" s="787"/>
      <c r="C136" s="798" t="s">
        <v>313</v>
      </c>
      <c r="D136" s="788"/>
      <c r="E136" s="788"/>
      <c r="F136" s="783"/>
      <c r="G136" s="783"/>
      <c r="H136" s="783"/>
      <c r="I136" s="783"/>
      <c r="J136" s="783"/>
      <c r="K136" s="783"/>
      <c r="L136" s="783"/>
      <c r="M136" s="783"/>
      <c r="N136" s="783"/>
      <c r="O136" s="783"/>
      <c r="P136" s="783"/>
      <c r="Q136" s="786"/>
    </row>
    <row r="137" spans="2:17" s="308" customFormat="1" ht="16.5" customHeight="1">
      <c r="B137" s="799"/>
      <c r="C137" s="800" t="s">
        <v>314</v>
      </c>
      <c r="D137" s="801"/>
      <c r="E137" s="801"/>
      <c r="F137" s="802"/>
      <c r="G137" s="802"/>
      <c r="H137" s="802"/>
      <c r="I137" s="802"/>
      <c r="J137" s="802"/>
      <c r="K137" s="802"/>
      <c r="L137" s="802"/>
      <c r="M137" s="802"/>
      <c r="N137" s="802"/>
      <c r="O137" s="802"/>
      <c r="P137" s="802"/>
      <c r="Q137" s="803"/>
    </row>
    <row r="138" spans="2:17" ht="6.75" customHeight="1">
      <c r="B138" s="787"/>
      <c r="C138" s="798"/>
      <c r="D138" s="788"/>
      <c r="E138" s="788"/>
      <c r="F138" s="783"/>
      <c r="G138" s="783"/>
      <c r="H138" s="783"/>
      <c r="I138" s="783"/>
      <c r="J138" s="783"/>
      <c r="K138" s="783"/>
      <c r="L138" s="783"/>
      <c r="M138" s="783"/>
      <c r="N138" s="783"/>
      <c r="O138" s="783"/>
      <c r="P138" s="783"/>
      <c r="Q138" s="786"/>
    </row>
    <row r="139" spans="2:17" ht="22.5" customHeight="1">
      <c r="B139" s="787"/>
      <c r="C139" s="798"/>
      <c r="D139" s="2188" t="s">
        <v>153</v>
      </c>
      <c r="E139" s="2189"/>
      <c r="F139" s="783"/>
      <c r="G139" s="480" t="s">
        <v>158</v>
      </c>
      <c r="H139" s="479"/>
      <c r="I139" s="898" t="s">
        <v>315</v>
      </c>
      <c r="J139" s="783"/>
      <c r="K139" s="783"/>
      <c r="L139" s="783"/>
      <c r="M139" s="783"/>
      <c r="N139" s="783"/>
      <c r="O139" s="783"/>
      <c r="P139" s="783"/>
      <c r="Q139" s="786"/>
    </row>
    <row r="140" spans="2:17" s="308" customFormat="1" ht="17.25" customHeight="1">
      <c r="B140" s="799"/>
      <c r="C140" s="800"/>
      <c r="D140" s="801"/>
      <c r="E140" s="801"/>
      <c r="F140" s="802"/>
      <c r="G140" s="802"/>
      <c r="H140" s="802"/>
      <c r="I140" s="802"/>
      <c r="J140" s="802"/>
      <c r="K140" s="802"/>
      <c r="L140" s="802"/>
      <c r="M140" s="802"/>
      <c r="N140" s="802"/>
      <c r="O140" s="802"/>
      <c r="P140" s="802"/>
      <c r="Q140" s="803"/>
    </row>
    <row r="141" spans="2:17" s="308" customFormat="1" ht="14.25" customHeight="1">
      <c r="B141" s="799"/>
      <c r="C141" s="885"/>
      <c r="D141" s="886"/>
      <c r="E141" s="886"/>
      <c r="F141" s="887"/>
      <c r="G141" s="887"/>
      <c r="H141" s="887"/>
      <c r="I141" s="887"/>
      <c r="J141" s="887"/>
      <c r="K141" s="887"/>
      <c r="L141" s="887"/>
      <c r="M141" s="887"/>
      <c r="N141" s="887"/>
      <c r="O141" s="887"/>
      <c r="P141" s="894"/>
      <c r="Q141" s="803"/>
    </row>
    <row r="142" spans="2:17" s="308" customFormat="1" ht="19.5" customHeight="1">
      <c r="B142" s="829" t="str">
        <f>IF(ISBLANK(G142)=FALSE,"","u")</f>
        <v>u</v>
      </c>
      <c r="C142" s="909"/>
      <c r="D142" s="888"/>
      <c r="E142" s="888"/>
      <c r="F142" s="910" t="s">
        <v>2388</v>
      </c>
      <c r="G142" s="3097"/>
      <c r="H142" s="3098"/>
      <c r="I142" s="3098"/>
      <c r="J142" s="3098"/>
      <c r="K142" s="3098"/>
      <c r="L142" s="3098"/>
      <c r="M142" s="3098"/>
      <c r="N142" s="3099"/>
      <c r="O142" s="932">
        <v>6</v>
      </c>
      <c r="P142" s="896"/>
      <c r="Q142" s="803"/>
    </row>
    <row r="143" spans="2:17" s="308" customFormat="1" ht="13.5" customHeight="1">
      <c r="B143" s="799"/>
      <c r="C143" s="889"/>
      <c r="D143" s="489"/>
      <c r="E143" s="489"/>
      <c r="F143" s="671"/>
      <c r="G143" s="895"/>
      <c r="H143" s="895"/>
      <c r="I143" s="895"/>
      <c r="J143" s="895"/>
      <c r="K143" s="895"/>
      <c r="L143" s="895"/>
      <c r="M143" s="895"/>
      <c r="N143" s="895"/>
      <c r="O143" s="671"/>
      <c r="P143" s="896"/>
      <c r="Q143" s="803"/>
    </row>
    <row r="144" spans="2:17" s="308" customFormat="1" ht="35.25" customHeight="1">
      <c r="B144" s="799"/>
      <c r="C144" s="889"/>
      <c r="D144" s="489"/>
      <c r="E144" s="489"/>
      <c r="F144" s="890" t="s">
        <v>317</v>
      </c>
      <c r="G144" s="3116"/>
      <c r="H144" s="3117"/>
      <c r="I144" s="3117"/>
      <c r="J144" s="3117"/>
      <c r="K144" s="3117"/>
      <c r="L144" s="3117"/>
      <c r="M144" s="3117"/>
      <c r="N144" s="3118"/>
      <c r="O144" s="671"/>
      <c r="P144" s="896"/>
      <c r="Q144" s="803"/>
    </row>
    <row r="145" spans="1:35" s="308" customFormat="1" ht="13.5" customHeight="1">
      <c r="B145" s="799"/>
      <c r="C145" s="891"/>
      <c r="D145" s="892"/>
      <c r="E145" s="892"/>
      <c r="F145" s="893"/>
      <c r="G145" s="893"/>
      <c r="H145" s="893"/>
      <c r="I145" s="893"/>
      <c r="J145" s="893"/>
      <c r="K145" s="893"/>
      <c r="L145" s="893"/>
      <c r="M145" s="893"/>
      <c r="N145" s="893"/>
      <c r="O145" s="893"/>
      <c r="P145" s="897"/>
      <c r="Q145" s="803"/>
    </row>
    <row r="146" spans="1:35" ht="13.5" customHeight="1" thickBot="1">
      <c r="B146" s="869"/>
      <c r="C146" s="794"/>
      <c r="D146" s="794"/>
      <c r="E146" s="794"/>
      <c r="F146" s="794"/>
      <c r="G146" s="794"/>
      <c r="H146" s="794"/>
      <c r="I146" s="794"/>
      <c r="J146" s="794"/>
      <c r="K146" s="794"/>
      <c r="L146" s="794"/>
      <c r="M146" s="794"/>
      <c r="N146" s="794"/>
      <c r="O146" s="794"/>
      <c r="P146" s="794"/>
      <c r="Q146" s="795"/>
    </row>
    <row r="147" spans="1:35" ht="18.75" customHeight="1">
      <c r="B147" s="475"/>
      <c r="C147" s="476"/>
      <c r="D147" s="476"/>
      <c r="E147" s="476"/>
      <c r="F147" s="476"/>
      <c r="G147" s="476"/>
      <c r="H147" s="476"/>
      <c r="I147" s="476"/>
      <c r="J147" s="476"/>
      <c r="K147" s="476"/>
      <c r="L147" s="35"/>
      <c r="M147" s="35"/>
      <c r="N147" s="35"/>
      <c r="O147" s="58"/>
      <c r="P147" s="58"/>
      <c r="Q147" s="58"/>
    </row>
    <row r="148" spans="1:35" ht="24" customHeight="1">
      <c r="A148" s="1187"/>
      <c r="B148" s="841" t="s">
        <v>318</v>
      </c>
      <c r="C148" s="842"/>
      <c r="D148" s="842"/>
      <c r="E148" s="842"/>
      <c r="F148" s="842"/>
      <c r="G148" s="842"/>
      <c r="H148" s="842"/>
      <c r="I148" s="842"/>
      <c r="J148" s="842"/>
      <c r="K148" s="842"/>
      <c r="L148" s="843"/>
      <c r="M148" s="843"/>
      <c r="N148" s="843"/>
      <c r="O148" s="771"/>
      <c r="P148" s="771"/>
      <c r="Q148" s="771"/>
      <c r="AC148" s="239"/>
      <c r="AD148" s="240"/>
      <c r="AE148" s="240"/>
      <c r="AF148" s="240"/>
      <c r="AG148" s="55"/>
      <c r="AH148" s="55"/>
      <c r="AI148" s="55"/>
    </row>
    <row r="149" spans="1:35" ht="12.75" customHeight="1" thickBot="1"/>
    <row r="150" spans="1:35" ht="14.25" customHeight="1">
      <c r="B150" s="774"/>
      <c r="C150" s="775"/>
      <c r="D150" s="775"/>
      <c r="E150" s="776"/>
      <c r="F150" s="777"/>
      <c r="G150" s="777"/>
      <c r="H150" s="777"/>
      <c r="I150" s="777"/>
      <c r="J150" s="777"/>
      <c r="K150" s="777"/>
      <c r="L150" s="777"/>
      <c r="M150" s="777"/>
      <c r="N150" s="777"/>
      <c r="O150" s="777"/>
      <c r="P150" s="777"/>
      <c r="Q150" s="778"/>
    </row>
    <row r="151" spans="1:35" ht="18" customHeight="1">
      <c r="B151" s="779"/>
      <c r="C151" s="836" t="s">
        <v>319</v>
      </c>
      <c r="D151" s="781"/>
      <c r="E151" s="782"/>
      <c r="F151" s="783"/>
      <c r="G151" s="783"/>
      <c r="H151" s="783"/>
      <c r="I151" s="783"/>
      <c r="J151" s="783"/>
      <c r="K151" s="783"/>
      <c r="L151" s="783"/>
      <c r="M151" s="783"/>
      <c r="N151" s="784" t="s">
        <v>219</v>
      </c>
      <c r="O151" s="353" t="str">
        <f>IF((COUNTBLANK(B155:B167)=ROWS(B155:B167)),"Complété","À compléter")</f>
        <v>À compléter</v>
      </c>
      <c r="P151" s="783"/>
      <c r="Q151" s="786"/>
    </row>
    <row r="152" spans="1:35" ht="18" customHeight="1">
      <c r="B152" s="787"/>
      <c r="C152" s="788"/>
      <c r="D152" s="788"/>
      <c r="E152" s="788"/>
      <c r="F152" s="783"/>
      <c r="G152" s="783"/>
      <c r="H152" s="783"/>
      <c r="I152" s="783"/>
      <c r="J152" s="783"/>
      <c r="K152" s="783"/>
      <c r="L152" s="783"/>
      <c r="M152" s="783"/>
      <c r="N152" s="783"/>
      <c r="O152" s="783"/>
      <c r="P152" s="783"/>
      <c r="Q152" s="786"/>
    </row>
    <row r="153" spans="1:35">
      <c r="B153" s="789"/>
      <c r="C153" s="868" t="s">
        <v>2389</v>
      </c>
      <c r="D153" s="807"/>
      <c r="E153" s="790"/>
      <c r="F153" s="790"/>
      <c r="G153" s="790"/>
      <c r="H153" s="790"/>
      <c r="I153" s="790"/>
      <c r="J153" s="790"/>
      <c r="K153" s="790"/>
      <c r="L153" s="790"/>
      <c r="M153" s="790"/>
      <c r="N153" s="790"/>
      <c r="O153" s="790"/>
      <c r="P153" s="790"/>
      <c r="Q153" s="791"/>
    </row>
    <row r="154" spans="1:35" ht="12" customHeight="1">
      <c r="B154" s="789"/>
      <c r="C154" s="807"/>
      <c r="D154" s="807"/>
      <c r="E154" s="790"/>
      <c r="F154" s="790"/>
      <c r="G154" s="790"/>
      <c r="H154" s="790"/>
      <c r="I154" s="790"/>
      <c r="J154" s="790"/>
      <c r="K154" s="790"/>
      <c r="L154" s="790"/>
      <c r="M154" s="790"/>
      <c r="N154" s="790"/>
      <c r="O154" s="790"/>
      <c r="P154" s="790"/>
      <c r="Q154" s="791"/>
    </row>
    <row r="155" spans="1:35" ht="18" customHeight="1">
      <c r="B155" s="789"/>
      <c r="C155" s="258"/>
      <c r="D155" s="474"/>
      <c r="E155" s="260"/>
      <c r="F155" s="260"/>
      <c r="G155" s="260"/>
      <c r="H155" s="260"/>
      <c r="I155" s="260"/>
      <c r="J155" s="260"/>
      <c r="K155" s="260"/>
      <c r="L155" s="260"/>
      <c r="M155" s="260"/>
      <c r="N155" s="260"/>
      <c r="O155" s="260"/>
      <c r="P155" s="261"/>
      <c r="Q155" s="791"/>
    </row>
    <row r="156" spans="1:35" ht="18" customHeight="1">
      <c r="B156" s="829" t="str">
        <f>IF(ISBLANK(#REF!)=FALSE,"","u")</f>
        <v/>
      </c>
      <c r="C156" s="104"/>
      <c r="D156" s="906" t="s">
        <v>320</v>
      </c>
      <c r="E156" s="905"/>
      <c r="F156" s="906" t="s">
        <v>321</v>
      </c>
      <c r="G156" s="905"/>
      <c r="H156" s="906" t="s">
        <v>322</v>
      </c>
      <c r="I156" s="906"/>
      <c r="J156" s="906" t="s">
        <v>323</v>
      </c>
      <c r="K156" s="906"/>
      <c r="L156" s="907" t="s">
        <v>324</v>
      </c>
      <c r="M156" s="907" t="s">
        <v>325</v>
      </c>
      <c r="N156" s="903" t="s">
        <v>326</v>
      </c>
      <c r="P156" s="604"/>
      <c r="Q156" s="791"/>
    </row>
    <row r="157" spans="1:35" ht="8.25" customHeight="1">
      <c r="B157" s="789"/>
      <c r="C157" s="3143" t="s">
        <v>327</v>
      </c>
      <c r="D157" s="264"/>
      <c r="F157" s="264"/>
      <c r="H157" s="264"/>
      <c r="I157" s="264"/>
      <c r="J157" s="264"/>
      <c r="K157" s="264"/>
      <c r="L157" s="265"/>
      <c r="P157" s="266"/>
      <c r="Q157" s="791"/>
    </row>
    <row r="158" spans="1:35" ht="19.5" customHeight="1">
      <c r="B158" s="829" t="str">
        <f>IF(OR(ISBLANK(D158),ISBLANK(F158),ISBLANK(H158),ISBLANK(J158),ISBLANK(L158),ISBLANK(N158))=FALSE,"","u")</f>
        <v>u</v>
      </c>
      <c r="C158" s="3143"/>
      <c r="D158" s="3144"/>
      <c r="E158" s="3145"/>
      <c r="F158" s="3141"/>
      <c r="G158" s="3142"/>
      <c r="H158" s="3141"/>
      <c r="I158" s="3142"/>
      <c r="J158" s="3141"/>
      <c r="K158" s="3142"/>
      <c r="L158" s="629"/>
      <c r="M158" s="630"/>
      <c r="N158" s="3141"/>
      <c r="O158" s="3142"/>
      <c r="P158" s="931">
        <v>6</v>
      </c>
      <c r="Q158" s="791"/>
    </row>
    <row r="159" spans="1:35" ht="14.25" customHeight="1">
      <c r="B159" s="789"/>
      <c r="C159" s="3143"/>
      <c r="D159" s="267"/>
      <c r="E159" s="267"/>
      <c r="F159" s="267"/>
      <c r="G159" s="267"/>
      <c r="H159" s="267"/>
      <c r="I159" s="267"/>
      <c r="J159" s="267"/>
      <c r="L159" s="904"/>
      <c r="M159" s="904"/>
      <c r="N159" s="904"/>
      <c r="O159" s="904"/>
      <c r="P159" s="930"/>
      <c r="Q159" s="791"/>
    </row>
    <row r="160" spans="1:35" ht="19.5" customHeight="1">
      <c r="B160" s="789"/>
      <c r="C160" s="902" t="s">
        <v>329</v>
      </c>
      <c r="D160" s="3146"/>
      <c r="E160" s="3147"/>
      <c r="F160" s="3090"/>
      <c r="G160" s="3092"/>
      <c r="H160" s="3090"/>
      <c r="I160" s="3092"/>
      <c r="J160" s="3090"/>
      <c r="K160" s="3092"/>
      <c r="L160" s="630"/>
      <c r="M160" s="630"/>
      <c r="N160" s="3090"/>
      <c r="O160" s="3092"/>
      <c r="P160" s="931">
        <v>6</v>
      </c>
      <c r="Q160" s="791"/>
    </row>
    <row r="161" spans="1:35" ht="14.25" customHeight="1">
      <c r="B161" s="789"/>
      <c r="C161" s="908"/>
      <c r="D161" s="267"/>
      <c r="E161" s="267"/>
      <c r="F161" s="267"/>
      <c r="G161" s="267"/>
      <c r="H161" s="267"/>
      <c r="I161" s="267"/>
      <c r="J161" s="267"/>
      <c r="L161" s="904"/>
      <c r="M161" s="904"/>
      <c r="N161" s="904"/>
      <c r="O161" s="904"/>
      <c r="P161" s="930"/>
      <c r="Q161" s="791"/>
    </row>
    <row r="162" spans="1:35" ht="19.5" customHeight="1">
      <c r="B162" s="789"/>
      <c r="C162" s="902" t="s">
        <v>330</v>
      </c>
      <c r="D162" s="3146"/>
      <c r="E162" s="3147"/>
      <c r="F162" s="3090"/>
      <c r="G162" s="3092"/>
      <c r="H162" s="3090"/>
      <c r="I162" s="3092"/>
      <c r="J162" s="3090"/>
      <c r="K162" s="3092"/>
      <c r="L162" s="630"/>
      <c r="M162" s="630"/>
      <c r="N162" s="3090"/>
      <c r="O162" s="3092"/>
      <c r="P162" s="931">
        <v>6</v>
      </c>
      <c r="Q162" s="791"/>
    </row>
    <row r="163" spans="1:35" ht="14.25" customHeight="1">
      <c r="B163" s="789"/>
      <c r="C163" s="908"/>
      <c r="D163" s="267"/>
      <c r="E163" s="267"/>
      <c r="F163" s="267"/>
      <c r="G163" s="267"/>
      <c r="H163" s="267"/>
      <c r="I163" s="267"/>
      <c r="J163" s="267"/>
      <c r="L163" s="904"/>
      <c r="M163" s="904"/>
      <c r="N163" s="904"/>
      <c r="O163" s="904"/>
      <c r="P163" s="930"/>
      <c r="Q163" s="791"/>
    </row>
    <row r="164" spans="1:35" ht="19.5" customHeight="1">
      <c r="B164" s="789"/>
      <c r="C164" s="902" t="s">
        <v>331</v>
      </c>
      <c r="D164" s="3146"/>
      <c r="E164" s="3147"/>
      <c r="F164" s="3090"/>
      <c r="G164" s="3092"/>
      <c r="H164" s="3090"/>
      <c r="I164" s="3092"/>
      <c r="J164" s="3090"/>
      <c r="K164" s="3092"/>
      <c r="L164" s="630"/>
      <c r="M164" s="630"/>
      <c r="N164" s="3090"/>
      <c r="O164" s="3092"/>
      <c r="P164" s="931">
        <v>6</v>
      </c>
      <c r="Q164" s="791"/>
    </row>
    <row r="165" spans="1:35" ht="14.25" customHeight="1">
      <c r="B165" s="789"/>
      <c r="C165" s="908"/>
      <c r="D165" s="267"/>
      <c r="E165" s="267"/>
      <c r="F165" s="267"/>
      <c r="G165" s="267"/>
      <c r="H165" s="267"/>
      <c r="I165" s="267"/>
      <c r="J165" s="267"/>
      <c r="L165" s="904"/>
      <c r="M165" s="904"/>
      <c r="N165" s="904"/>
      <c r="O165" s="904"/>
      <c r="P165" s="930"/>
      <c r="Q165" s="791"/>
    </row>
    <row r="166" spans="1:35" ht="19.5" customHeight="1">
      <c r="B166" s="789"/>
      <c r="C166" s="902" t="s">
        <v>332</v>
      </c>
      <c r="D166" s="3146"/>
      <c r="E166" s="3147"/>
      <c r="F166" s="3090"/>
      <c r="G166" s="3092"/>
      <c r="H166" s="3090"/>
      <c r="I166" s="3092"/>
      <c r="J166" s="3090"/>
      <c r="K166" s="3092"/>
      <c r="L166" s="630"/>
      <c r="M166" s="630"/>
      <c r="N166" s="3090"/>
      <c r="O166" s="3092"/>
      <c r="P166" s="931">
        <v>6</v>
      </c>
      <c r="Q166" s="791"/>
    </row>
    <row r="167" spans="1:35" ht="19.5" customHeight="1">
      <c r="B167" s="789"/>
      <c r="C167" s="268"/>
      <c r="D167" s="269"/>
      <c r="E167" s="270"/>
      <c r="F167" s="270"/>
      <c r="G167" s="270"/>
      <c r="H167" s="270"/>
      <c r="I167" s="271"/>
      <c r="J167" s="272"/>
      <c r="K167" s="272"/>
      <c r="L167" s="272"/>
      <c r="M167" s="272"/>
      <c r="N167" s="272"/>
      <c r="O167" s="272"/>
      <c r="P167" s="273"/>
      <c r="Q167" s="791"/>
    </row>
    <row r="168" spans="1:35" ht="13.5" customHeight="1" thickBot="1">
      <c r="B168" s="869"/>
      <c r="C168" s="794"/>
      <c r="D168" s="794"/>
      <c r="E168" s="794"/>
      <c r="F168" s="794"/>
      <c r="G168" s="794"/>
      <c r="H168" s="794"/>
      <c r="I168" s="794"/>
      <c r="J168" s="794"/>
      <c r="K168" s="794"/>
      <c r="L168" s="794"/>
      <c r="M168" s="794"/>
      <c r="N168" s="794"/>
      <c r="O168" s="794"/>
      <c r="P168" s="794"/>
      <c r="Q168" s="795"/>
    </row>
    <row r="169" spans="1:35" ht="24" customHeight="1"/>
    <row r="170" spans="1:35" ht="24" customHeight="1">
      <c r="A170" s="1187"/>
      <c r="B170" s="841" t="s">
        <v>333</v>
      </c>
      <c r="C170" s="842"/>
      <c r="D170" s="842"/>
      <c r="E170" s="842"/>
      <c r="F170" s="842"/>
      <c r="G170" s="842"/>
      <c r="H170" s="842"/>
      <c r="I170" s="842"/>
      <c r="J170" s="842"/>
      <c r="K170" s="842"/>
      <c r="L170" s="843"/>
      <c r="M170" s="843"/>
      <c r="N170" s="843"/>
      <c r="O170" s="771"/>
      <c r="P170" s="771"/>
      <c r="Q170" s="771"/>
      <c r="AC170" s="239"/>
      <c r="AD170" s="240"/>
      <c r="AE170" s="240"/>
      <c r="AF170" s="240"/>
      <c r="AG170" s="55"/>
      <c r="AH170" s="55"/>
      <c r="AI170" s="55"/>
    </row>
    <row r="171" spans="1:35" ht="12.75" customHeight="1" thickBot="1"/>
    <row r="172" spans="1:35" ht="14.25" customHeight="1">
      <c r="B172" s="774"/>
      <c r="C172" s="775"/>
      <c r="D172" s="775"/>
      <c r="E172" s="776"/>
      <c r="F172" s="777"/>
      <c r="G172" s="777"/>
      <c r="H172" s="777"/>
      <c r="I172" s="777"/>
      <c r="J172" s="777"/>
      <c r="K172" s="777"/>
      <c r="L172" s="777"/>
      <c r="M172" s="777"/>
      <c r="N172" s="777"/>
      <c r="O172" s="777"/>
      <c r="P172" s="777"/>
      <c r="Q172" s="778"/>
    </row>
    <row r="173" spans="1:35" ht="18" customHeight="1">
      <c r="B173" s="779"/>
      <c r="C173" s="836" t="s">
        <v>334</v>
      </c>
      <c r="D173" s="781"/>
      <c r="E173" s="782"/>
      <c r="F173" s="783"/>
      <c r="G173" s="783"/>
      <c r="H173" s="783"/>
      <c r="I173" s="783"/>
      <c r="J173" s="783"/>
      <c r="K173" s="783"/>
      <c r="L173" s="783"/>
      <c r="M173" s="783"/>
      <c r="N173" s="784" t="s">
        <v>219</v>
      </c>
      <c r="O173" s="353" t="str">
        <f>IF((COUNTBLANK(B177:B188)=ROWS(B177:B188)),"Complété","À compléter")</f>
        <v>À compléter</v>
      </c>
      <c r="P173" s="783"/>
      <c r="Q173" s="786"/>
    </row>
    <row r="174" spans="1:35" ht="18" customHeight="1">
      <c r="B174" s="787"/>
      <c r="C174" s="788"/>
      <c r="D174" s="788"/>
      <c r="E174" s="788"/>
      <c r="F174" s="783"/>
      <c r="G174" s="783"/>
      <c r="H174" s="783"/>
      <c r="I174" s="783"/>
      <c r="J174" s="783"/>
      <c r="K174" s="783"/>
      <c r="L174" s="783"/>
      <c r="M174" s="783"/>
      <c r="N174" s="783"/>
      <c r="O174" s="783"/>
      <c r="P174" s="783"/>
      <c r="Q174" s="786"/>
    </row>
    <row r="175" spans="1:35">
      <c r="B175" s="789"/>
      <c r="C175" s="868" t="s">
        <v>335</v>
      </c>
      <c r="D175" s="807"/>
      <c r="E175" s="790"/>
      <c r="F175" s="790"/>
      <c r="G175" s="790"/>
      <c r="H175" s="790"/>
      <c r="I175" s="790"/>
      <c r="J175" s="790"/>
      <c r="K175" s="790"/>
      <c r="L175" s="790"/>
      <c r="M175" s="790"/>
      <c r="N175" s="790"/>
      <c r="O175" s="790"/>
      <c r="P175" s="790"/>
      <c r="Q175" s="791"/>
    </row>
    <row r="176" spans="1:35" ht="12" customHeight="1">
      <c r="B176" s="789"/>
      <c r="C176" s="807"/>
      <c r="D176" s="807"/>
      <c r="E176" s="790"/>
      <c r="F176" s="790"/>
      <c r="G176" s="790"/>
      <c r="H176" s="790"/>
      <c r="I176" s="790"/>
      <c r="J176" s="790"/>
      <c r="K176" s="790"/>
      <c r="L176" s="790"/>
      <c r="M176" s="790"/>
      <c r="N176" s="790"/>
      <c r="O176" s="790"/>
      <c r="P176" s="790"/>
      <c r="Q176" s="791"/>
    </row>
    <row r="177" spans="2:17" ht="18" customHeight="1">
      <c r="B177" s="789"/>
      <c r="C177" s="258"/>
      <c r="D177" s="474"/>
      <c r="E177" s="260"/>
      <c r="F177" s="260"/>
      <c r="G177" s="260"/>
      <c r="H177" s="260"/>
      <c r="I177" s="260"/>
      <c r="J177" s="260"/>
      <c r="K177" s="260"/>
      <c r="L177" s="260"/>
      <c r="M177" s="260"/>
      <c r="N177" s="260"/>
      <c r="O177" s="260"/>
      <c r="P177" s="261"/>
      <c r="Q177" s="791"/>
    </row>
    <row r="178" spans="2:17" ht="18" customHeight="1">
      <c r="B178" s="829" t="str">
        <f>IF(ISBLANK(#REF!)=FALSE,"","u")</f>
        <v/>
      </c>
      <c r="C178" s="438"/>
      <c r="E178" s="262"/>
      <c r="F178" s="905" t="s">
        <v>336</v>
      </c>
      <c r="G178" s="906"/>
      <c r="H178" s="905" t="s">
        <v>337</v>
      </c>
      <c r="I178" s="906"/>
      <c r="J178" s="905" t="s">
        <v>338</v>
      </c>
      <c r="K178" s="906"/>
      <c r="L178" s="906" t="s">
        <v>339</v>
      </c>
      <c r="M178" s="263"/>
      <c r="N178" s="263"/>
      <c r="P178" s="604"/>
      <c r="Q178" s="791"/>
    </row>
    <row r="179" spans="2:17" ht="8.25" customHeight="1">
      <c r="B179" s="789"/>
      <c r="C179" s="282"/>
      <c r="E179" s="264"/>
      <c r="G179" s="264"/>
      <c r="I179" s="264"/>
      <c r="J179" s="264"/>
      <c r="K179" s="264"/>
      <c r="L179" s="264"/>
      <c r="M179" s="265"/>
      <c r="P179" s="266"/>
      <c r="Q179" s="791"/>
    </row>
    <row r="180" spans="2:17" ht="19.5" customHeight="1">
      <c r="B180" s="829" t="str">
        <f>IF(OR(ISBLANK(F180),ISBLANK(H180),ISBLANK(J180))=FALSE,"","u")</f>
        <v>u</v>
      </c>
      <c r="C180" s="3119" t="s">
        <v>340</v>
      </c>
      <c r="D180" s="3120"/>
      <c r="E180" s="3121"/>
      <c r="F180" s="3085"/>
      <c r="G180" s="3087"/>
      <c r="H180" s="3088"/>
      <c r="I180" s="3089"/>
      <c r="J180" s="3088"/>
      <c r="K180" s="3089"/>
      <c r="L180" s="3090"/>
      <c r="M180" s="3091"/>
      <c r="N180" s="3091"/>
      <c r="O180" s="3092"/>
      <c r="P180" s="604"/>
      <c r="Q180" s="791"/>
    </row>
    <row r="181" spans="2:17" ht="14.25" customHeight="1">
      <c r="B181" s="789"/>
      <c r="C181" s="908"/>
      <c r="D181" s="2255"/>
      <c r="E181" s="2256"/>
      <c r="F181" s="267"/>
      <c r="G181" s="267"/>
      <c r="H181" s="267"/>
      <c r="I181" s="267"/>
      <c r="J181" s="267"/>
      <c r="K181" s="267"/>
      <c r="P181" s="266"/>
      <c r="Q181" s="791"/>
    </row>
    <row r="182" spans="2:17" ht="19.5" customHeight="1">
      <c r="B182" s="789"/>
      <c r="C182" s="3119" t="s">
        <v>341</v>
      </c>
      <c r="D182" s="3120"/>
      <c r="E182" s="3121"/>
      <c r="F182" s="3122"/>
      <c r="G182" s="3123"/>
      <c r="H182" s="3093"/>
      <c r="I182" s="3094"/>
      <c r="J182" s="3093"/>
      <c r="K182" s="3094"/>
      <c r="L182" s="3090"/>
      <c r="M182" s="3091"/>
      <c r="N182" s="3091"/>
      <c r="O182" s="3092"/>
      <c r="P182" s="266"/>
      <c r="Q182" s="791"/>
    </row>
    <row r="183" spans="2:17" ht="19.5" customHeight="1">
      <c r="B183" s="789"/>
      <c r="C183" s="922"/>
      <c r="D183" s="920"/>
      <c r="E183" s="921"/>
      <c r="F183" s="3122"/>
      <c r="G183" s="3123"/>
      <c r="H183" s="3093"/>
      <c r="I183" s="3094"/>
      <c r="J183" s="3093"/>
      <c r="K183" s="3094"/>
      <c r="L183" s="3090"/>
      <c r="M183" s="3091"/>
      <c r="N183" s="3091"/>
      <c r="O183" s="3092"/>
      <c r="P183" s="266"/>
      <c r="Q183" s="791"/>
    </row>
    <row r="184" spans="2:17" ht="19.5" customHeight="1">
      <c r="B184" s="789"/>
      <c r="C184" s="902"/>
      <c r="D184" s="958"/>
      <c r="E184" s="1180"/>
      <c r="F184" s="3122"/>
      <c r="G184" s="3123"/>
      <c r="H184" s="3093"/>
      <c r="I184" s="3094"/>
      <c r="J184" s="3093"/>
      <c r="K184" s="3094"/>
      <c r="L184" s="3090"/>
      <c r="M184" s="3091"/>
      <c r="N184" s="3091"/>
      <c r="O184" s="3092"/>
      <c r="P184" s="604"/>
      <c r="Q184" s="791"/>
    </row>
    <row r="185" spans="2:17" ht="17.25" customHeight="1">
      <c r="B185" s="789"/>
      <c r="C185" s="902"/>
      <c r="D185" s="1181"/>
      <c r="E185" s="1180"/>
      <c r="F185" s="3122"/>
      <c r="G185" s="3123"/>
      <c r="H185" s="3093"/>
      <c r="I185" s="3094"/>
      <c r="J185" s="3093"/>
      <c r="K185" s="3094"/>
      <c r="L185" s="3090"/>
      <c r="M185" s="3091"/>
      <c r="N185" s="3091"/>
      <c r="O185" s="3092"/>
      <c r="P185" s="604"/>
      <c r="Q185" s="791"/>
    </row>
    <row r="186" spans="2:17" ht="14.25" customHeight="1">
      <c r="B186" s="789"/>
      <c r="C186" s="919"/>
      <c r="D186" s="905"/>
      <c r="E186" s="924"/>
      <c r="G186" s="264"/>
      <c r="I186" s="264"/>
      <c r="J186" s="264"/>
      <c r="K186" s="264"/>
      <c r="L186" s="264"/>
      <c r="M186" s="265"/>
      <c r="P186" s="266"/>
      <c r="Q186" s="791"/>
    </row>
    <row r="187" spans="2:17" ht="19.5" customHeight="1">
      <c r="B187" s="829" t="str">
        <f>IF(ISBLANK(F187)=FALSE,"","u")</f>
        <v>u</v>
      </c>
      <c r="C187" s="3119" t="s">
        <v>342</v>
      </c>
      <c r="D187" s="3120"/>
      <c r="E187" s="3121"/>
      <c r="F187" s="3085"/>
      <c r="G187" s="3086"/>
      <c r="H187" s="3086"/>
      <c r="I187" s="3086"/>
      <c r="J187" s="3086"/>
      <c r="K187" s="3087"/>
      <c r="L187" s="3090"/>
      <c r="M187" s="3091"/>
      <c r="N187" s="3091"/>
      <c r="O187" s="3092"/>
      <c r="P187" s="604"/>
      <c r="Q187" s="791"/>
    </row>
    <row r="188" spans="2:17" ht="21" customHeight="1">
      <c r="B188" s="789"/>
      <c r="C188" s="268"/>
      <c r="D188" s="269"/>
      <c r="E188" s="270"/>
      <c r="F188" s="270"/>
      <c r="G188" s="270"/>
      <c r="H188" s="270"/>
      <c r="I188" s="271"/>
      <c r="J188" s="272"/>
      <c r="K188" s="272"/>
      <c r="L188" s="272"/>
      <c r="M188" s="272"/>
      <c r="N188" s="272"/>
      <c r="O188" s="272"/>
      <c r="P188" s="273"/>
      <c r="Q188" s="791"/>
    </row>
    <row r="189" spans="2:17" ht="19.5" customHeight="1" thickBot="1">
      <c r="B189" s="869"/>
      <c r="C189" s="794"/>
      <c r="D189" s="794"/>
      <c r="E189" s="794"/>
      <c r="F189" s="794"/>
      <c r="G189" s="794"/>
      <c r="H189" s="794"/>
      <c r="I189" s="794"/>
      <c r="J189" s="794"/>
      <c r="K189" s="794"/>
      <c r="L189" s="794"/>
      <c r="M189" s="794"/>
      <c r="N189" s="794"/>
      <c r="O189" s="794"/>
      <c r="P189" s="794"/>
      <c r="Q189" s="795"/>
    </row>
    <row r="190" spans="2:17" ht="10.5" customHeight="1"/>
  </sheetData>
  <sheetProtection algorithmName="SHA-512" hashValue="sKtd+GpFs4ufggO79Ebq0+BYYcL2EUIPHcbc7BSkhyDf2l6ACKEAwkUYA7nWPLRSO84n52rX7ySi/Y3K4/RfIQ==" saltValue="w8LYXWOFo3jAnCBU6NVmZg==" spinCount="100000" sheet="1" objects="1" scenarios="1"/>
  <mergeCells count="143">
    <mergeCell ref="N87:P87"/>
    <mergeCell ref="N86:P86"/>
    <mergeCell ref="L85:M85"/>
    <mergeCell ref="L94:M94"/>
    <mergeCell ref="L93:M93"/>
    <mergeCell ref="L92:M92"/>
    <mergeCell ref="L91:M91"/>
    <mergeCell ref="L90:M90"/>
    <mergeCell ref="L89:M89"/>
    <mergeCell ref="L88:M88"/>
    <mergeCell ref="L87:M87"/>
    <mergeCell ref="L86:M86"/>
    <mergeCell ref="N85:P85"/>
    <mergeCell ref="N81:O81"/>
    <mergeCell ref="H81:L81"/>
    <mergeCell ref="H102:L102"/>
    <mergeCell ref="D102:F102"/>
    <mergeCell ref="N102:O102"/>
    <mergeCell ref="C123:O123"/>
    <mergeCell ref="C128:D128"/>
    <mergeCell ref="E128:O128"/>
    <mergeCell ref="D94:E94"/>
    <mergeCell ref="F94:H94"/>
    <mergeCell ref="I94:K94"/>
    <mergeCell ref="D92:E92"/>
    <mergeCell ref="F92:H92"/>
    <mergeCell ref="I92:K92"/>
    <mergeCell ref="D93:E93"/>
    <mergeCell ref="F93:H93"/>
    <mergeCell ref="I93:K93"/>
    <mergeCell ref="E120:O120"/>
    <mergeCell ref="F90:H90"/>
    <mergeCell ref="I90:K90"/>
    <mergeCell ref="D91:E91"/>
    <mergeCell ref="F91:H91"/>
    <mergeCell ref="I91:K91"/>
    <mergeCell ref="D88:E88"/>
    <mergeCell ref="F88:H88"/>
    <mergeCell ref="I88:K88"/>
    <mergeCell ref="D89:E89"/>
    <mergeCell ref="F89:H89"/>
    <mergeCell ref="I89:K89"/>
    <mergeCell ref="N166:O166"/>
    <mergeCell ref="N164:O164"/>
    <mergeCell ref="J166:K166"/>
    <mergeCell ref="J164:K164"/>
    <mergeCell ref="H166:I166"/>
    <mergeCell ref="H164:I164"/>
    <mergeCell ref="D160:E160"/>
    <mergeCell ref="F166:G166"/>
    <mergeCell ref="F164:G164"/>
    <mergeCell ref="D166:E166"/>
    <mergeCell ref="D164:E164"/>
    <mergeCell ref="C131:O131"/>
    <mergeCell ref="N94:P94"/>
    <mergeCell ref="N93:P93"/>
    <mergeCell ref="N92:P92"/>
    <mergeCell ref="N91:P91"/>
    <mergeCell ref="N90:P90"/>
    <mergeCell ref="N89:P89"/>
    <mergeCell ref="N88:P88"/>
    <mergeCell ref="J6:K6"/>
    <mergeCell ref="N162:O162"/>
    <mergeCell ref="N160:O160"/>
    <mergeCell ref="N158:O158"/>
    <mergeCell ref="C157:C159"/>
    <mergeCell ref="J158:K158"/>
    <mergeCell ref="H158:I158"/>
    <mergeCell ref="F158:G158"/>
    <mergeCell ref="D158:E158"/>
    <mergeCell ref="J162:K162"/>
    <mergeCell ref="J160:K160"/>
    <mergeCell ref="H162:I162"/>
    <mergeCell ref="H160:I160"/>
    <mergeCell ref="F162:G162"/>
    <mergeCell ref="F160:G160"/>
    <mergeCell ref="D162:E162"/>
    <mergeCell ref="C45:O45"/>
    <mergeCell ref="C46:O46"/>
    <mergeCell ref="G144:N144"/>
    <mergeCell ref="C21:O21"/>
    <mergeCell ref="C22:O22"/>
    <mergeCell ref="C23:O23"/>
    <mergeCell ref="C49:M49"/>
    <mergeCell ref="D90:E90"/>
    <mergeCell ref="C24:O24"/>
    <mergeCell ref="C25:O25"/>
    <mergeCell ref="C26:O26"/>
    <mergeCell ref="C29:P29"/>
    <mergeCell ref="D72:F72"/>
    <mergeCell ref="C41:O41"/>
    <mergeCell ref="C43:O43"/>
    <mergeCell ref="N49:O49"/>
    <mergeCell ref="D62:F62"/>
    <mergeCell ref="H62:K62"/>
    <mergeCell ref="M62:O62"/>
    <mergeCell ref="N72:O72"/>
    <mergeCell ref="H72:L72"/>
    <mergeCell ref="C187:E187"/>
    <mergeCell ref="C182:E182"/>
    <mergeCell ref="C180:E180"/>
    <mergeCell ref="H182:I182"/>
    <mergeCell ref="F185:G185"/>
    <mergeCell ref="F184:G184"/>
    <mergeCell ref="F183:G183"/>
    <mergeCell ref="F182:G182"/>
    <mergeCell ref="H185:I185"/>
    <mergeCell ref="H184:I184"/>
    <mergeCell ref="H183:I183"/>
    <mergeCell ref="D86:E86"/>
    <mergeCell ref="F86:H86"/>
    <mergeCell ref="I86:K86"/>
    <mergeCell ref="D87:E87"/>
    <mergeCell ref="F87:H87"/>
    <mergeCell ref="I87:K87"/>
    <mergeCell ref="D81:F81"/>
    <mergeCell ref="D85:E85"/>
    <mergeCell ref="F85:H85"/>
    <mergeCell ref="I85:K85"/>
    <mergeCell ref="M3:Q3"/>
    <mergeCell ref="F187:K187"/>
    <mergeCell ref="H180:I180"/>
    <mergeCell ref="F180:G180"/>
    <mergeCell ref="L182:O182"/>
    <mergeCell ref="L180:O180"/>
    <mergeCell ref="J185:K185"/>
    <mergeCell ref="J184:K184"/>
    <mergeCell ref="J183:K183"/>
    <mergeCell ref="J182:K182"/>
    <mergeCell ref="J180:K180"/>
    <mergeCell ref="L187:O187"/>
    <mergeCell ref="L185:O185"/>
    <mergeCell ref="L184:O184"/>
    <mergeCell ref="I6:I7"/>
    <mergeCell ref="G142:N142"/>
    <mergeCell ref="C42:O42"/>
    <mergeCell ref="C44:O44"/>
    <mergeCell ref="C32:M32"/>
    <mergeCell ref="N32:O32"/>
    <mergeCell ref="L183:O183"/>
    <mergeCell ref="L6:M6"/>
    <mergeCell ref="N6:O6"/>
    <mergeCell ref="C120:D120"/>
  </mergeCells>
  <conditionalFormatting sqref="D72 N32 N49 E116 E118 G142 D158 F158 H158 J158 L158 N158 F180 H180 J180">
    <cfRule type="notContainsBlanks" dxfId="663" priority="42">
      <formula>LEN(TRIM(D32))&gt;0</formula>
    </cfRule>
  </conditionalFormatting>
  <conditionalFormatting sqref="D81 H81 N81 D85:E94 L85:M94 D62">
    <cfRule type="notContainsBlanks" dxfId="662" priority="12">
      <formula>LEN(TRIM(D62))&gt;0</formula>
    </cfRule>
  </conditionalFormatting>
  <conditionalFormatting sqref="D102 H102 N102">
    <cfRule type="notContainsBlanks" dxfId="659" priority="5">
      <formula>LEN(TRIM(D102))&gt;0</formula>
    </cfRule>
  </conditionalFormatting>
  <conditionalFormatting sqref="F126">
    <cfRule type="notContainsBlanks" dxfId="654" priority="17">
      <formula>LEN(TRIM(F126))&gt;0</formula>
    </cfRule>
  </conditionalFormatting>
  <conditionalFormatting sqref="F187">
    <cfRule type="notContainsBlanks" dxfId="653" priority="30">
      <formula>LEN(TRIM(F187))&gt;0</formula>
    </cfRule>
  </conditionalFormatting>
  <conditionalFormatting sqref="I126">
    <cfRule type="notContainsBlanks" dxfId="650" priority="16">
      <formula>LEN(TRIM(I126))&gt;0</formula>
    </cfRule>
  </conditionalFormatting>
  <conditionalFormatting sqref="L126">
    <cfRule type="notContainsBlanks" dxfId="649" priority="15">
      <formula>LEN(TRIM(L126))&gt;0</formula>
    </cfRule>
  </conditionalFormatting>
  <conditionalFormatting sqref="O19 O39 O56 O111 O151">
    <cfRule type="containsText" dxfId="648" priority="40" operator="containsText" text="Complété">
      <formula>NOT(ISERROR(SEARCH("Complété",O19)))</formula>
    </cfRule>
    <cfRule type="containsText" dxfId="647" priority="41" operator="containsText" text="À compléter">
      <formula>NOT(ISERROR(SEARCH("À compléter",O19)))</formula>
    </cfRule>
  </conditionalFormatting>
  <conditionalFormatting sqref="O65">
    <cfRule type="containsText" dxfId="646" priority="26" operator="containsText" text="Complété">
      <formula>NOT(ISERROR(SEARCH("Complété",O65)))</formula>
    </cfRule>
    <cfRule type="containsText" dxfId="645" priority="27" operator="containsText" text="À compléter">
      <formula>NOT(ISERROR(SEARCH("À compléter",O65)))</formula>
    </cfRule>
  </conditionalFormatting>
  <conditionalFormatting sqref="O76">
    <cfRule type="containsText" dxfId="644" priority="24" operator="containsText" text="Complété">
      <formula>NOT(ISERROR(SEARCH("Complété",O76)))</formula>
    </cfRule>
    <cfRule type="containsText" dxfId="643" priority="25" operator="containsText" text="À compléter">
      <formula>NOT(ISERROR(SEARCH("À compléter",O76)))</formula>
    </cfRule>
  </conditionalFormatting>
  <conditionalFormatting sqref="O97">
    <cfRule type="containsText" dxfId="642" priority="7" operator="containsText" text="Complété">
      <formula>NOT(ISERROR(SEARCH("Complété",O97)))</formula>
    </cfRule>
    <cfRule type="containsText" dxfId="641" priority="8" operator="containsText" text="À compléter">
      <formula>NOT(ISERROR(SEARCH("À compléter",O97)))</formula>
    </cfRule>
  </conditionalFormatting>
  <conditionalFormatting sqref="O173">
    <cfRule type="containsText" dxfId="640" priority="32" operator="containsText" text="Complété">
      <formula>NOT(ISERROR(SEARCH("Complété",O173)))</formula>
    </cfRule>
    <cfRule type="containsText" dxfId="639" priority="33" operator="containsText" text="À compléter">
      <formula>NOT(ISERROR(SEARCH("À compléter",O173)))</formula>
    </cfRule>
  </conditionalFormatting>
  <hyperlinks>
    <hyperlink ref="C8" location="IDENTIFICATION!A16" display="Partie A" xr:uid="{00000000-0004-0000-0400-000000000000}"/>
    <hyperlink ref="C9" location="IDENTIFICATION!A36" display="Partie B" xr:uid="{00000000-0004-0000-0400-000001000000}"/>
    <hyperlink ref="C10" location="IDENTIFICATION!A53" display="Partie C" xr:uid="{00000000-0004-0000-0400-000002000000}"/>
    <hyperlink ref="C13" location="IDENTIFICATION!A170" display="Partie F" xr:uid="{00000000-0004-0000-0400-000003000000}"/>
    <hyperlink ref="C11" location="IDENTIFICATION!A108" display="Partie D" xr:uid="{00000000-0004-0000-0400-000004000000}"/>
    <hyperlink ref="C12" location="IDENTIFICATION!A148" display="Partie E" xr:uid="{00000000-0004-0000-0400-000005000000}"/>
  </hyperlinks>
  <pageMargins left="0.70866141732283472" right="0.51181102362204722" top="0.55118110236220474" bottom="0.55118110236220474" header="0.31496062992125984" footer="0.31496062992125984"/>
  <pageSetup scale="55" fitToHeight="0" orientation="landscape" r:id="rId1"/>
  <headerFooter>
    <oddFooter>&amp;L&amp;9Version 1.0   © CERIU2023&amp;R&amp;9Onglet IDENTIFICATION
Page &amp;P de &amp;N</oddFooter>
  </headerFooter>
  <rowBreaks count="2" manualBreakCount="2">
    <brk id="107" max="16383" man="1"/>
    <brk id="147" max="16383" man="1"/>
  </rowBreaks>
  <extLst>
    <ext xmlns:x14="http://schemas.microsoft.com/office/spreadsheetml/2009/9/main" uri="{78C0D931-6437-407d-A8EE-F0AAD7539E65}">
      <x14:conditionalFormattings>
        <x14:conditionalFormatting xmlns:xm="http://schemas.microsoft.com/office/excel/2006/main">
          <x14:cfRule type="expression" priority="4" id="{F8804224-F0E2-4AE5-93B6-ABAD81FFBD03}">
            <xm:f>OR($D$62='MENU DÉROULANT'!$D$19,$D$62='MENU DÉROULANT'!$D$21)</xm:f>
            <x14:dxf>
              <fill>
                <patternFill patternType="lightUp">
                  <fgColor theme="9"/>
                  <bgColor theme="9" tint="0.79998168889431442"/>
                </patternFill>
              </fill>
            </x14:dxf>
          </x14:cfRule>
          <xm:sqref>D81 H81 N81 D85:E94 L85:M94</xm:sqref>
        </x14:conditionalFormatting>
        <x14:conditionalFormatting xmlns:xm="http://schemas.microsoft.com/office/excel/2006/main">
          <x14:cfRule type="expression" priority="3" id="{558527B8-2B2B-466B-9262-BBF7AB51CD64}">
            <xm:f>OR($D$62='MENU DÉROULANT'!$D$20,$D$62='MENU DÉROULANT'!$D$19)</xm:f>
            <x14:dxf>
              <fill>
                <patternFill patternType="lightUp">
                  <fgColor theme="9"/>
                  <bgColor theme="9" tint="0.79998168889431442"/>
                </patternFill>
              </fill>
            </x14:dxf>
          </x14:cfRule>
          <xm:sqref>D102 H102 N102</xm:sqref>
        </x14:conditionalFormatting>
        <x14:conditionalFormatting xmlns:xm="http://schemas.microsoft.com/office/excel/2006/main">
          <x14:cfRule type="expression" priority="6" id="{28D7B62E-9F95-47E7-9EA3-4461D010F47A}">
            <xm:f>$D$62='MENU DÉROULANT'!$D$21</xm:f>
            <x14:dxf>
              <fill>
                <patternFill>
                  <bgColor rgb="FFFFF2CC"/>
                </patternFill>
              </fill>
            </x14:dxf>
          </x14:cfRule>
          <xm:sqref>D102 N102</xm:sqref>
        </x14:conditionalFormatting>
        <x14:conditionalFormatting xmlns:xm="http://schemas.microsoft.com/office/excel/2006/main">
          <x14:cfRule type="expression" priority="7837" id="{7B1651F5-969B-48E4-9CB8-46A536220242}">
            <xm:f>$D$62='MENU DÉROULANT'!$D$20</xm:f>
            <x14:dxf>
              <fill>
                <patternFill>
                  <bgColor rgb="FFFFF2CC"/>
                </patternFill>
              </fill>
            </x14:dxf>
          </x14:cfRule>
          <xm:sqref>D85:E94 L85:M94</xm:sqref>
        </x14:conditionalFormatting>
        <x14:conditionalFormatting xmlns:xm="http://schemas.microsoft.com/office/excel/2006/main">
          <x14:cfRule type="expression" priority="10" id="{F8804224-F0E2-4AE5-93B6-ABAD81FFBD03}">
            <xm:f>OR($D$62='MENU DÉROULANT'!$D$20,$D$62='MENU DÉROULANT'!$D$21)</xm:f>
            <x14:dxf>
              <fill>
                <patternFill patternType="lightUp">
                  <fgColor theme="9"/>
                  <bgColor theme="9" tint="0.79998168889431442"/>
                </patternFill>
              </fill>
            </x14:dxf>
          </x14:cfRule>
          <xm:sqref>D72:F72</xm:sqref>
        </x14:conditionalFormatting>
        <x14:conditionalFormatting xmlns:xm="http://schemas.microsoft.com/office/excel/2006/main">
          <x14:cfRule type="expression" priority="7830" id="{5A2D582F-2D32-48ED-B283-F82A1978AE77}">
            <xm:f>$D$62='MENU DÉROULANT'!$D$20</xm:f>
            <x14:dxf>
              <fill>
                <patternFill>
                  <bgColor rgb="FFFFCDD4"/>
                </patternFill>
              </fill>
            </x14:dxf>
          </x14:cfRule>
          <xm:sqref>D81:F81</xm:sqref>
        </x14:conditionalFormatting>
        <x14:conditionalFormatting xmlns:xm="http://schemas.microsoft.com/office/excel/2006/main">
          <x14:cfRule type="expression" priority="7835" id="{0F429EA9-B965-48E7-A9E7-409D45DA3BD7}">
            <xm:f>$D$62='MENU DÉROULANT'!$D$20</xm:f>
            <x14:dxf>
              <fill>
                <patternFill>
                  <bgColor theme="0"/>
                </patternFill>
              </fill>
            </x14:dxf>
          </x14:cfRule>
          <xm:sqref>H81 N81</xm:sqref>
        </x14:conditionalFormatting>
        <x14:conditionalFormatting xmlns:xm="http://schemas.microsoft.com/office/excel/2006/main">
          <x14:cfRule type="expression" priority="9" id="{CF95386A-C8B1-4719-827B-F881131C5CBD}">
            <xm:f>$D$62='MENU DÉROULANT'!$D$21</xm:f>
            <x14:dxf>
              <fill>
                <patternFill>
                  <bgColor rgb="FFFFCDD4"/>
                </patternFill>
              </fill>
            </x14:dxf>
          </x14:cfRule>
          <xm:sqref>H102</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r:uid="{00000000-0002-0000-0400-000000000000}">
          <x14:formula1>
            <xm:f>'MENU DÉROULANT'!$C$7</xm:f>
          </x14:formula1>
          <xm:sqref>N32:O32 N49:O49</xm:sqref>
        </x14:dataValidation>
        <x14:dataValidation type="list" allowBlank="1" showInputMessage="1" showErrorMessage="1" xr:uid="{00000000-0002-0000-0400-000001000000}">
          <x14:formula1>
            <xm:f>'MENU DÉROULANT'!$D$12:$D$16</xm:f>
          </x14:formula1>
          <xm:sqref>E118</xm:sqref>
        </x14:dataValidation>
        <x14:dataValidation type="list" allowBlank="1" showInputMessage="1" showErrorMessage="1" xr:uid="{00000000-0002-0000-0400-000002000000}">
          <x14:formula1>
            <xm:f>'MENU DÉROULANT'!$C$9:$C$10</xm:f>
          </x14:formula1>
          <xm:sqref>G142:N142</xm:sqref>
        </x14:dataValidation>
        <x14:dataValidation type="list" allowBlank="1" showInputMessage="1" showErrorMessage="1" xr:uid="{00000000-0002-0000-0400-000003000000}">
          <x14:formula1>
            <xm:f>'MENU DÉROULANT'!$C$12:$C$18</xm:f>
          </x14:formula1>
          <xm:sqref>E116</xm:sqref>
        </x14:dataValidation>
        <x14:dataValidation type="list" allowBlank="1" showInputMessage="1" showErrorMessage="1" xr:uid="{00000000-0002-0000-0400-000004000000}">
          <x14:formula1>
            <xm:f>'MENU DÉROULANT'!$E$12:$E$16</xm:f>
          </x14:formula1>
          <xm:sqref>N158:O158 N160:O160 N162:O162 N164:O164 N166:O166</xm:sqref>
        </x14:dataValidation>
        <x14:dataValidation type="list" allowBlank="1" showInputMessage="1" showErrorMessage="1" xr:uid="{00000000-0002-0000-0400-000005000000}">
          <x14:formula1>
            <xm:f>'MENU DÉROULANT'!$C$20:$C$21</xm:f>
          </x14:formula1>
          <xm:sqref>F126:F127 I126:I127 L126:L127</xm:sqref>
        </x14:dataValidation>
        <x14:dataValidation type="list" allowBlank="1" showInputMessage="1" showErrorMessage="1" xr:uid="{00000000-0002-0000-0400-000006000000}">
          <x14:formula1>
            <xm:f>'MENU DÉROULANT'!$D$19:$D$21</xm:f>
          </x14:formula1>
          <xm:sqref>D62:F62</xm:sqref>
        </x14:dataValidation>
        <x14:dataValidation type="list" allowBlank="1" showInputMessage="1" showErrorMessage="1" xr:uid="{00000000-0002-0000-0400-000007000000}">
          <x14:formula1>
            <xm:f>'Liste régies'!$B$5:$B$38</xm:f>
          </x14:formula1>
          <xm:sqref>D81:F81</xm:sqref>
        </x14:dataValidation>
        <x14:dataValidation type="list" allowBlank="1" showInputMessage="1" showErrorMessage="1" xr:uid="{00000000-0002-0000-0400-000008000000}">
          <x14:formula1>
            <xm:f>'MENU DÉROULANT'!$G$6:$G$22</xm:f>
          </x14:formula1>
          <xm:sqref>N102:O102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499984740745262"/>
    <pageSetUpPr fitToPage="1"/>
  </sheetPr>
  <dimension ref="A1:K139"/>
  <sheetViews>
    <sheetView workbookViewId="0">
      <selection activeCell="D21" sqref="D21"/>
    </sheetView>
  </sheetViews>
  <sheetFormatPr baseColWidth="10" defaultColWidth="11.44140625" defaultRowHeight="14.4"/>
  <cols>
    <col min="1" max="1" width="3.44140625" style="55" customWidth="1"/>
    <col min="2" max="2" width="5.109375" style="28" customWidth="1"/>
    <col min="3" max="6" width="32.33203125" style="28" customWidth="1"/>
    <col min="7" max="7" width="44.5546875" style="28" customWidth="1"/>
    <col min="8" max="8" width="13.44140625" style="28" customWidth="1"/>
    <col min="9" max="9" width="4.88671875" style="55" customWidth="1"/>
    <col min="10" max="10" width="32.33203125" style="55" customWidth="1"/>
    <col min="11" max="11" width="50.6640625" style="55" customWidth="1"/>
    <col min="12" max="16384" width="11.44140625" style="28"/>
  </cols>
  <sheetData>
    <row r="1" spans="2:8" s="55" customFormat="1" ht="9" customHeight="1" thickBot="1"/>
    <row r="2" spans="2:8" s="55" customFormat="1" ht="27" customHeight="1">
      <c r="B2" s="1436" t="s">
        <v>343</v>
      </c>
      <c r="C2" s="1235"/>
      <c r="D2" s="1235"/>
    </row>
    <row r="3" spans="2:8" s="55" customFormat="1" ht="21.75" customHeight="1">
      <c r="B3" s="2252"/>
      <c r="G3" s="762"/>
      <c r="H3" s="2954" t="s">
        <v>2395</v>
      </c>
    </row>
    <row r="4" spans="2:8" s="55" customFormat="1" ht="21.75" customHeight="1"/>
    <row r="5" spans="2:8" ht="31.5" customHeight="1">
      <c r="B5" s="1437" t="s">
        <v>156</v>
      </c>
      <c r="C5" s="1238"/>
      <c r="D5" s="1238"/>
      <c r="E5" s="1238"/>
      <c r="F5" s="1238"/>
      <c r="G5" s="1238"/>
      <c r="H5" s="1238"/>
    </row>
    <row r="6" spans="2:8">
      <c r="G6" s="28" t="s">
        <v>1014</v>
      </c>
    </row>
    <row r="7" spans="2:8">
      <c r="C7" s="28" t="s">
        <v>272</v>
      </c>
      <c r="G7" s="28" t="s">
        <v>4036</v>
      </c>
    </row>
    <row r="8" spans="2:8">
      <c r="G8" s="28" t="s">
        <v>1044</v>
      </c>
    </row>
    <row r="9" spans="2:8">
      <c r="C9" s="28" t="s">
        <v>316</v>
      </c>
      <c r="G9" s="28" t="s">
        <v>1051</v>
      </c>
    </row>
    <row r="10" spans="2:8">
      <c r="C10" s="28" t="s">
        <v>344</v>
      </c>
      <c r="G10" s="28" t="s">
        <v>1003</v>
      </c>
    </row>
    <row r="11" spans="2:8">
      <c r="G11" s="28" t="s">
        <v>1041</v>
      </c>
    </row>
    <row r="12" spans="2:8">
      <c r="C12" s="903">
        <v>2023</v>
      </c>
      <c r="D12" s="903" t="s">
        <v>306</v>
      </c>
      <c r="E12" s="28" t="s">
        <v>328</v>
      </c>
      <c r="F12" s="903">
        <v>1</v>
      </c>
      <c r="G12" s="903" t="s">
        <v>1016</v>
      </c>
    </row>
    <row r="13" spans="2:8">
      <c r="C13" s="903">
        <v>2024</v>
      </c>
      <c r="D13" s="903" t="s">
        <v>345</v>
      </c>
      <c r="E13" s="28" t="s">
        <v>96</v>
      </c>
      <c r="F13" s="903">
        <v>2</v>
      </c>
      <c r="G13" s="903" t="s">
        <v>1021</v>
      </c>
    </row>
    <row r="14" spans="2:8">
      <c r="C14" s="903">
        <v>2025</v>
      </c>
      <c r="D14" s="903" t="s">
        <v>346</v>
      </c>
      <c r="E14" s="28" t="s">
        <v>97</v>
      </c>
      <c r="F14" s="903">
        <v>3</v>
      </c>
      <c r="G14" s="903" t="s">
        <v>1009</v>
      </c>
    </row>
    <row r="15" spans="2:8">
      <c r="C15" s="903">
        <v>2026</v>
      </c>
      <c r="D15" s="903" t="s">
        <v>347</v>
      </c>
      <c r="E15" s="28" t="s">
        <v>98</v>
      </c>
      <c r="F15" s="903">
        <v>4</v>
      </c>
      <c r="G15" s="903" t="s">
        <v>1011</v>
      </c>
    </row>
    <row r="16" spans="2:8">
      <c r="C16" s="903">
        <v>2027</v>
      </c>
      <c r="D16" s="903" t="s">
        <v>348</v>
      </c>
      <c r="E16" s="28" t="s">
        <v>349</v>
      </c>
      <c r="F16" s="903">
        <v>5</v>
      </c>
      <c r="G16" s="903" t="s">
        <v>4037</v>
      </c>
    </row>
    <row r="17" spans="2:8">
      <c r="C17" s="903">
        <v>2028</v>
      </c>
      <c r="G17" s="28" t="s">
        <v>1007</v>
      </c>
    </row>
    <row r="18" spans="2:8">
      <c r="C18" s="903">
        <v>2029</v>
      </c>
      <c r="G18" s="28" t="s">
        <v>1335</v>
      </c>
    </row>
    <row r="19" spans="2:8">
      <c r="C19" s="903"/>
      <c r="D19" s="28" t="s">
        <v>283</v>
      </c>
      <c r="G19" s="28" t="s">
        <v>1068</v>
      </c>
    </row>
    <row r="20" spans="2:8">
      <c r="C20" s="903" t="s">
        <v>354</v>
      </c>
      <c r="D20" s="28" t="s">
        <v>350</v>
      </c>
      <c r="G20" s="28" t="s">
        <v>1019</v>
      </c>
    </row>
    <row r="21" spans="2:8">
      <c r="C21" s="903" t="s">
        <v>357</v>
      </c>
      <c r="D21" s="28" t="s">
        <v>359</v>
      </c>
      <c r="G21" s="28" t="s">
        <v>1005</v>
      </c>
    </row>
    <row r="22" spans="2:8">
      <c r="G22" s="28" t="s">
        <v>1028</v>
      </c>
    </row>
    <row r="23" spans="2:8" ht="31.5" customHeight="1">
      <c r="B23" s="1437" t="s">
        <v>351</v>
      </c>
      <c r="C23" s="1238"/>
      <c r="D23" s="1238"/>
      <c r="E23" s="1238"/>
      <c r="F23" s="1238"/>
      <c r="G23" s="1238"/>
      <c r="H23" s="1238"/>
    </row>
    <row r="25" spans="2:8" ht="23.25" customHeight="1">
      <c r="B25" s="1239" t="s">
        <v>0</v>
      </c>
      <c r="C25" s="1238"/>
      <c r="D25" s="1238"/>
      <c r="E25" s="1238"/>
      <c r="F25" s="1238"/>
      <c r="G25" s="1238"/>
      <c r="H25" s="1238"/>
    </row>
    <row r="28" spans="2:8" ht="23.25" customHeight="1">
      <c r="B28" s="1239" t="s">
        <v>1</v>
      </c>
      <c r="C28" s="1238"/>
      <c r="D28" s="1238"/>
      <c r="E28" s="1238"/>
      <c r="F28" s="1238"/>
      <c r="G28" s="1238"/>
      <c r="H28" s="1238"/>
    </row>
    <row r="29" spans="2:8" ht="23.25" customHeight="1">
      <c r="B29" s="1353"/>
    </row>
    <row r="30" spans="2:8">
      <c r="B30" s="1029"/>
      <c r="C30" s="1238" t="s">
        <v>352</v>
      </c>
      <c r="D30" s="1238"/>
      <c r="E30" s="1238"/>
      <c r="F30" s="1238"/>
      <c r="G30" s="1238"/>
      <c r="H30" s="1238"/>
    </row>
    <row r="31" spans="2:8">
      <c r="B31" s="1438"/>
      <c r="C31" s="28" t="s">
        <v>2408</v>
      </c>
      <c r="F31" s="28" t="s">
        <v>2409</v>
      </c>
      <c r="H31" s="904">
        <v>1</v>
      </c>
    </row>
    <row r="32" spans="2:8">
      <c r="B32" s="1438"/>
      <c r="C32" s="28" t="s">
        <v>2410</v>
      </c>
      <c r="F32" s="28" t="s">
        <v>2410</v>
      </c>
      <c r="H32" s="904">
        <v>2</v>
      </c>
    </row>
    <row r="33" spans="2:8">
      <c r="B33" s="1438"/>
      <c r="C33" s="28" t="s">
        <v>2411</v>
      </c>
      <c r="F33" s="28" t="s">
        <v>2411</v>
      </c>
      <c r="H33" s="904">
        <v>3</v>
      </c>
    </row>
    <row r="34" spans="2:8">
      <c r="B34" s="1438"/>
      <c r="C34" s="28" t="s">
        <v>2412</v>
      </c>
      <c r="F34" s="28" t="s">
        <v>2412</v>
      </c>
      <c r="H34" s="904">
        <v>4</v>
      </c>
    </row>
    <row r="35" spans="2:8">
      <c r="B35" s="1438"/>
      <c r="C35" s="28" t="s">
        <v>353</v>
      </c>
      <c r="F35" s="28" t="s">
        <v>353</v>
      </c>
      <c r="H35" s="904">
        <v>5</v>
      </c>
    </row>
    <row r="37" spans="2:8">
      <c r="C37" s="1097" t="s">
        <v>354</v>
      </c>
      <c r="D37" s="1300" t="s">
        <v>58</v>
      </c>
      <c r="E37" s="1300" t="s">
        <v>355</v>
      </c>
      <c r="F37" s="1097" t="s">
        <v>356</v>
      </c>
      <c r="G37" s="1097"/>
    </row>
    <row r="38" spans="2:8">
      <c r="C38" s="1097" t="s">
        <v>357</v>
      </c>
      <c r="D38" s="1300" t="s">
        <v>59</v>
      </c>
      <c r="E38" s="1300" t="s">
        <v>106</v>
      </c>
      <c r="F38" s="1097" t="s">
        <v>358</v>
      </c>
      <c r="G38" s="1097"/>
    </row>
    <row r="39" spans="2:8">
      <c r="D39" s="1300" t="s">
        <v>359</v>
      </c>
      <c r="E39" s="1300"/>
      <c r="F39" s="1097" t="s">
        <v>360</v>
      </c>
      <c r="G39" s="1097"/>
    </row>
    <row r="40" spans="2:8">
      <c r="F40" s="1097" t="s">
        <v>361</v>
      </c>
      <c r="G40" s="1097"/>
    </row>
    <row r="41" spans="2:8">
      <c r="F41" s="1097" t="s">
        <v>359</v>
      </c>
      <c r="G41" s="1097"/>
    </row>
    <row r="42" spans="2:8">
      <c r="F42" s="1097"/>
      <c r="G42" s="1097"/>
    </row>
    <row r="43" spans="2:8">
      <c r="C43" s="1238" t="s">
        <v>362</v>
      </c>
      <c r="D43" s="1238"/>
      <c r="E43" s="1238"/>
      <c r="F43" s="1238"/>
      <c r="G43" s="1238"/>
      <c r="H43" s="1238"/>
    </row>
    <row r="44" spans="2:8">
      <c r="C44" s="28" t="s">
        <v>2413</v>
      </c>
      <c r="F44" s="28" t="s">
        <v>2414</v>
      </c>
      <c r="H44" s="904">
        <v>1</v>
      </c>
    </row>
    <row r="45" spans="2:8">
      <c r="C45" s="28" t="s">
        <v>2410</v>
      </c>
      <c r="F45" s="28" t="s">
        <v>2410</v>
      </c>
      <c r="H45" s="904">
        <v>2</v>
      </c>
    </row>
    <row r="46" spans="2:8">
      <c r="C46" s="28" t="s">
        <v>2411</v>
      </c>
      <c r="F46" s="28" t="s">
        <v>2411</v>
      </c>
      <c r="H46" s="904">
        <v>3</v>
      </c>
    </row>
    <row r="47" spans="2:8">
      <c r="C47" s="28" t="s">
        <v>2412</v>
      </c>
      <c r="F47" s="28" t="s">
        <v>2412</v>
      </c>
      <c r="H47" s="904">
        <v>4</v>
      </c>
    </row>
    <row r="48" spans="2:8">
      <c r="C48" s="28" t="s">
        <v>353</v>
      </c>
      <c r="F48" s="28" t="s">
        <v>353</v>
      </c>
      <c r="H48" s="904">
        <v>5</v>
      </c>
    </row>
    <row r="50" spans="3:8">
      <c r="C50" s="1097" t="s">
        <v>354</v>
      </c>
      <c r="D50" s="1300" t="s">
        <v>58</v>
      </c>
      <c r="E50" s="1300" t="s">
        <v>107</v>
      </c>
      <c r="F50" s="1097" t="s">
        <v>356</v>
      </c>
      <c r="G50" s="1097"/>
    </row>
    <row r="51" spans="3:8">
      <c r="C51" s="1097" t="s">
        <v>357</v>
      </c>
      <c r="D51" s="1300" t="s">
        <v>59</v>
      </c>
      <c r="E51" s="1300" t="s">
        <v>108</v>
      </c>
      <c r="F51" s="1097" t="s">
        <v>358</v>
      </c>
      <c r="G51" s="1097"/>
    </row>
    <row r="52" spans="3:8">
      <c r="D52" s="1300" t="s">
        <v>359</v>
      </c>
      <c r="E52" s="1300"/>
      <c r="F52" s="1097" t="s">
        <v>360</v>
      </c>
      <c r="G52" s="1097"/>
    </row>
    <row r="53" spans="3:8">
      <c r="F53" s="1097" t="s">
        <v>361</v>
      </c>
      <c r="G53" s="1097"/>
    </row>
    <row r="54" spans="3:8">
      <c r="F54" s="1097" t="s">
        <v>359</v>
      </c>
      <c r="G54" s="1097"/>
    </row>
    <row r="55" spans="3:8">
      <c r="F55" s="1097"/>
      <c r="G55" s="1097"/>
    </row>
    <row r="56" spans="3:8">
      <c r="C56" s="1238" t="s">
        <v>363</v>
      </c>
      <c r="D56" s="1238"/>
      <c r="E56" s="1238"/>
      <c r="F56" s="1238"/>
      <c r="G56" s="1238"/>
      <c r="H56" s="1238"/>
    </row>
    <row r="57" spans="3:8">
      <c r="C57" s="28" t="s">
        <v>2415</v>
      </c>
      <c r="F57" s="28" t="s">
        <v>2416</v>
      </c>
      <c r="H57" s="904">
        <v>1</v>
      </c>
    </row>
    <row r="58" spans="3:8">
      <c r="C58" s="28" t="s">
        <v>2410</v>
      </c>
      <c r="F58" s="28" t="s">
        <v>2410</v>
      </c>
      <c r="H58" s="904">
        <v>2</v>
      </c>
    </row>
    <row r="59" spans="3:8">
      <c r="C59" s="28" t="s">
        <v>2411</v>
      </c>
      <c r="F59" s="28" t="s">
        <v>2411</v>
      </c>
      <c r="H59" s="904">
        <v>3</v>
      </c>
    </row>
    <row r="60" spans="3:8">
      <c r="C60" s="28" t="s">
        <v>2412</v>
      </c>
      <c r="F60" s="28" t="s">
        <v>2412</v>
      </c>
      <c r="H60" s="904">
        <v>4</v>
      </c>
    </row>
    <row r="61" spans="3:8">
      <c r="C61" s="28" t="s">
        <v>353</v>
      </c>
      <c r="F61" s="28" t="s">
        <v>353</v>
      </c>
      <c r="H61" s="904">
        <v>5</v>
      </c>
    </row>
    <row r="63" spans="3:8">
      <c r="C63" s="1097" t="s">
        <v>354</v>
      </c>
      <c r="D63" s="1300" t="s">
        <v>58</v>
      </c>
      <c r="E63" s="1300" t="s">
        <v>107</v>
      </c>
      <c r="F63" s="1097" t="s">
        <v>356</v>
      </c>
      <c r="G63" s="1097"/>
    </row>
    <row r="64" spans="3:8">
      <c r="C64" s="1097" t="s">
        <v>357</v>
      </c>
      <c r="D64" s="1300" t="s">
        <v>59</v>
      </c>
      <c r="E64" s="1300" t="s">
        <v>108</v>
      </c>
      <c r="F64" s="1097" t="s">
        <v>358</v>
      </c>
      <c r="G64" s="1097"/>
    </row>
    <row r="65" spans="1:11">
      <c r="D65" s="1300" t="s">
        <v>359</v>
      </c>
      <c r="E65" s="1300"/>
      <c r="F65" s="1097" t="s">
        <v>360</v>
      </c>
      <c r="G65" s="1097"/>
    </row>
    <row r="66" spans="1:11">
      <c r="C66" s="28" t="s">
        <v>2417</v>
      </c>
      <c r="F66" s="1097" t="s">
        <v>361</v>
      </c>
      <c r="G66" s="1097"/>
    </row>
    <row r="67" spans="1:11">
      <c r="C67" s="28" t="s">
        <v>2418</v>
      </c>
      <c r="F67" s="1097" t="s">
        <v>359</v>
      </c>
      <c r="G67" s="1097"/>
    </row>
    <row r="68" spans="1:11">
      <c r="F68" s="1097"/>
      <c r="G68" s="1097"/>
    </row>
    <row r="69" spans="1:11" ht="23.25" customHeight="1">
      <c r="B69" s="1239" t="s">
        <v>2</v>
      </c>
      <c r="C69" s="1238"/>
      <c r="D69" s="1238"/>
      <c r="E69" s="1238"/>
      <c r="F69" s="1238"/>
      <c r="G69" s="1238"/>
      <c r="H69" s="1238"/>
    </row>
    <row r="70" spans="1:11" ht="15" customHeight="1"/>
    <row r="71" spans="1:11" s="308" customFormat="1" ht="25.5" customHeight="1">
      <c r="A71" s="671"/>
      <c r="C71" s="148" t="s">
        <v>364</v>
      </c>
      <c r="I71" s="671"/>
      <c r="J71" s="671"/>
      <c r="K71" s="838"/>
    </row>
    <row r="72" spans="1:11" s="308" customFormat="1" ht="14.25" customHeight="1">
      <c r="A72" s="671"/>
      <c r="C72" s="374" t="s">
        <v>365</v>
      </c>
      <c r="I72" s="671"/>
      <c r="J72" s="671"/>
      <c r="K72" s="838"/>
    </row>
    <row r="73" spans="1:11" s="308" customFormat="1" ht="14.25" customHeight="1">
      <c r="A73" s="671"/>
      <c r="C73" s="309" t="s">
        <v>366</v>
      </c>
      <c r="I73" s="671"/>
      <c r="J73" s="671"/>
      <c r="K73" s="838"/>
    </row>
    <row r="74" spans="1:11" s="308" customFormat="1" ht="25.5" customHeight="1">
      <c r="A74" s="671"/>
      <c r="C74" s="309"/>
      <c r="I74" s="671"/>
      <c r="J74" s="671"/>
      <c r="K74" s="838"/>
    </row>
    <row r="75" spans="1:11" s="308" customFormat="1" ht="25.5" customHeight="1">
      <c r="A75" s="671"/>
      <c r="C75" s="28" t="s">
        <v>367</v>
      </c>
      <c r="D75" s="28" t="s">
        <v>368</v>
      </c>
      <c r="E75" s="28" t="s">
        <v>369</v>
      </c>
      <c r="F75" s="28" t="s">
        <v>370</v>
      </c>
      <c r="G75" s="28" t="s">
        <v>371</v>
      </c>
      <c r="I75" s="55"/>
      <c r="J75" s="55"/>
      <c r="K75" s="838"/>
    </row>
    <row r="76" spans="1:11" s="308" customFormat="1">
      <c r="A76" s="671"/>
      <c r="C76" s="374" t="s">
        <v>322</v>
      </c>
      <c r="D76" s="374" t="s">
        <v>372</v>
      </c>
      <c r="E76" s="374" t="s">
        <v>373</v>
      </c>
      <c r="F76" s="374" t="s">
        <v>374</v>
      </c>
      <c r="G76" s="374" t="s">
        <v>375</v>
      </c>
      <c r="I76" s="839"/>
      <c r="J76" s="839"/>
      <c r="K76" s="671"/>
    </row>
    <row r="77" spans="1:11" s="308" customFormat="1">
      <c r="A77" s="671"/>
      <c r="C77" s="374" t="s">
        <v>376</v>
      </c>
      <c r="D77" s="374" t="s">
        <v>377</v>
      </c>
      <c r="E77" s="374" t="s">
        <v>378</v>
      </c>
      <c r="F77" s="374" t="s">
        <v>379</v>
      </c>
      <c r="G77" s="374" t="s">
        <v>106</v>
      </c>
      <c r="I77" s="839"/>
      <c r="J77" s="839"/>
      <c r="K77" s="671"/>
    </row>
    <row r="78" spans="1:11" s="308" customFormat="1">
      <c r="A78" s="671"/>
      <c r="C78" s="374" t="s">
        <v>380</v>
      </c>
      <c r="D78" s="374"/>
      <c r="E78" s="374" t="s">
        <v>381</v>
      </c>
      <c r="F78" s="374" t="s">
        <v>382</v>
      </c>
      <c r="G78" s="374"/>
      <c r="I78" s="839"/>
      <c r="J78" s="839"/>
      <c r="K78" s="671"/>
    </row>
    <row r="79" spans="1:11" s="308" customFormat="1">
      <c r="A79" s="671"/>
      <c r="C79" s="374" t="s">
        <v>383</v>
      </c>
      <c r="D79" s="374"/>
      <c r="E79" s="374" t="s">
        <v>66</v>
      </c>
      <c r="F79" s="374" t="s">
        <v>384</v>
      </c>
      <c r="G79" s="374" t="s">
        <v>107</v>
      </c>
      <c r="I79" s="671"/>
      <c r="J79" s="671"/>
      <c r="K79" s="671"/>
    </row>
    <row r="80" spans="1:11" s="308" customFormat="1">
      <c r="A80" s="671"/>
      <c r="C80" s="374" t="s">
        <v>359</v>
      </c>
      <c r="D80" s="374"/>
      <c r="E80" s="374"/>
      <c r="F80" s="374"/>
      <c r="G80" s="374" t="s">
        <v>108</v>
      </c>
      <c r="H80" s="374"/>
      <c r="I80" s="671"/>
      <c r="J80" s="671"/>
      <c r="K80" s="671"/>
    </row>
    <row r="82" spans="2:11" ht="23.25" customHeight="1">
      <c r="B82" s="1239" t="s">
        <v>385</v>
      </c>
      <c r="C82" s="1238"/>
      <c r="D82" s="1238"/>
      <c r="E82" s="1238"/>
      <c r="F82" s="1238"/>
      <c r="G82" s="1238"/>
      <c r="H82" s="1238"/>
    </row>
    <row r="84" spans="2:11" ht="25.5" customHeight="1">
      <c r="C84" s="148" t="s">
        <v>364</v>
      </c>
      <c r="K84" s="838"/>
    </row>
    <row r="85" spans="2:11" ht="14.25" customHeight="1">
      <c r="C85" s="374" t="s">
        <v>365</v>
      </c>
      <c r="K85" s="838"/>
    </row>
    <row r="86" spans="2:11" ht="14.25" customHeight="1">
      <c r="C86" s="309" t="s">
        <v>366</v>
      </c>
      <c r="K86" s="838"/>
    </row>
    <row r="87" spans="2:11" ht="25.5" customHeight="1">
      <c r="C87" s="374"/>
      <c r="K87" s="838"/>
    </row>
    <row r="88" spans="2:11">
      <c r="C88" s="319" t="s">
        <v>386</v>
      </c>
    </row>
    <row r="89" spans="2:11">
      <c r="C89" s="319" t="s">
        <v>387</v>
      </c>
    </row>
    <row r="90" spans="2:11">
      <c r="C90" s="319" t="s">
        <v>388</v>
      </c>
    </row>
    <row r="91" spans="2:11" ht="15" customHeight="1">
      <c r="C91" s="319" t="s">
        <v>389</v>
      </c>
    </row>
    <row r="92" spans="2:11">
      <c r="C92" s="319"/>
    </row>
    <row r="93" spans="2:11" ht="23.25" customHeight="1">
      <c r="B93" s="1239" t="s">
        <v>390</v>
      </c>
      <c r="C93" s="1238"/>
      <c r="D93" s="1238"/>
      <c r="E93" s="1238"/>
      <c r="F93" s="1238"/>
      <c r="G93" s="1238"/>
      <c r="H93" s="1238"/>
    </row>
    <row r="95" spans="2:11" ht="25.5" customHeight="1">
      <c r="C95" s="148" t="s">
        <v>364</v>
      </c>
      <c r="K95" s="838"/>
    </row>
    <row r="96" spans="2:11" ht="14.25" customHeight="1">
      <c r="C96" s="374" t="s">
        <v>365</v>
      </c>
      <c r="K96" s="838"/>
    </row>
    <row r="97" spans="2:11" ht="14.25" customHeight="1">
      <c r="C97" s="309" t="s">
        <v>366</v>
      </c>
      <c r="K97" s="838"/>
    </row>
    <row r="98" spans="2:11" ht="25.5" customHeight="1">
      <c r="C98" s="374"/>
      <c r="K98" s="838"/>
    </row>
    <row r="99" spans="2:11">
      <c r="C99" s="319" t="s">
        <v>391</v>
      </c>
    </row>
    <row r="100" spans="2:11">
      <c r="C100" s="319" t="s">
        <v>392</v>
      </c>
    </row>
    <row r="101" spans="2:11">
      <c r="C101" s="319" t="s">
        <v>393</v>
      </c>
    </row>
    <row r="102" spans="2:11" ht="15" customHeight="1">
      <c r="C102" s="319" t="s">
        <v>394</v>
      </c>
    </row>
    <row r="103" spans="2:11">
      <c r="C103" s="319" t="s">
        <v>395</v>
      </c>
    </row>
    <row r="105" spans="2:11" ht="23.25" customHeight="1">
      <c r="B105" s="1239" t="s">
        <v>396</v>
      </c>
      <c r="C105" s="1238"/>
      <c r="D105" s="1238"/>
      <c r="E105" s="1238"/>
      <c r="F105" s="1238"/>
      <c r="G105" s="1238"/>
      <c r="H105" s="1238"/>
    </row>
    <row r="107" spans="2:11">
      <c r="C107" s="148" t="s">
        <v>397</v>
      </c>
      <c r="D107" s="148"/>
    </row>
    <row r="108" spans="2:11">
      <c r="C108" s="148" t="s">
        <v>398</v>
      </c>
      <c r="D108" s="148"/>
    </row>
    <row r="109" spans="2:11">
      <c r="C109" s="148" t="s">
        <v>399</v>
      </c>
      <c r="D109" s="148"/>
    </row>
    <row r="111" spans="2:11" ht="23.25" customHeight="1">
      <c r="B111" s="1239" t="s">
        <v>6</v>
      </c>
      <c r="C111" s="1238"/>
      <c r="D111" s="1238"/>
      <c r="E111" s="1238"/>
      <c r="F111" s="1238"/>
      <c r="G111" s="1238"/>
      <c r="H111" s="1238"/>
    </row>
    <row r="113" spans="3:5">
      <c r="C113" s="148" t="s">
        <v>400</v>
      </c>
      <c r="D113" s="148" t="s">
        <v>187</v>
      </c>
      <c r="E113" s="148" t="s">
        <v>198</v>
      </c>
    </row>
    <row r="114" spans="3:5">
      <c r="C114" s="148" t="s">
        <v>401</v>
      </c>
      <c r="D114" s="148" t="s">
        <v>190</v>
      </c>
      <c r="E114" s="148" t="s">
        <v>201</v>
      </c>
    </row>
    <row r="115" spans="3:5">
      <c r="C115" s="148" t="s">
        <v>402</v>
      </c>
      <c r="D115" s="148" t="s">
        <v>192</v>
      </c>
      <c r="E115" s="148" t="s">
        <v>203</v>
      </c>
    </row>
    <row r="116" spans="3:5">
      <c r="C116" s="148" t="s">
        <v>403</v>
      </c>
      <c r="D116" s="148" t="s">
        <v>194</v>
      </c>
      <c r="E116" s="148" t="s">
        <v>205</v>
      </c>
    </row>
    <row r="117" spans="3:5">
      <c r="D117" s="148" t="s">
        <v>196</v>
      </c>
      <c r="E117" s="148" t="s">
        <v>207</v>
      </c>
    </row>
    <row r="118" spans="3:5">
      <c r="D118" s="148" t="s">
        <v>404</v>
      </c>
      <c r="E118" s="148" t="s">
        <v>404</v>
      </c>
    </row>
    <row r="122" spans="3:5" s="55" customFormat="1"/>
    <row r="123" spans="3:5" s="55" customFormat="1"/>
    <row r="124" spans="3:5" s="55" customFormat="1"/>
    <row r="125" spans="3:5" s="55" customFormat="1"/>
    <row r="126" spans="3:5" s="55" customFormat="1"/>
    <row r="127" spans="3:5" s="55" customFormat="1"/>
    <row r="128" spans="3:5" s="55" customFormat="1"/>
    <row r="129" s="55" customFormat="1"/>
    <row r="130" s="55" customFormat="1"/>
    <row r="131" s="55" customFormat="1"/>
    <row r="132" s="55" customFormat="1"/>
    <row r="133" s="55" customFormat="1"/>
    <row r="134" s="55" customFormat="1"/>
    <row r="135" s="55" customFormat="1"/>
    <row r="136" s="55" customFormat="1"/>
    <row r="137" s="55" customFormat="1"/>
    <row r="138" s="55" customFormat="1"/>
    <row r="139" s="55" customFormat="1"/>
  </sheetData>
  <sheetProtection algorithmName="SHA-512" hashValue="SpmnB/m0b4E/rUSzvB2h/2ijPu3MBtn02mG0jxeQCMBeNs5rLQqCn3IR9SfBnTPLaQu8IYmSXcOhm2lTifhD7Q==" saltValue="K9rnAhnb5QWxHlSYPwFxkg==" spinCount="100000" sheet="1" objects="1" scenarios="1"/>
  <pageMargins left="0.70866141732283472" right="0.70866141732283472" top="0.74803149606299213" bottom="0.74803149606299213" header="0.31496062992125984" footer="0.31496062992125984"/>
  <pageSetup scale="35" fitToWidth="0" orientation="portrait" r:id="rId1"/>
  <headerFooter>
    <oddFooter>&amp;L&amp;10Version 1.0 © CERIU2023&amp;R&amp;10Onglet MENU DÉROULANT
Page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249977111117893"/>
    <pageSetUpPr fitToPage="1"/>
  </sheetPr>
  <dimension ref="A1:AJ729"/>
  <sheetViews>
    <sheetView showGridLines="0" topLeftCell="A570" zoomScaleNormal="100" workbookViewId="0">
      <selection activeCell="H574" sqref="H574:I574"/>
    </sheetView>
  </sheetViews>
  <sheetFormatPr baseColWidth="10" defaultColWidth="11.44140625" defaultRowHeight="14.4"/>
  <cols>
    <col min="1" max="1" width="2" style="28" customWidth="1"/>
    <col min="2" max="2" width="3.44140625" style="28" customWidth="1"/>
    <col min="3" max="3" width="23.5546875" style="28" customWidth="1"/>
    <col min="4" max="4" width="15.44140625" style="28" customWidth="1"/>
    <col min="5" max="6" width="15" style="28" customWidth="1"/>
    <col min="7" max="7" width="16.44140625" style="28" customWidth="1"/>
    <col min="8" max="11" width="15" style="28" customWidth="1"/>
    <col min="12" max="12" width="15.6640625" style="28" customWidth="1"/>
    <col min="13" max="15" width="15" style="28" customWidth="1"/>
    <col min="16" max="16" width="2.88671875" style="28" customWidth="1"/>
    <col min="17" max="17" width="3" style="28" customWidth="1"/>
    <col min="18" max="18" width="9.109375" style="28" customWidth="1"/>
    <col min="19" max="19" width="45.33203125" style="28" customWidth="1"/>
    <col min="20" max="20" width="26.44140625" style="28" customWidth="1"/>
    <col min="21" max="21" width="17.109375" style="28" customWidth="1"/>
    <col min="22" max="30" width="11.44140625" style="28"/>
    <col min="31" max="31" width="15.44140625" style="28" customWidth="1"/>
    <col min="32" max="33" width="16.88671875" style="28" customWidth="1"/>
    <col min="34" max="34" width="16.44140625" style="28" customWidth="1"/>
    <col min="35" max="16384" width="11.44140625" style="28"/>
  </cols>
  <sheetData>
    <row r="1" spans="2:19" ht="9" customHeight="1" thickBot="1">
      <c r="S1" s="614"/>
    </row>
    <row r="2" spans="2:19" ht="31.5" customHeight="1">
      <c r="B2" s="520" t="s">
        <v>495</v>
      </c>
      <c r="C2" s="235"/>
      <c r="D2" s="235"/>
      <c r="E2" s="235"/>
      <c r="F2" s="235"/>
      <c r="G2" s="235"/>
      <c r="H2" s="235"/>
      <c r="I2" s="235"/>
      <c r="J2" s="235"/>
      <c r="K2" s="235"/>
      <c r="L2" s="34"/>
      <c r="M2" s="34"/>
      <c r="N2" s="34"/>
      <c r="O2" s="236"/>
      <c r="P2" s="236"/>
      <c r="Q2" s="236"/>
      <c r="S2" s="3484" t="s">
        <v>3472</v>
      </c>
    </row>
    <row r="3" spans="2:19" ht="29.25" customHeight="1" thickBot="1">
      <c r="B3" s="588"/>
      <c r="C3" s="587"/>
      <c r="M3" s="3070" t="s">
        <v>4041</v>
      </c>
      <c r="N3" s="3071"/>
      <c r="O3" s="3071"/>
      <c r="P3" s="3071"/>
      <c r="Q3" s="3071"/>
      <c r="S3" s="3485"/>
    </row>
    <row r="4" spans="2:19" ht="9.75" customHeight="1" thickBot="1">
      <c r="B4" s="475"/>
      <c r="C4" s="476"/>
      <c r="D4" s="476"/>
      <c r="E4" s="476"/>
      <c r="F4" s="476"/>
      <c r="G4" s="476"/>
      <c r="H4" s="476"/>
      <c r="I4" s="476"/>
      <c r="J4" s="476"/>
      <c r="K4" s="476"/>
      <c r="L4" s="35"/>
      <c r="M4" s="35"/>
      <c r="N4" s="35"/>
      <c r="O4" s="58"/>
      <c r="P4" s="58"/>
      <c r="Q4" s="58"/>
      <c r="S4" s="614"/>
    </row>
    <row r="5" spans="2:19" ht="9" customHeight="1">
      <c r="B5" s="512"/>
      <c r="C5" s="513"/>
      <c r="D5" s="513"/>
      <c r="E5" s="513"/>
      <c r="F5" s="513"/>
      <c r="G5" s="513"/>
      <c r="H5" s="513"/>
      <c r="I5" s="513"/>
      <c r="J5" s="513"/>
      <c r="K5" s="513"/>
      <c r="L5" s="513"/>
      <c r="M5" s="513"/>
      <c r="N5" s="513"/>
      <c r="O5" s="513"/>
      <c r="P5" s="514"/>
      <c r="Q5" s="515"/>
      <c r="S5" s="3486"/>
    </row>
    <row r="6" spans="2:19" ht="18.75" customHeight="1">
      <c r="B6" s="969" t="s">
        <v>251</v>
      </c>
      <c r="C6" s="160"/>
      <c r="D6" s="472"/>
      <c r="E6" s="472"/>
      <c r="F6" s="472"/>
      <c r="G6" s="160"/>
      <c r="H6" s="3467"/>
      <c r="I6" s="3467"/>
      <c r="J6" s="3467"/>
      <c r="K6" s="3467"/>
      <c r="L6" s="3467"/>
      <c r="M6" s="3467"/>
      <c r="N6" s="3467"/>
      <c r="O6" s="3467"/>
      <c r="P6" s="256"/>
      <c r="Q6" s="257"/>
      <c r="S6" s="3487"/>
    </row>
    <row r="7" spans="2:19" ht="18" customHeight="1">
      <c r="B7" s="519"/>
      <c r="C7" s="539"/>
      <c r="D7" s="472"/>
      <c r="E7" s="472"/>
      <c r="F7" s="472"/>
      <c r="G7" s="160"/>
      <c r="H7" s="537"/>
      <c r="I7" s="970" t="s">
        <v>496</v>
      </c>
      <c r="J7" s="160"/>
      <c r="K7" s="538" t="s">
        <v>497</v>
      </c>
      <c r="L7" s="160"/>
      <c r="M7" s="530"/>
      <c r="N7" s="538" t="s">
        <v>498</v>
      </c>
      <c r="O7" s="654"/>
      <c r="P7" s="256"/>
      <c r="Q7" s="257"/>
      <c r="S7" s="3487"/>
    </row>
    <row r="8" spans="2:19" s="72" customFormat="1" ht="18" customHeight="1">
      <c r="B8" s="253"/>
      <c r="C8" s="680" t="s">
        <v>499</v>
      </c>
      <c r="D8" s="540" t="s">
        <v>500</v>
      </c>
      <c r="E8" s="541"/>
      <c r="F8" s="541"/>
      <c r="G8" s="541"/>
      <c r="H8" s="542"/>
      <c r="I8" s="543" t="str">
        <f>IF(OR(O24="À compléter",O45="À compléter"),"À compléter","Complété")</f>
        <v>À compléter</v>
      </c>
      <c r="J8" s="543"/>
      <c r="K8" s="543" t="str">
        <f>"----"</f>
        <v>----</v>
      </c>
      <c r="L8" s="543"/>
      <c r="M8" s="543"/>
      <c r="N8" s="543" t="str">
        <f>"----"</f>
        <v>----</v>
      </c>
      <c r="O8" s="544"/>
      <c r="P8" s="256"/>
      <c r="Q8" s="257"/>
      <c r="S8" s="3487"/>
    </row>
    <row r="9" spans="2:19" s="72" customFormat="1" ht="18" customHeight="1">
      <c r="B9" s="253"/>
      <c r="C9" s="681" t="s">
        <v>501</v>
      </c>
      <c r="D9" s="545" t="s">
        <v>502</v>
      </c>
      <c r="E9" s="546"/>
      <c r="F9" s="546"/>
      <c r="G9" s="547"/>
      <c r="H9" s="548"/>
      <c r="I9" s="549" t="str">
        <f>O67</f>
        <v>À compléter</v>
      </c>
      <c r="J9" s="550"/>
      <c r="K9" s="550" t="str">
        <f>I169</f>
        <v>À compléter</v>
      </c>
      <c r="L9" s="550"/>
      <c r="M9" s="550"/>
      <c r="N9" s="550" t="str">
        <f>I171</f>
        <v>À compléter</v>
      </c>
      <c r="O9" s="547"/>
      <c r="P9" s="256"/>
      <c r="Q9" s="257"/>
      <c r="S9" s="3487"/>
    </row>
    <row r="10" spans="2:19" s="72" customFormat="1" ht="18" customHeight="1">
      <c r="B10" s="253"/>
      <c r="C10" s="681" t="s">
        <v>503</v>
      </c>
      <c r="D10" s="545" t="s">
        <v>504</v>
      </c>
      <c r="E10" s="546"/>
      <c r="F10" s="546"/>
      <c r="G10" s="551"/>
      <c r="H10" s="548"/>
      <c r="I10" s="549" t="str">
        <f>O179</f>
        <v>À compléter</v>
      </c>
      <c r="J10" s="550"/>
      <c r="K10" s="550" t="str">
        <f>I241</f>
        <v>À compléter</v>
      </c>
      <c r="L10" s="550"/>
      <c r="M10" s="550"/>
      <c r="N10" s="550" t="str">
        <f>I243</f>
        <v>À compléter</v>
      </c>
      <c r="O10" s="547"/>
      <c r="P10" s="256"/>
      <c r="Q10" s="257"/>
      <c r="S10" s="3487"/>
    </row>
    <row r="11" spans="2:19" s="72" customFormat="1" ht="18" customHeight="1">
      <c r="B11" s="253"/>
      <c r="C11" s="681" t="s">
        <v>505</v>
      </c>
      <c r="D11" s="545" t="s">
        <v>89</v>
      </c>
      <c r="E11" s="546"/>
      <c r="F11" s="546"/>
      <c r="G11" s="551"/>
      <c r="H11" s="548"/>
      <c r="I11" s="549" t="str">
        <f>O251</f>
        <v>À compléter</v>
      </c>
      <c r="J11" s="550"/>
      <c r="K11" s="550" t="str">
        <f>I285</f>
        <v>À compléter</v>
      </c>
      <c r="L11" s="550"/>
      <c r="M11" s="550"/>
      <c r="N11" s="550" t="str">
        <f>I287</f>
        <v>À compléter</v>
      </c>
      <c r="O11" s="547"/>
      <c r="P11" s="256"/>
      <c r="Q11" s="257"/>
      <c r="S11" s="3487"/>
    </row>
    <row r="12" spans="2:19" s="72" customFormat="1" ht="18" customHeight="1">
      <c r="B12" s="253"/>
      <c r="C12" s="681" t="s">
        <v>506</v>
      </c>
      <c r="D12" s="545" t="s">
        <v>507</v>
      </c>
      <c r="E12" s="546"/>
      <c r="F12" s="546"/>
      <c r="G12" s="551"/>
      <c r="H12" s="552"/>
      <c r="I12" s="549" t="str">
        <f>O295</f>
        <v>À compléter</v>
      </c>
      <c r="J12" s="550"/>
      <c r="K12" s="550" t="str">
        <f>I328</f>
        <v>À compléter</v>
      </c>
      <c r="L12" s="550"/>
      <c r="M12" s="550"/>
      <c r="N12" s="550" t="str">
        <f>I330</f>
        <v>À compléter</v>
      </c>
      <c r="O12" s="547"/>
      <c r="P12" s="256"/>
      <c r="Q12" s="257"/>
      <c r="S12" s="3487"/>
    </row>
    <row r="13" spans="2:19" s="72" customFormat="1" ht="18" customHeight="1">
      <c r="B13" s="253"/>
      <c r="C13" s="681" t="s">
        <v>508</v>
      </c>
      <c r="D13" s="545" t="s">
        <v>509</v>
      </c>
      <c r="E13" s="546"/>
      <c r="F13" s="546"/>
      <c r="G13" s="546"/>
      <c r="H13" s="547"/>
      <c r="I13" s="553" t="str">
        <f>O338</f>
        <v>À compléter</v>
      </c>
      <c r="J13" s="550"/>
      <c r="K13" s="550" t="str">
        <f>I369</f>
        <v>À compléter</v>
      </c>
      <c r="L13" s="550"/>
      <c r="M13" s="550"/>
      <c r="N13" s="550" t="str">
        <f>I371</f>
        <v>À compléter</v>
      </c>
      <c r="O13" s="547"/>
      <c r="P13" s="256"/>
      <c r="Q13" s="257"/>
      <c r="S13" s="3487"/>
    </row>
    <row r="14" spans="2:19" s="72" customFormat="1" ht="18" customHeight="1">
      <c r="B14" s="253"/>
      <c r="C14" s="681" t="s">
        <v>510</v>
      </c>
      <c r="D14" s="545" t="s">
        <v>511</v>
      </c>
      <c r="E14" s="546"/>
      <c r="F14" s="546"/>
      <c r="G14" s="546"/>
      <c r="H14" s="547"/>
      <c r="I14" s="553" t="str">
        <f>O375</f>
        <v>À compléter</v>
      </c>
      <c r="J14" s="550"/>
      <c r="K14" s="550" t="str">
        <f>I497</f>
        <v>À compléter</v>
      </c>
      <c r="L14" s="550"/>
      <c r="M14" s="550"/>
      <c r="N14" s="550" t="str">
        <f>I499</f>
        <v>À compléter</v>
      </c>
      <c r="O14" s="547"/>
      <c r="P14" s="256"/>
      <c r="Q14" s="257"/>
      <c r="S14" s="3487"/>
    </row>
    <row r="15" spans="2:19" s="72" customFormat="1" ht="18" customHeight="1">
      <c r="B15" s="253"/>
      <c r="C15" s="681" t="s">
        <v>512</v>
      </c>
      <c r="D15" s="545" t="s">
        <v>513</v>
      </c>
      <c r="E15" s="546"/>
      <c r="F15" s="546"/>
      <c r="G15" s="546"/>
      <c r="H15" s="547"/>
      <c r="I15" s="553" t="str">
        <f>O507</f>
        <v>À compléter</v>
      </c>
      <c r="J15" s="550"/>
      <c r="K15" s="550" t="str">
        <f>I570</f>
        <v>À compléter</v>
      </c>
      <c r="L15" s="550"/>
      <c r="M15" s="550"/>
      <c r="N15" s="550" t="str">
        <f>I572</f>
        <v>À compléter</v>
      </c>
      <c r="O15" s="547"/>
      <c r="P15" s="256"/>
      <c r="Q15" s="257"/>
      <c r="S15" s="3487"/>
    </row>
    <row r="16" spans="2:19" s="72" customFormat="1" ht="18" customHeight="1">
      <c r="B16" s="253"/>
      <c r="C16" s="681" t="s">
        <v>514</v>
      </c>
      <c r="D16" s="545" t="s">
        <v>515</v>
      </c>
      <c r="E16" s="546"/>
      <c r="F16" s="546"/>
      <c r="G16" s="546"/>
      <c r="H16" s="547"/>
      <c r="I16" s="553" t="str">
        <f>O580</f>
        <v>À compléter</v>
      </c>
      <c r="J16" s="550"/>
      <c r="K16" s="550" t="str">
        <f>"----"</f>
        <v>----</v>
      </c>
      <c r="L16" s="550"/>
      <c r="M16" s="550"/>
      <c r="N16" s="550" t="str">
        <f>"----"</f>
        <v>----</v>
      </c>
      <c r="O16" s="547"/>
      <c r="P16" s="256"/>
      <c r="Q16" s="257"/>
      <c r="S16" s="3487"/>
    </row>
    <row r="17" spans="1:36" s="72" customFormat="1" ht="18" customHeight="1">
      <c r="B17" s="253"/>
      <c r="C17" s="681" t="s">
        <v>516</v>
      </c>
      <c r="D17" s="545" t="s">
        <v>517</v>
      </c>
      <c r="E17" s="546"/>
      <c r="F17" s="546"/>
      <c r="G17" s="546"/>
      <c r="H17" s="547"/>
      <c r="I17" s="553" t="str">
        <f>O646</f>
        <v>À compléter</v>
      </c>
      <c r="J17" s="550"/>
      <c r="K17" s="550" t="str">
        <f>"----"</f>
        <v>----</v>
      </c>
      <c r="L17" s="550"/>
      <c r="M17" s="550"/>
      <c r="N17" s="550" t="str">
        <f>"----"</f>
        <v>----</v>
      </c>
      <c r="O17" s="547"/>
      <c r="P17" s="256"/>
      <c r="Q17" s="257"/>
      <c r="S17" s="3487"/>
    </row>
    <row r="18" spans="1:36" s="72" customFormat="1" ht="18" customHeight="1">
      <c r="B18" s="253"/>
      <c r="C18" s="682" t="s">
        <v>518</v>
      </c>
      <c r="D18" s="554" t="s">
        <v>519</v>
      </c>
      <c r="E18" s="555"/>
      <c r="F18" s="555"/>
      <c r="G18" s="555"/>
      <c r="H18" s="556"/>
      <c r="I18" s="557" t="str">
        <f>"----"</f>
        <v>----</v>
      </c>
      <c r="J18" s="557"/>
      <c r="K18" s="557" t="str">
        <f>"----"</f>
        <v>----</v>
      </c>
      <c r="L18" s="557"/>
      <c r="M18" s="557"/>
      <c r="N18" s="557" t="str">
        <f>"----"</f>
        <v>----</v>
      </c>
      <c r="O18" s="557"/>
      <c r="P18" s="256"/>
      <c r="Q18" s="257"/>
      <c r="S18" s="3487"/>
    </row>
    <row r="19" spans="1:36" ht="14.25" customHeight="1" thickBot="1">
      <c r="B19" s="298"/>
      <c r="C19" s="516"/>
      <c r="D19" s="516"/>
      <c r="E19" s="516"/>
      <c r="F19" s="517"/>
      <c r="G19" s="517"/>
      <c r="H19" s="517"/>
      <c r="I19" s="517"/>
      <c r="J19" s="279"/>
      <c r="K19" s="279"/>
      <c r="L19" s="279"/>
      <c r="M19" s="518"/>
      <c r="N19" s="518"/>
      <c r="O19" s="518"/>
      <c r="P19" s="299"/>
      <c r="Q19" s="300"/>
      <c r="S19" s="3488"/>
    </row>
    <row r="20" spans="1:36" ht="14.25" customHeight="1" thickBot="1">
      <c r="B20" s="475"/>
      <c r="C20" s="476"/>
      <c r="D20" s="476"/>
      <c r="E20" s="476"/>
      <c r="F20" s="476"/>
      <c r="G20" s="476"/>
      <c r="H20" s="476"/>
      <c r="I20" s="476"/>
      <c r="J20" s="476"/>
      <c r="K20" s="476"/>
      <c r="L20" s="35"/>
      <c r="M20" s="35"/>
      <c r="N20" s="35"/>
      <c r="O20" s="58"/>
      <c r="P20" s="58"/>
      <c r="Q20" s="58"/>
      <c r="S20" s="614"/>
    </row>
    <row r="21" spans="1:36" ht="22.5" customHeight="1" thickBot="1">
      <c r="A21" s="1187"/>
      <c r="B21" s="237" t="s">
        <v>520</v>
      </c>
      <c r="C21" s="237"/>
      <c r="D21" s="237"/>
      <c r="E21" s="237"/>
      <c r="F21" s="237"/>
      <c r="G21" s="237"/>
      <c r="H21" s="237"/>
      <c r="I21" s="237"/>
      <c r="J21" s="237"/>
      <c r="K21" s="237"/>
      <c r="L21" s="238"/>
      <c r="M21" s="238"/>
      <c r="N21" s="238"/>
      <c r="O21" s="3173" t="s">
        <v>155</v>
      </c>
      <c r="P21" s="3173"/>
      <c r="Q21" s="3173"/>
      <c r="S21" s="615" t="s">
        <v>521</v>
      </c>
      <c r="AD21" s="239"/>
      <c r="AE21" s="240"/>
      <c r="AF21" s="240"/>
      <c r="AG21" s="240"/>
      <c r="AH21" s="55"/>
      <c r="AI21" s="55"/>
      <c r="AJ21" s="55"/>
    </row>
    <row r="22" spans="1:36" ht="9.75" customHeight="1" thickBot="1">
      <c r="S22" s="616"/>
    </row>
    <row r="23" spans="1:36" ht="12" customHeight="1">
      <c r="B23" s="241"/>
      <c r="C23" s="242"/>
      <c r="D23" s="242"/>
      <c r="E23" s="243"/>
      <c r="F23" s="244"/>
      <c r="G23" s="244"/>
      <c r="H23" s="244"/>
      <c r="I23" s="244"/>
      <c r="J23" s="244"/>
      <c r="K23" s="244"/>
      <c r="L23" s="244"/>
      <c r="M23" s="244"/>
      <c r="N23" s="244"/>
      <c r="O23" s="244"/>
      <c r="P23" s="244"/>
      <c r="Q23" s="245"/>
      <c r="S23" s="3486"/>
    </row>
    <row r="24" spans="1:36" ht="18" customHeight="1">
      <c r="B24" s="246"/>
      <c r="C24" s="247" t="s">
        <v>3449</v>
      </c>
      <c r="D24" s="247"/>
      <c r="E24" s="248"/>
      <c r="F24" s="160"/>
      <c r="G24" s="160"/>
      <c r="H24" s="160"/>
      <c r="I24" s="160"/>
      <c r="J24" s="160"/>
      <c r="K24" s="160"/>
      <c r="L24" s="160"/>
      <c r="M24" s="160"/>
      <c r="N24" s="249" t="s">
        <v>219</v>
      </c>
      <c r="O24" s="353" t="str">
        <f>IF(AND(IDENTIFICATION!O56="Complété",IDENTIFICATION!O151="Complété"),"Complété","À compléter")</f>
        <v>À compléter</v>
      </c>
      <c r="P24" s="160"/>
      <c r="Q24" s="250"/>
      <c r="S24" s="3487"/>
    </row>
    <row r="25" spans="1:36" ht="6.75" customHeight="1">
      <c r="B25" s="251"/>
      <c r="C25" s="252"/>
      <c r="D25" s="252"/>
      <c r="E25" s="252"/>
      <c r="F25" s="160"/>
      <c r="G25" s="160"/>
      <c r="H25" s="160"/>
      <c r="I25" s="160"/>
      <c r="J25" s="160"/>
      <c r="K25" s="160"/>
      <c r="L25" s="160"/>
      <c r="M25" s="160"/>
      <c r="N25" s="160"/>
      <c r="O25" s="160"/>
      <c r="P25" s="160"/>
      <c r="Q25" s="250"/>
      <c r="S25" s="3487"/>
    </row>
    <row r="26" spans="1:36">
      <c r="B26" s="253"/>
      <c r="C26" s="477" t="s">
        <v>522</v>
      </c>
      <c r="D26" s="255"/>
      <c r="E26" s="256"/>
      <c r="F26" s="256"/>
      <c r="G26" s="256"/>
      <c r="H26" s="256"/>
      <c r="I26" s="256"/>
      <c r="J26" s="256"/>
      <c r="K26" s="256"/>
      <c r="L26" s="256"/>
      <c r="M26" s="256"/>
      <c r="N26" s="256"/>
      <c r="O26" s="256"/>
      <c r="P26" s="256"/>
      <c r="Q26" s="257"/>
      <c r="S26" s="3487"/>
    </row>
    <row r="27" spans="1:36" ht="19.5" customHeight="1">
      <c r="B27" s="253"/>
      <c r="C27" s="341" t="s">
        <v>523</v>
      </c>
      <c r="D27" s="316"/>
      <c r="E27" s="256"/>
      <c r="F27" s="256"/>
      <c r="G27" s="256"/>
      <c r="H27" s="256"/>
      <c r="I27" s="256"/>
      <c r="J27" s="256"/>
      <c r="K27" s="256"/>
      <c r="L27" s="256"/>
      <c r="M27" s="256"/>
      <c r="N27" s="256"/>
      <c r="O27" s="256"/>
      <c r="P27" s="256"/>
      <c r="Q27" s="257"/>
      <c r="S27" s="3487"/>
    </row>
    <row r="28" spans="1:36" ht="12.75" customHeight="1">
      <c r="B28" s="253"/>
      <c r="C28" s="255"/>
      <c r="D28" s="255"/>
      <c r="E28" s="256"/>
      <c r="F28" s="256"/>
      <c r="G28" s="256"/>
      <c r="H28" s="256"/>
      <c r="I28" s="256"/>
      <c r="J28" s="256"/>
      <c r="K28" s="256"/>
      <c r="L28" s="256"/>
      <c r="M28" s="256"/>
      <c r="N28" s="256"/>
      <c r="O28" s="256"/>
      <c r="P28" s="256"/>
      <c r="Q28" s="257"/>
      <c r="S28" s="3487"/>
    </row>
    <row r="29" spans="1:36" ht="18" customHeight="1">
      <c r="B29" s="253"/>
      <c r="C29" s="258"/>
      <c r="D29" s="474" t="str">
        <f>IF(ISNA(#REF!)=TRUE,"Attention vérifier code géographique","")</f>
        <v/>
      </c>
      <c r="E29" s="260"/>
      <c r="F29" s="260"/>
      <c r="G29" s="260"/>
      <c r="H29" s="260"/>
      <c r="I29" s="260"/>
      <c r="J29" s="260"/>
      <c r="K29" s="260"/>
      <c r="L29" s="260"/>
      <c r="M29" s="260"/>
      <c r="N29" s="260"/>
      <c r="O29" s="260"/>
      <c r="P29" s="261"/>
      <c r="Q29" s="257"/>
      <c r="S29" s="3487"/>
    </row>
    <row r="30" spans="1:36" ht="25.5" customHeight="1">
      <c r="B30" s="486"/>
      <c r="C30" s="957" t="str">
        <f>'CALCULS Eau potable'!D8</f>
        <v xml:space="preserve">ORGANISATION :  </v>
      </c>
      <c r="D30" s="3113" t="str">
        <f>'CALCULS Eau potable'!G8</f>
        <v>##</v>
      </c>
      <c r="E30" s="3114"/>
      <c r="F30" s="3115"/>
      <c r="G30" s="2951" t="str">
        <f>'CALCULS Eau potable'!D9</f>
        <v xml:space="preserve">CODE DE L'ORGANISATION :  </v>
      </c>
      <c r="H30" s="3113" t="str">
        <f>'CALCULS Eau potable'!G9</f>
        <v>##</v>
      </c>
      <c r="I30" s="3114"/>
      <c r="J30" s="3114"/>
      <c r="K30" s="3115"/>
      <c r="L30" s="2883" t="str">
        <f>'CALCULS Eau potable'!D10</f>
        <v xml:space="preserve">RÉGION ADMINISTRATIVE :  </v>
      </c>
      <c r="M30" s="3113" t="str">
        <f>'CALCULS Eau potable'!G10</f>
        <v>##</v>
      </c>
      <c r="N30" s="3114"/>
      <c r="O30" s="3115"/>
      <c r="P30" s="604"/>
      <c r="Q30" s="257"/>
      <c r="S30" s="3487"/>
    </row>
    <row r="31" spans="1:36" ht="8.25" customHeight="1">
      <c r="B31" s="253"/>
      <c r="C31" s="964"/>
      <c r="D31" s="264"/>
      <c r="F31" s="264"/>
      <c r="H31" s="264"/>
      <c r="I31" s="264"/>
      <c r="J31" s="264"/>
      <c r="K31" s="264"/>
      <c r="L31" s="265"/>
      <c r="P31" s="266"/>
      <c r="Q31" s="257"/>
      <c r="S31" s="3487"/>
    </row>
    <row r="32" spans="1:36" ht="8.25" customHeight="1">
      <c r="B32" s="253"/>
      <c r="C32" s="964"/>
      <c r="D32" s="264"/>
      <c r="F32" s="264"/>
      <c r="H32" s="264"/>
      <c r="I32" s="264"/>
      <c r="J32" s="264"/>
      <c r="K32" s="264"/>
      <c r="L32" s="265"/>
      <c r="P32" s="266"/>
      <c r="Q32" s="257"/>
      <c r="S32" s="3487"/>
    </row>
    <row r="33" spans="2:19" ht="14.25" customHeight="1">
      <c r="B33" s="486"/>
      <c r="C33" s="104"/>
      <c r="D33" s="906" t="s">
        <v>320</v>
      </c>
      <c r="E33" s="905"/>
      <c r="F33" s="906" t="s">
        <v>321</v>
      </c>
      <c r="G33" s="905"/>
      <c r="H33" s="906" t="s">
        <v>322</v>
      </c>
      <c r="I33" s="906"/>
      <c r="J33" s="906" t="s">
        <v>323</v>
      </c>
      <c r="K33" s="906"/>
      <c r="L33" s="907" t="s">
        <v>324</v>
      </c>
      <c r="M33" s="907" t="s">
        <v>325</v>
      </c>
      <c r="N33" s="903" t="s">
        <v>326</v>
      </c>
      <c r="P33" s="604"/>
      <c r="Q33" s="257"/>
      <c r="S33" s="3487"/>
    </row>
    <row r="34" spans="2:19" ht="4.5" customHeight="1">
      <c r="B34" s="253"/>
      <c r="C34" s="3494" t="s">
        <v>327</v>
      </c>
      <c r="D34" s="264"/>
      <c r="F34" s="264"/>
      <c r="H34" s="264"/>
      <c r="I34" s="264"/>
      <c r="J34" s="264"/>
      <c r="K34" s="264"/>
      <c r="L34" s="265"/>
      <c r="P34" s="266"/>
      <c r="Q34" s="257"/>
      <c r="S34" s="3487"/>
    </row>
    <row r="35" spans="2:19" ht="19.5" customHeight="1">
      <c r="B35" s="486"/>
      <c r="C35" s="3494"/>
      <c r="D35" s="3187" t="str">
        <f>IF(ISBLANK(IDENTIFICATION!D158),"",IDENTIFICATION!D158)</f>
        <v/>
      </c>
      <c r="E35" s="3188"/>
      <c r="F35" s="3189" t="str">
        <f>IF(ISBLANK(IDENTIFICATION!F158),"",IDENTIFICATION!F158)</f>
        <v/>
      </c>
      <c r="G35" s="3190"/>
      <c r="H35" s="3189" t="str">
        <f>IF(ISBLANK(IDENTIFICATION!H158),"",IDENTIFICATION!H158)</f>
        <v/>
      </c>
      <c r="I35" s="3190"/>
      <c r="J35" s="3189" t="str">
        <f>IF(ISBLANK(IDENTIFICATION!J158),"",IDENTIFICATION!J158)</f>
        <v/>
      </c>
      <c r="K35" s="3190"/>
      <c r="L35" s="966" t="str">
        <f>IF(ISBLANK(IDENTIFICATION!L158),"",IDENTIFICATION!L158)</f>
        <v/>
      </c>
      <c r="M35" s="966" t="str">
        <f>IF(ISBLANK(IDENTIFICATION!M158),"",IDENTIFICATION!M158)</f>
        <v/>
      </c>
      <c r="N35" s="3189" t="str">
        <f>IF(ISBLANK(IDENTIFICATION!N158),"",IDENTIFICATION!N158)</f>
        <v/>
      </c>
      <c r="O35" s="3190"/>
      <c r="P35" s="931">
        <v>6</v>
      </c>
      <c r="Q35" s="257"/>
      <c r="S35" s="3487"/>
    </row>
    <row r="36" spans="2:19" ht="14.25" customHeight="1">
      <c r="B36" s="253"/>
      <c r="C36" s="3494"/>
      <c r="D36" s="3544"/>
      <c r="E36" s="3544"/>
      <c r="F36" s="3545"/>
      <c r="G36" s="3545"/>
      <c r="H36" s="3545"/>
      <c r="I36" s="3545"/>
      <c r="J36" s="3545"/>
      <c r="K36" s="3545"/>
      <c r="L36" s="965"/>
      <c r="M36" s="965"/>
      <c r="N36" s="3545"/>
      <c r="O36" s="3545"/>
      <c r="P36" s="930"/>
      <c r="Q36" s="257"/>
      <c r="S36" s="3487"/>
    </row>
    <row r="37" spans="2:19" ht="19.5" customHeight="1">
      <c r="B37" s="253"/>
      <c r="C37" s="902" t="s">
        <v>524</v>
      </c>
      <c r="D37" s="3187" t="str">
        <f>IF(OR(IDENTIFICATION!N160='MENU DÉROULANT'!$E$12,IDENTIFICATION!N160='MENU DÉROULANT'!$E$13),IF(ISBLANK(IDENTIFICATION!D160),"",IDENTIFICATION!D160),"")</f>
        <v/>
      </c>
      <c r="E37" s="3188"/>
      <c r="F37" s="3189" t="str">
        <f>IF(($D37=""),"",IDENTIFICATION!F160)</f>
        <v/>
      </c>
      <c r="G37" s="3190"/>
      <c r="H37" s="3189" t="str">
        <f>IF(($D37=""),"",IDENTIFICATION!H160)</f>
        <v/>
      </c>
      <c r="I37" s="3190"/>
      <c r="J37" s="3189" t="str">
        <f>IF(($D37=""),"",IDENTIFICATION!J160)</f>
        <v/>
      </c>
      <c r="K37" s="3190"/>
      <c r="L37" s="966" t="str">
        <f>IF(($D37=""),"",IDENTIFICATION!L160)</f>
        <v/>
      </c>
      <c r="M37" s="966" t="str">
        <f>IF(($D37=""),"",IDENTIFICATION!M160)</f>
        <v/>
      </c>
      <c r="N37" s="3189" t="str">
        <f>IF(($D37=""),"",IDENTIFICATION!N160)</f>
        <v/>
      </c>
      <c r="O37" s="3190"/>
      <c r="P37" s="931">
        <v>6</v>
      </c>
      <c r="Q37" s="257"/>
      <c r="S37" s="3487"/>
    </row>
    <row r="38" spans="2:19" ht="19.5" customHeight="1">
      <c r="B38" s="253"/>
      <c r="C38" s="908"/>
      <c r="D38" s="3187" t="str">
        <f>IF(OR(IDENTIFICATION!N162='MENU DÉROULANT'!$E$12,IDENTIFICATION!N162='MENU DÉROULANT'!$E$13),IF(ISBLANK(IDENTIFICATION!D162),"",IDENTIFICATION!D162),"")</f>
        <v/>
      </c>
      <c r="E38" s="3188"/>
      <c r="F38" s="3189" t="str">
        <f>IF(($D38=""),"",IDENTIFICATION!F162)</f>
        <v/>
      </c>
      <c r="G38" s="3190"/>
      <c r="H38" s="3189" t="str">
        <f>IF(($D38=""),"",IDENTIFICATION!H162)</f>
        <v/>
      </c>
      <c r="I38" s="3190"/>
      <c r="J38" s="3189" t="str">
        <f>IF(($D38=""),"",IDENTIFICATION!J162)</f>
        <v/>
      </c>
      <c r="K38" s="3190"/>
      <c r="L38" s="966" t="str">
        <f>IF(($D38=""),"",IDENTIFICATION!L162)</f>
        <v/>
      </c>
      <c r="M38" s="966" t="str">
        <f>IF(($D38=""),"",IDENTIFICATION!M162)</f>
        <v/>
      </c>
      <c r="N38" s="3189" t="str">
        <f>IF(($D38=""),"",IDENTIFICATION!N162)</f>
        <v/>
      </c>
      <c r="O38" s="3190"/>
      <c r="P38" s="930"/>
      <c r="Q38" s="257"/>
      <c r="S38" s="3487"/>
    </row>
    <row r="39" spans="2:19" ht="19.5" customHeight="1">
      <c r="B39" s="253"/>
      <c r="C39" s="902"/>
      <c r="D39" s="3187" t="str">
        <f>IF(OR(IDENTIFICATION!N164='MENU DÉROULANT'!$E$12,IDENTIFICATION!N164='MENU DÉROULANT'!$E$13),IF(ISBLANK(IDENTIFICATION!D164),"",IDENTIFICATION!D164),"")</f>
        <v/>
      </c>
      <c r="E39" s="3188"/>
      <c r="F39" s="3189" t="str">
        <f>IF(($D39=""),"",IDENTIFICATION!F164)</f>
        <v/>
      </c>
      <c r="G39" s="3190"/>
      <c r="H39" s="3189" t="str">
        <f>IF(($D39=""),"",IDENTIFICATION!H164)</f>
        <v/>
      </c>
      <c r="I39" s="3190"/>
      <c r="J39" s="3189" t="str">
        <f>IF(($D39=""),"",IDENTIFICATION!J164)</f>
        <v/>
      </c>
      <c r="K39" s="3190"/>
      <c r="L39" s="966" t="str">
        <f>IF(($D39=""),"",IDENTIFICATION!L164)</f>
        <v/>
      </c>
      <c r="M39" s="966" t="str">
        <f>IF(($D39=""),"",IDENTIFICATION!M164)</f>
        <v/>
      </c>
      <c r="N39" s="3189" t="str">
        <f>IF(($D39=""),"",IDENTIFICATION!N164)</f>
        <v/>
      </c>
      <c r="O39" s="3190"/>
      <c r="P39" s="931">
        <v>6</v>
      </c>
      <c r="Q39" s="257"/>
      <c r="S39" s="3487"/>
    </row>
    <row r="40" spans="2:19" ht="19.5" customHeight="1">
      <c r="B40" s="253"/>
      <c r="C40" s="908"/>
      <c r="D40" s="3187" t="str">
        <f>IF(OR(IDENTIFICATION!N166='MENU DÉROULANT'!$E$12,IDENTIFICATION!N166='MENU DÉROULANT'!$E$13),IF(ISBLANK(IDENTIFICATION!D166),"",IDENTIFICATION!D166),"")</f>
        <v/>
      </c>
      <c r="E40" s="3188"/>
      <c r="F40" s="3189" t="str">
        <f>IF(($D40=""),"",IDENTIFICATION!F166)</f>
        <v/>
      </c>
      <c r="G40" s="3190"/>
      <c r="H40" s="3189" t="str">
        <f>IF(($D40=""),"",IDENTIFICATION!H166)</f>
        <v/>
      </c>
      <c r="I40" s="3190"/>
      <c r="J40" s="3189" t="str">
        <f>IF(($D40=""),"",IDENTIFICATION!J166)</f>
        <v/>
      </c>
      <c r="K40" s="3190"/>
      <c r="L40" s="966" t="str">
        <f>IF(($D40=""),"",IDENTIFICATION!L166)</f>
        <v/>
      </c>
      <c r="M40" s="966" t="str">
        <f>IF(($D40=""),"",IDENTIFICATION!M166)</f>
        <v/>
      </c>
      <c r="N40" s="3189" t="str">
        <f>IF(($D40=""),"",IDENTIFICATION!N166)</f>
        <v/>
      </c>
      <c r="O40" s="3190"/>
      <c r="P40" s="930"/>
      <c r="Q40" s="257"/>
      <c r="S40" s="3487"/>
    </row>
    <row r="41" spans="2:19" ht="16.5" customHeight="1">
      <c r="B41" s="253"/>
      <c r="C41" s="268"/>
      <c r="D41" s="269"/>
      <c r="E41" s="270"/>
      <c r="F41" s="270"/>
      <c r="G41" s="270"/>
      <c r="H41" s="270"/>
      <c r="I41" s="271"/>
      <c r="J41" s="272"/>
      <c r="K41" s="272"/>
      <c r="L41" s="272"/>
      <c r="M41" s="272"/>
      <c r="N41" s="272"/>
      <c r="O41" s="272"/>
      <c r="P41" s="273"/>
      <c r="Q41" s="257"/>
      <c r="S41" s="3487"/>
    </row>
    <row r="42" spans="2:19" ht="13.5" customHeight="1" thickBot="1">
      <c r="B42" s="278"/>
      <c r="C42" s="279"/>
      <c r="D42" s="279"/>
      <c r="E42" s="279"/>
      <c r="F42" s="279"/>
      <c r="G42" s="279"/>
      <c r="H42" s="279"/>
      <c r="I42" s="279"/>
      <c r="J42" s="279"/>
      <c r="K42" s="279"/>
      <c r="L42" s="279"/>
      <c r="M42" s="279"/>
      <c r="N42" s="279"/>
      <c r="O42" s="279"/>
      <c r="P42" s="279"/>
      <c r="Q42" s="280"/>
      <c r="S42" s="3487"/>
    </row>
    <row r="43" spans="2:19" ht="10.5" customHeight="1" thickBot="1">
      <c r="S43" s="3487"/>
    </row>
    <row r="44" spans="2:19" ht="12" customHeight="1">
      <c r="B44" s="241"/>
      <c r="C44" s="242"/>
      <c r="D44" s="242"/>
      <c r="E44" s="243"/>
      <c r="F44" s="244"/>
      <c r="G44" s="244"/>
      <c r="H44" s="244"/>
      <c r="I44" s="244"/>
      <c r="J44" s="244"/>
      <c r="K44" s="244"/>
      <c r="L44" s="244"/>
      <c r="M44" s="244"/>
      <c r="N44" s="244"/>
      <c r="O44" s="244"/>
      <c r="P44" s="244"/>
      <c r="Q44" s="245"/>
      <c r="S44" s="3487"/>
    </row>
    <row r="45" spans="2:19" ht="18" customHeight="1">
      <c r="B45" s="246"/>
      <c r="C45" s="247" t="s">
        <v>301</v>
      </c>
      <c r="D45" s="247"/>
      <c r="E45" s="248"/>
      <c r="F45" s="160"/>
      <c r="G45" s="160"/>
      <c r="H45" s="160"/>
      <c r="I45" s="160"/>
      <c r="J45" s="160"/>
      <c r="K45" s="160"/>
      <c r="L45" s="160"/>
      <c r="M45" s="160"/>
      <c r="N45" s="249" t="s">
        <v>219</v>
      </c>
      <c r="O45" s="353" t="str">
        <f>IF(AND(IDENTIFICATION!O111="Complété",IDENTIFICATION!O173="Complété"),"Complété","À compléter")</f>
        <v>À compléter</v>
      </c>
      <c r="P45" s="160"/>
      <c r="Q45" s="250"/>
      <c r="S45" s="3487"/>
    </row>
    <row r="46" spans="2:19" ht="7.5" customHeight="1">
      <c r="B46" s="251"/>
      <c r="C46" s="252"/>
      <c r="D46" s="252"/>
      <c r="E46" s="252"/>
      <c r="F46" s="160"/>
      <c r="G46" s="160"/>
      <c r="H46" s="160"/>
      <c r="I46" s="160"/>
      <c r="J46" s="160"/>
      <c r="K46" s="160"/>
      <c r="L46" s="160"/>
      <c r="M46" s="160"/>
      <c r="N46" s="160"/>
      <c r="O46" s="160"/>
      <c r="P46" s="160"/>
      <c r="Q46" s="250"/>
      <c r="S46" s="3487"/>
    </row>
    <row r="47" spans="2:19">
      <c r="B47" s="253"/>
      <c r="C47" s="477" t="s">
        <v>522</v>
      </c>
      <c r="D47" s="255"/>
      <c r="E47" s="256"/>
      <c r="F47" s="256"/>
      <c r="G47" s="256"/>
      <c r="H47" s="256"/>
      <c r="I47" s="256"/>
      <c r="J47" s="256"/>
      <c r="K47" s="256"/>
      <c r="L47" s="256"/>
      <c r="M47" s="256"/>
      <c r="N47" s="256"/>
      <c r="O47" s="256"/>
      <c r="P47" s="256"/>
      <c r="Q47" s="257"/>
      <c r="S47" s="3487"/>
    </row>
    <row r="48" spans="2:19" ht="19.5" customHeight="1">
      <c r="B48" s="253"/>
      <c r="C48" s="341" t="s">
        <v>523</v>
      </c>
      <c r="D48" s="316"/>
      <c r="E48" s="256"/>
      <c r="F48" s="256"/>
      <c r="G48" s="256"/>
      <c r="H48" s="256"/>
      <c r="I48" s="256"/>
      <c r="J48" s="256"/>
      <c r="K48" s="256"/>
      <c r="L48" s="256"/>
      <c r="M48" s="256"/>
      <c r="N48" s="256"/>
      <c r="O48" s="256"/>
      <c r="P48" s="256"/>
      <c r="Q48" s="257"/>
      <c r="S48" s="3487"/>
    </row>
    <row r="49" spans="1:19" ht="12" customHeight="1">
      <c r="B49" s="253"/>
      <c r="C49" s="255"/>
      <c r="D49" s="255"/>
      <c r="E49" s="281"/>
      <c r="F49" s="281"/>
      <c r="G49" s="281"/>
      <c r="H49" s="281"/>
      <c r="I49" s="281"/>
      <c r="J49" s="281"/>
      <c r="K49" s="281"/>
      <c r="L49" s="281"/>
      <c r="M49" s="281"/>
      <c r="N49" s="281"/>
      <c r="O49" s="281"/>
      <c r="P49" s="256"/>
      <c r="Q49" s="257"/>
      <c r="S49" s="3487"/>
    </row>
    <row r="50" spans="1:19" ht="15" customHeight="1">
      <c r="B50" s="253"/>
      <c r="C50" s="258"/>
      <c r="D50" s="259"/>
      <c r="E50" s="275"/>
      <c r="F50" s="275"/>
      <c r="G50" s="275"/>
      <c r="H50" s="275"/>
      <c r="I50" s="275"/>
      <c r="J50" s="275"/>
      <c r="K50" s="275"/>
      <c r="L50" s="275"/>
      <c r="M50" s="275"/>
      <c r="N50" s="275"/>
      <c r="O50" s="275"/>
      <c r="P50" s="261"/>
      <c r="Q50" s="257"/>
      <c r="S50" s="3487"/>
    </row>
    <row r="51" spans="1:19" ht="18" customHeight="1">
      <c r="B51" s="486"/>
      <c r="C51" s="104"/>
      <c r="D51" s="925" t="s">
        <v>303</v>
      </c>
      <c r="E51" s="967" t="str">
        <f>IF(ISBLANK(IDENTIFICATION!E116),"",IDENTIFICATION!E116)</f>
        <v/>
      </c>
      <c r="F51" s="928" t="s">
        <v>525</v>
      </c>
      <c r="G51" s="929"/>
      <c r="H51" s="929"/>
      <c r="I51" s="929"/>
      <c r="J51" s="929"/>
      <c r="K51" s="929"/>
      <c r="L51" s="265"/>
      <c r="M51" s="265"/>
      <c r="N51" s="265"/>
      <c r="O51" s="265"/>
      <c r="P51" s="266"/>
      <c r="Q51" s="257"/>
      <c r="S51" s="3487"/>
    </row>
    <row r="52" spans="1:19" ht="10.5" customHeight="1">
      <c r="B52" s="253"/>
      <c r="C52" s="104"/>
      <c r="D52" s="303"/>
      <c r="E52" s="303"/>
      <c r="F52" s="265"/>
      <c r="G52" s="265"/>
      <c r="H52" s="265"/>
      <c r="I52" s="265"/>
      <c r="J52" s="265"/>
      <c r="K52" s="265"/>
      <c r="L52" s="265"/>
      <c r="M52" s="265"/>
      <c r="N52" s="265"/>
      <c r="O52" s="265"/>
      <c r="P52" s="266"/>
      <c r="Q52" s="257"/>
      <c r="S52" s="3487"/>
    </row>
    <row r="53" spans="1:19" ht="18" customHeight="1">
      <c r="B53" s="486"/>
      <c r="C53" s="104"/>
      <c r="D53" s="927" t="s">
        <v>305</v>
      </c>
      <c r="E53" s="967" t="str">
        <f>IF(ISBLANK(IDENTIFICATION!E118),"",IDENTIFICATION!E118)</f>
        <v/>
      </c>
      <c r="F53" s="2952" t="s">
        <v>3450</v>
      </c>
      <c r="H53" s="265"/>
      <c r="I53" s="265"/>
      <c r="J53" s="265"/>
      <c r="K53" s="265"/>
      <c r="L53" s="265"/>
      <c r="M53" s="265"/>
      <c r="N53" s="265"/>
      <c r="O53" s="265"/>
      <c r="P53" s="266"/>
      <c r="Q53" s="257"/>
      <c r="S53" s="3487"/>
    </row>
    <row r="54" spans="1:19" ht="15.75" customHeight="1">
      <c r="B54" s="253"/>
      <c r="C54" s="302"/>
      <c r="D54" s="303"/>
      <c r="E54" s="265"/>
      <c r="F54" s="265"/>
      <c r="G54" s="265"/>
      <c r="H54" s="265"/>
      <c r="I54" s="265"/>
      <c r="J54" s="265"/>
      <c r="K54" s="265"/>
      <c r="L54" s="265"/>
      <c r="M54" s="265"/>
      <c r="N54" s="265"/>
      <c r="O54" s="265"/>
      <c r="P54" s="266"/>
      <c r="Q54" s="257"/>
      <c r="S54" s="3487"/>
    </row>
    <row r="55" spans="1:19" ht="19.5" customHeight="1">
      <c r="B55" s="486"/>
      <c r="C55" s="3119" t="s">
        <v>526</v>
      </c>
      <c r="D55" s="3120"/>
      <c r="E55" s="3325" t="str">
        <f>IF(ISBLANK(IDENTIFICATION!F180),"",IDENTIFICATION!F180)</f>
        <v/>
      </c>
      <c r="F55" s="3326"/>
      <c r="G55" s="3318" t="s">
        <v>527</v>
      </c>
      <c r="H55" s="3318"/>
      <c r="I55" s="3319"/>
      <c r="J55" s="3320"/>
      <c r="K55" s="3320"/>
      <c r="L55" s="3320"/>
      <c r="M55" s="3320"/>
      <c r="N55" s="3320"/>
      <c r="O55" s="3321"/>
      <c r="P55" s="604"/>
      <c r="Q55" s="257"/>
      <c r="S55" s="3487"/>
    </row>
    <row r="56" spans="1:19" ht="14.25" customHeight="1">
      <c r="B56" s="253"/>
      <c r="C56" s="919"/>
      <c r="D56" s="920"/>
      <c r="E56" s="267"/>
      <c r="F56" s="267"/>
      <c r="G56" s="3318"/>
      <c r="H56" s="3318"/>
      <c r="I56" s="3322"/>
      <c r="J56" s="3323"/>
      <c r="K56" s="3323"/>
      <c r="L56" s="3323"/>
      <c r="M56" s="3323"/>
      <c r="N56" s="3323"/>
      <c r="O56" s="3324"/>
      <c r="P56" s="266"/>
      <c r="Q56" s="257"/>
      <c r="S56" s="3487"/>
    </row>
    <row r="57" spans="1:19" ht="19.5" customHeight="1">
      <c r="B57" s="253"/>
      <c r="C57" s="3119" t="s">
        <v>528</v>
      </c>
      <c r="D57" s="3120"/>
      <c r="E57" s="3325" t="str">
        <f>IF(ISBLANK(IDENTIFICATION!F182),"",IDENTIFICATION!F182)</f>
        <v/>
      </c>
      <c r="F57" s="3326"/>
      <c r="G57" s="3318"/>
      <c r="H57" s="3318"/>
      <c r="I57" s="3322"/>
      <c r="J57" s="3323"/>
      <c r="K57" s="3323"/>
      <c r="L57" s="3323"/>
      <c r="M57" s="3323"/>
      <c r="N57" s="3323"/>
      <c r="O57" s="3324"/>
      <c r="P57" s="266"/>
      <c r="Q57" s="257"/>
      <c r="S57" s="3487"/>
    </row>
    <row r="58" spans="1:19" ht="19.5" customHeight="1">
      <c r="B58" s="253"/>
      <c r="C58" s="922"/>
      <c r="D58" s="920"/>
      <c r="E58" s="3325" t="str">
        <f>IF(ISBLANK(IDENTIFICATION!F183),"",IDENTIFICATION!F183)</f>
        <v/>
      </c>
      <c r="F58" s="3326"/>
      <c r="G58" s="282"/>
      <c r="H58" s="968"/>
      <c r="I58" s="3322"/>
      <c r="J58" s="3323"/>
      <c r="K58" s="3323"/>
      <c r="L58" s="3323"/>
      <c r="M58" s="3323"/>
      <c r="N58" s="3323"/>
      <c r="O58" s="3324"/>
      <c r="P58" s="266"/>
      <c r="Q58" s="257"/>
      <c r="S58" s="3487"/>
    </row>
    <row r="59" spans="1:19" ht="19.5" customHeight="1">
      <c r="B59" s="253"/>
      <c r="C59" s="902"/>
      <c r="D59" s="958"/>
      <c r="E59" s="3325" t="str">
        <f>IF(ISBLANK(IDENTIFICATION!F184),"",IDENTIFICATION!F184)</f>
        <v/>
      </c>
      <c r="F59" s="3326"/>
      <c r="G59" s="282"/>
      <c r="H59" s="968"/>
      <c r="I59" s="3322"/>
      <c r="J59" s="3323"/>
      <c r="K59" s="3323"/>
      <c r="L59" s="3323"/>
      <c r="M59" s="3323"/>
      <c r="N59" s="3323"/>
      <c r="O59" s="3324"/>
      <c r="P59" s="604"/>
      <c r="Q59" s="257"/>
      <c r="S59" s="3487"/>
    </row>
    <row r="60" spans="1:19" ht="17.25" customHeight="1">
      <c r="B60" s="253"/>
      <c r="C60" s="902"/>
      <c r="D60" s="923"/>
      <c r="E60" s="3325" t="str">
        <f>IF(ISBLANK(IDENTIFICATION!F185),"",IDENTIFICATION!F185)</f>
        <v/>
      </c>
      <c r="F60" s="3326"/>
      <c r="G60" s="282"/>
      <c r="H60" s="968"/>
      <c r="I60" s="3251"/>
      <c r="J60" s="3252"/>
      <c r="K60" s="3252"/>
      <c r="L60" s="3252"/>
      <c r="M60" s="3252"/>
      <c r="N60" s="3252"/>
      <c r="O60" s="3253"/>
      <c r="P60" s="604"/>
      <c r="Q60" s="257"/>
      <c r="S60" s="3487"/>
    </row>
    <row r="61" spans="1:19" ht="17.25" customHeight="1">
      <c r="B61" s="253"/>
      <c r="C61" s="276"/>
      <c r="D61" s="277"/>
      <c r="E61" s="272"/>
      <c r="F61" s="283"/>
      <c r="G61" s="272"/>
      <c r="H61" s="283"/>
      <c r="I61" s="271"/>
      <c r="J61" s="272"/>
      <c r="K61" s="283"/>
      <c r="L61" s="272"/>
      <c r="M61" s="283"/>
      <c r="N61" s="272"/>
      <c r="O61" s="283"/>
      <c r="P61" s="273"/>
      <c r="Q61" s="257"/>
      <c r="S61" s="3487"/>
    </row>
    <row r="62" spans="1:19" ht="13.5" customHeight="1" thickBot="1">
      <c r="B62" s="278"/>
      <c r="C62" s="279"/>
      <c r="D62" s="279"/>
      <c r="E62" s="279"/>
      <c r="F62" s="279"/>
      <c r="G62" s="279"/>
      <c r="H62" s="279"/>
      <c r="I62" s="279"/>
      <c r="J62" s="279"/>
      <c r="K62" s="279"/>
      <c r="L62" s="279"/>
      <c r="M62" s="279"/>
      <c r="N62" s="279"/>
      <c r="O62" s="279"/>
      <c r="P62" s="279"/>
      <c r="Q62" s="280"/>
      <c r="S62" s="3488"/>
    </row>
    <row r="63" spans="1:19" ht="10.5" customHeight="1" thickBot="1">
      <c r="B63" s="683"/>
      <c r="S63" s="614"/>
    </row>
    <row r="64" spans="1:19" ht="22.5" customHeight="1" thickBot="1">
      <c r="A64" s="1187"/>
      <c r="B64" s="237" t="s">
        <v>529</v>
      </c>
      <c r="C64" s="237"/>
      <c r="D64" s="237"/>
      <c r="E64" s="237"/>
      <c r="F64" s="237"/>
      <c r="G64" s="237"/>
      <c r="H64" s="237"/>
      <c r="I64" s="237"/>
      <c r="J64" s="237"/>
      <c r="K64" s="237"/>
      <c r="L64" s="238"/>
      <c r="M64" s="238"/>
      <c r="N64" s="238"/>
      <c r="O64" s="3173" t="s">
        <v>155</v>
      </c>
      <c r="P64" s="3173"/>
      <c r="Q64" s="3173"/>
      <c r="S64" s="615" t="s">
        <v>521</v>
      </c>
    </row>
    <row r="65" spans="2:19" ht="9.75" customHeight="1" thickBot="1">
      <c r="S65" s="616"/>
    </row>
    <row r="66" spans="2:19" ht="8.25" customHeight="1">
      <c r="B66" s="241"/>
      <c r="C66" s="242"/>
      <c r="D66" s="242"/>
      <c r="E66" s="243"/>
      <c r="F66" s="244"/>
      <c r="G66" s="244"/>
      <c r="H66" s="244"/>
      <c r="I66" s="244"/>
      <c r="J66" s="244"/>
      <c r="K66" s="244"/>
      <c r="L66" s="244"/>
      <c r="M66" s="244"/>
      <c r="N66" s="244"/>
      <c r="O66" s="244"/>
      <c r="P66" s="244"/>
      <c r="Q66" s="245"/>
      <c r="S66" s="3486"/>
    </row>
    <row r="67" spans="2:19" ht="18" customHeight="1">
      <c r="B67" s="284"/>
      <c r="C67" s="247" t="s">
        <v>530</v>
      </c>
      <c r="D67" s="247"/>
      <c r="E67" s="285"/>
      <c r="F67" s="286"/>
      <c r="G67" s="287"/>
      <c r="H67" s="287"/>
      <c r="I67" s="287"/>
      <c r="J67" s="287"/>
      <c r="K67" s="287"/>
      <c r="L67" s="287"/>
      <c r="M67" s="287"/>
      <c r="N67" s="249" t="s">
        <v>219</v>
      </c>
      <c r="O67" s="353" t="str">
        <f>IF((COUNTBLANK(B78:B166)=ROWS(B78:B166)),"Complété","À compléter")</f>
        <v>À compléter</v>
      </c>
      <c r="P67" s="287"/>
      <c r="Q67" s="288"/>
      <c r="S67" s="3487"/>
    </row>
    <row r="68" spans="2:19" ht="6.75" customHeight="1">
      <c r="B68" s="284"/>
      <c r="C68" s="286"/>
      <c r="D68" s="286"/>
      <c r="E68" s="286"/>
      <c r="F68" s="287"/>
      <c r="G68" s="287"/>
      <c r="H68" s="287"/>
      <c r="I68" s="287"/>
      <c r="J68" s="287"/>
      <c r="K68" s="287"/>
      <c r="L68" s="287"/>
      <c r="M68" s="287"/>
      <c r="N68" s="287"/>
      <c r="O68" s="287"/>
      <c r="P68" s="287"/>
      <c r="Q68" s="288"/>
      <c r="S68" s="3487"/>
    </row>
    <row r="69" spans="2:19" ht="17.25" customHeight="1">
      <c r="B69" s="251"/>
      <c r="C69" s="3182" t="s">
        <v>531</v>
      </c>
      <c r="D69" s="3182"/>
      <c r="E69" s="3182"/>
      <c r="F69" s="3182"/>
      <c r="G69" s="3182"/>
      <c r="H69" s="3182"/>
      <c r="I69" s="3182"/>
      <c r="J69" s="3182"/>
      <c r="K69" s="3182"/>
      <c r="L69" s="3182"/>
      <c r="M69" s="3182"/>
      <c r="N69" s="160"/>
      <c r="O69" s="160"/>
      <c r="P69" s="160"/>
      <c r="Q69" s="250"/>
      <c r="S69" s="3487"/>
    </row>
    <row r="70" spans="2:19" ht="9.75" customHeight="1">
      <c r="B70" s="251"/>
      <c r="C70" s="252"/>
      <c r="D70" s="252"/>
      <c r="E70" s="252"/>
      <c r="F70" s="160"/>
      <c r="G70" s="160"/>
      <c r="H70" s="160"/>
      <c r="I70" s="160"/>
      <c r="J70" s="160"/>
      <c r="K70" s="160"/>
      <c r="L70" s="160"/>
      <c r="M70" s="160"/>
      <c r="N70" s="160"/>
      <c r="O70" s="160"/>
      <c r="P70" s="160"/>
      <c r="Q70" s="250"/>
      <c r="S70" s="3487"/>
    </row>
    <row r="71" spans="2:19" ht="18.75" customHeight="1">
      <c r="B71" s="253"/>
      <c r="C71" s="373" t="s">
        <v>3451</v>
      </c>
      <c r="D71" s="255"/>
      <c r="E71" s="256"/>
      <c r="F71" s="256"/>
      <c r="G71" s="256"/>
      <c r="H71" s="256"/>
      <c r="I71" s="256"/>
      <c r="J71" s="256"/>
      <c r="K71" s="256"/>
      <c r="L71" s="256"/>
      <c r="M71" s="256"/>
      <c r="N71" s="256"/>
      <c r="O71" s="256"/>
      <c r="P71" s="256"/>
      <c r="Q71" s="257"/>
      <c r="S71" s="3487"/>
    </row>
    <row r="72" spans="2:19" ht="42" customHeight="1">
      <c r="B72" s="253"/>
      <c r="C72" s="3472" t="s">
        <v>532</v>
      </c>
      <c r="D72" s="3472"/>
      <c r="E72" s="3472"/>
      <c r="F72" s="3472"/>
      <c r="G72" s="3472"/>
      <c r="H72" s="3472"/>
      <c r="I72" s="3472"/>
      <c r="J72" s="3472"/>
      <c r="K72" s="3472"/>
      <c r="L72" s="3472"/>
      <c r="M72" s="3472"/>
      <c r="N72" s="3472"/>
      <c r="O72" s="3472"/>
      <c r="P72" s="3472"/>
      <c r="Q72" s="257"/>
      <c r="S72" s="3487"/>
    </row>
    <row r="73" spans="2:19" ht="21.75" customHeight="1">
      <c r="B73" s="253"/>
      <c r="C73" s="3473" t="s">
        <v>533</v>
      </c>
      <c r="D73" s="3473"/>
      <c r="E73" s="3473"/>
      <c r="F73" s="3473"/>
      <c r="G73" s="3473"/>
      <c r="H73" s="3473"/>
      <c r="I73" s="3473"/>
      <c r="J73" s="3473"/>
      <c r="K73" s="3473"/>
      <c r="L73" s="3473"/>
      <c r="M73" s="3473"/>
      <c r="N73" s="3473"/>
      <c r="O73" s="3473"/>
      <c r="P73" s="755"/>
      <c r="Q73" s="257"/>
      <c r="S73" s="3487"/>
    </row>
    <row r="74" spans="2:19" ht="12" customHeight="1">
      <c r="B74" s="253"/>
      <c r="C74" s="3475" t="s">
        <v>534</v>
      </c>
      <c r="D74" s="3475"/>
      <c r="E74" s="756" t="s">
        <v>535</v>
      </c>
      <c r="F74" s="256"/>
      <c r="G74" s="256"/>
      <c r="H74" s="256"/>
      <c r="I74" s="256"/>
      <c r="J74" s="256"/>
      <c r="K74" s="256"/>
      <c r="L74" s="256"/>
      <c r="M74" s="256"/>
      <c r="N74" s="256"/>
      <c r="O74" s="256"/>
      <c r="P74" s="256"/>
      <c r="Q74" s="257"/>
      <c r="S74" s="3487"/>
    </row>
    <row r="75" spans="2:19" ht="12" customHeight="1">
      <c r="B75" s="253"/>
      <c r="C75" s="289"/>
      <c r="D75" s="160"/>
      <c r="E75" s="756" t="s">
        <v>536</v>
      </c>
      <c r="F75" s="256"/>
      <c r="G75" s="256"/>
      <c r="H75" s="256"/>
      <c r="I75" s="256"/>
      <c r="J75" s="256"/>
      <c r="K75" s="256"/>
      <c r="L75" s="256"/>
      <c r="M75" s="256"/>
      <c r="N75" s="256"/>
      <c r="O75" s="256"/>
      <c r="P75" s="256"/>
      <c r="Q75" s="257"/>
      <c r="S75" s="3487"/>
    </row>
    <row r="76" spans="2:19" ht="12" customHeight="1">
      <c r="B76" s="253"/>
      <c r="C76" s="289"/>
      <c r="D76" s="160"/>
      <c r="E76" s="756" t="s">
        <v>537</v>
      </c>
      <c r="F76" s="256"/>
      <c r="G76" s="256"/>
      <c r="H76" s="256"/>
      <c r="I76" s="256"/>
      <c r="J76" s="256"/>
      <c r="K76" s="256"/>
      <c r="L76" s="256"/>
      <c r="M76" s="256"/>
      <c r="N76" s="256"/>
      <c r="O76" s="256"/>
      <c r="P76" s="256"/>
      <c r="Q76" s="257"/>
      <c r="S76" s="3487"/>
    </row>
    <row r="77" spans="2:19" ht="12.75" customHeight="1">
      <c r="B77" s="253"/>
      <c r="C77" s="365"/>
      <c r="D77" s="255"/>
      <c r="E77" s="256"/>
      <c r="F77" s="256"/>
      <c r="G77" s="256"/>
      <c r="H77" s="256"/>
      <c r="I77" s="256"/>
      <c r="J77" s="256"/>
      <c r="K77" s="256"/>
      <c r="L77" s="256"/>
      <c r="M77" s="256"/>
      <c r="N77" s="256"/>
      <c r="O77" s="256"/>
      <c r="P77" s="256"/>
      <c r="Q77" s="257"/>
      <c r="S77" s="3487"/>
    </row>
    <row r="78" spans="2:19" ht="12.75" customHeight="1">
      <c r="B78" s="253"/>
      <c r="C78" s="258"/>
      <c r="D78" s="259"/>
      <c r="E78" s="260"/>
      <c r="F78" s="260"/>
      <c r="G78" s="260"/>
      <c r="H78" s="260"/>
      <c r="I78" s="260"/>
      <c r="J78" s="260"/>
      <c r="K78" s="260"/>
      <c r="L78" s="260"/>
      <c r="M78" s="260"/>
      <c r="N78" s="260"/>
      <c r="O78" s="260"/>
      <c r="P78" s="261"/>
      <c r="Q78" s="257"/>
      <c r="S78" s="3487"/>
    </row>
    <row r="79" spans="2:19" ht="3.75" customHeight="1">
      <c r="B79" s="253"/>
      <c r="C79" s="3511" t="s">
        <v>538</v>
      </c>
      <c r="P79" s="266"/>
      <c r="Q79" s="257"/>
      <c r="S79" s="3487"/>
    </row>
    <row r="80" spans="2:19" ht="9" customHeight="1">
      <c r="B80" s="253"/>
      <c r="C80" s="3511"/>
      <c r="D80" s="3489" t="s">
        <v>3452</v>
      </c>
      <c r="E80" s="3489"/>
      <c r="F80" s="3489"/>
      <c r="G80" s="3489"/>
      <c r="P80" s="266"/>
      <c r="Q80" s="257"/>
      <c r="S80" s="3487"/>
    </row>
    <row r="81" spans="2:20" ht="18" customHeight="1">
      <c r="B81" s="486" t="str">
        <f>IF(ISBLANK(H81)=FALSE,"","u")</f>
        <v>u</v>
      </c>
      <c r="C81" s="3511"/>
      <c r="D81" s="3489"/>
      <c r="E81" s="3489"/>
      <c r="F81" s="3489"/>
      <c r="G81" s="3489"/>
      <c r="H81" s="3490"/>
      <c r="I81" s="3491"/>
      <c r="J81" s="3491"/>
      <c r="K81" s="3491"/>
      <c r="L81" s="3491"/>
      <c r="M81" s="3492"/>
      <c r="O81" s="1029" t="str">
        <f>IF(ISNA(VLOOKUP(H81,'MENU DÉROULANT'!C31:H35,6,FALSE)),"",VLOOKUP(H81,'MENU DÉROULANT'!C31:H35,6,FALSE))</f>
        <v/>
      </c>
      <c r="P81" s="266"/>
      <c r="Q81" s="257"/>
      <c r="S81" s="3487"/>
    </row>
    <row r="82" spans="2:20" ht="30.75" customHeight="1">
      <c r="B82" s="253"/>
      <c r="C82" s="3511"/>
      <c r="D82" s="646"/>
      <c r="E82" s="646"/>
      <c r="F82" s="646"/>
      <c r="G82" s="646"/>
      <c r="H82" s="3493" t="str">
        <f>IF(H81='MENU DÉROULANT'!C31,"Notez que toutes les sections concernant ce sous-service ne seront donc pas remplies et qu'il n'y aura donc pas de visuel dans le sommaire pour ce sous-service. Une note apparaitra toutefois à ce sujet sur le sommaire.","")</f>
        <v/>
      </c>
      <c r="I82" s="3493"/>
      <c r="J82" s="3493"/>
      <c r="K82" s="3493"/>
      <c r="L82" s="3493"/>
      <c r="M82" s="3493"/>
      <c r="P82" s="266"/>
      <c r="Q82" s="257"/>
      <c r="S82" s="3487"/>
    </row>
    <row r="83" spans="2:20" ht="9.75" customHeight="1">
      <c r="B83" s="253"/>
      <c r="C83" s="3511"/>
      <c r="P83" s="266"/>
      <c r="Q83" s="257"/>
      <c r="S83" s="3487"/>
    </row>
    <row r="84" spans="2:20" ht="27" customHeight="1">
      <c r="B84" s="253"/>
      <c r="C84" s="3511"/>
      <c r="F84" s="3179" t="s">
        <v>539</v>
      </c>
      <c r="G84" s="3179"/>
      <c r="H84" s="3090"/>
      <c r="I84" s="3091"/>
      <c r="J84" s="3091"/>
      <c r="K84" s="3091"/>
      <c r="L84" s="3091"/>
      <c r="M84" s="3092"/>
      <c r="P84" s="266"/>
      <c r="Q84" s="257"/>
      <c r="S84" s="3487"/>
    </row>
    <row r="85" spans="2:20" ht="15" customHeight="1">
      <c r="B85" s="253"/>
      <c r="C85" s="3511"/>
      <c r="D85" s="509"/>
      <c r="E85" s="509"/>
      <c r="F85" s="509"/>
      <c r="G85" s="509"/>
      <c r="H85" s="509"/>
      <c r="I85" s="509"/>
      <c r="J85" s="509"/>
      <c r="K85" s="509"/>
      <c r="L85" s="509"/>
      <c r="M85" s="509"/>
      <c r="N85" s="509"/>
      <c r="O85" s="509"/>
      <c r="P85" s="266"/>
      <c r="Q85" s="257"/>
      <c r="S85" s="3487"/>
    </row>
    <row r="86" spans="2:20" ht="12.75" customHeight="1">
      <c r="B86" s="253"/>
      <c r="C86" s="379"/>
      <c r="P86" s="266"/>
      <c r="Q86" s="257"/>
      <c r="S86" s="3487"/>
    </row>
    <row r="87" spans="2:20" ht="27" customHeight="1">
      <c r="B87" s="253"/>
      <c r="C87" s="379"/>
      <c r="D87" s="662" t="s">
        <v>34</v>
      </c>
      <c r="E87" s="449" t="s">
        <v>540</v>
      </c>
      <c r="F87" s="85"/>
      <c r="G87" s="85"/>
      <c r="H87" s="85"/>
      <c r="I87" s="85"/>
      <c r="J87" s="3179" t="s">
        <v>541</v>
      </c>
      <c r="K87" s="3179"/>
      <c r="L87" s="3280"/>
      <c r="M87" s="3090"/>
      <c r="N87" s="3091"/>
      <c r="O87" s="3092"/>
      <c r="P87" s="266"/>
      <c r="Q87" s="257"/>
      <c r="S87" s="3487"/>
    </row>
    <row r="88" spans="2:20" ht="17.25" customHeight="1">
      <c r="B88" s="253"/>
      <c r="C88" s="379"/>
      <c r="D88" s="376"/>
      <c r="E88" s="448"/>
      <c r="F88" s="85"/>
      <c r="G88" s="85"/>
      <c r="H88" s="85"/>
      <c r="I88" s="85"/>
      <c r="J88" s="85"/>
      <c r="K88" s="85"/>
      <c r="L88" s="85"/>
      <c r="M88" s="85"/>
      <c r="N88" s="85"/>
      <c r="O88" s="443" t="str">
        <f>IF(SUM(J89:N89)&gt;1,"Attention: La somme de ces % d'état est de plus de 100%.","")</f>
        <v/>
      </c>
      <c r="P88" s="266"/>
      <c r="Q88" s="257"/>
      <c r="S88" s="3487"/>
    </row>
    <row r="89" spans="2:20" ht="18" customHeight="1">
      <c r="B89" s="486" t="str">
        <f>IF(OR(O81=1,O81=3),"",IF(OR(ISBLANK(G89),ISBLANK(J89),ISBLANK(K89),ISBLANK(L89),ISBLANK(M89),ISBLANK(N89))=FALSE,"","u"))</f>
        <v>u</v>
      </c>
      <c r="C89" s="379"/>
      <c r="D89" s="291"/>
      <c r="F89" s="292" t="s">
        <v>542</v>
      </c>
      <c r="G89" s="565"/>
      <c r="H89" s="3179" t="s">
        <v>543</v>
      </c>
      <c r="I89" s="3179"/>
      <c r="J89" s="569"/>
      <c r="K89" s="569"/>
      <c r="L89" s="569"/>
      <c r="M89" s="569"/>
      <c r="N89" s="569"/>
      <c r="O89" s="714" t="str">
        <f>IF(AND(ISBLANK(J89),ISBLANK(K89),ISBLANK(L89),ISBLANK(M89),ISBLANK(N89)),"",IF((1-J89-K89-L89-M89-N89)&lt;0,0,(1-J89-K89-L89-M89-N89)))</f>
        <v/>
      </c>
      <c r="P89" s="604"/>
      <c r="Q89" s="257"/>
      <c r="S89" s="3487"/>
    </row>
    <row r="90" spans="2:20" ht="6.75" customHeight="1">
      <c r="B90" s="253"/>
      <c r="C90" s="379"/>
      <c r="D90" s="291"/>
      <c r="E90" s="85"/>
      <c r="F90" s="85"/>
      <c r="G90" s="85"/>
      <c r="H90" s="3179"/>
      <c r="I90" s="3179"/>
      <c r="J90" s="85"/>
      <c r="K90" s="85"/>
      <c r="L90" s="85"/>
      <c r="M90" s="85"/>
      <c r="N90" s="85"/>
      <c r="O90" s="85"/>
      <c r="P90" s="266"/>
      <c r="Q90" s="257"/>
      <c r="S90" s="3487"/>
    </row>
    <row r="91" spans="2:20" ht="17.25" customHeight="1">
      <c r="B91" s="486" t="str">
        <f>IF(OR(O81=1,O81=3),"",IF(ISBLANK(G91)=FALSE,"","u"))</f>
        <v>u</v>
      </c>
      <c r="C91" s="379"/>
      <c r="D91" s="291"/>
      <c r="E91" s="645"/>
      <c r="F91" s="293" t="s">
        <v>22</v>
      </c>
      <c r="G91" s="566"/>
      <c r="H91" s="265"/>
      <c r="I91" s="265"/>
      <c r="J91" s="294" t="s">
        <v>544</v>
      </c>
      <c r="K91" s="294" t="s">
        <v>545</v>
      </c>
      <c r="L91" s="294" t="s">
        <v>3493</v>
      </c>
      <c r="M91" s="294" t="s">
        <v>546</v>
      </c>
      <c r="N91" s="87" t="s">
        <v>547</v>
      </c>
      <c r="O91" s="87" t="s">
        <v>66</v>
      </c>
      <c r="P91" s="604"/>
      <c r="Q91" s="257"/>
      <c r="S91" s="3487"/>
    </row>
    <row r="92" spans="2:20" ht="9" customHeight="1">
      <c r="B92" s="486"/>
      <c r="C92" s="379"/>
      <c r="D92" s="291"/>
      <c r="E92" s="645"/>
      <c r="F92" s="293"/>
      <c r="G92" s="672"/>
      <c r="H92" s="265"/>
      <c r="I92" s="265"/>
      <c r="J92" s="294"/>
      <c r="K92" s="294"/>
      <c r="L92" s="294"/>
      <c r="M92" s="294"/>
      <c r="N92" s="87"/>
      <c r="O92" s="87"/>
      <c r="P92" s="604"/>
      <c r="Q92" s="257"/>
      <c r="S92" s="3487"/>
    </row>
    <row r="93" spans="2:20" ht="27" customHeight="1">
      <c r="B93" s="486"/>
      <c r="C93" s="379"/>
      <c r="D93" s="291"/>
      <c r="E93" s="645"/>
      <c r="F93" s="293"/>
      <c r="G93" s="493"/>
      <c r="H93" s="3179" t="s">
        <v>539</v>
      </c>
      <c r="I93" s="3179"/>
      <c r="J93" s="3090"/>
      <c r="K93" s="3091"/>
      <c r="L93" s="3091"/>
      <c r="M93" s="3091"/>
      <c r="N93" s="3091"/>
      <c r="O93" s="3092"/>
      <c r="P93" s="604"/>
      <c r="Q93" s="257"/>
      <c r="S93" s="3487"/>
    </row>
    <row r="94" spans="2:20" ht="15" customHeight="1">
      <c r="B94" s="253"/>
      <c r="C94" s="379"/>
      <c r="D94" s="295"/>
      <c r="E94" s="272"/>
      <c r="F94" s="283"/>
      <c r="G94" s="272"/>
      <c r="H94" s="283"/>
      <c r="I94" s="271"/>
      <c r="J94" s="272"/>
      <c r="K94" s="283"/>
      <c r="L94" s="272"/>
      <c r="M94" s="283"/>
      <c r="N94" s="272"/>
      <c r="O94" s="283"/>
      <c r="P94" s="604"/>
      <c r="Q94" s="257"/>
      <c r="S94" s="3487"/>
    </row>
    <row r="95" spans="2:20" ht="12.75" customHeight="1">
      <c r="B95" s="253"/>
      <c r="C95" s="626"/>
      <c r="D95" s="291"/>
      <c r="E95" s="645"/>
      <c r="F95" s="602"/>
      <c r="G95" s="645"/>
      <c r="H95" s="602"/>
      <c r="I95" s="55"/>
      <c r="J95" s="645"/>
      <c r="K95" s="602"/>
      <c r="L95" s="645"/>
      <c r="M95" s="602"/>
      <c r="N95" s="645"/>
      <c r="O95" s="602"/>
      <c r="P95" s="604"/>
      <c r="Q95" s="257"/>
      <c r="S95" s="3487"/>
    </row>
    <row r="96" spans="2:20" ht="27" customHeight="1">
      <c r="B96" s="253"/>
      <c r="C96" s="379"/>
      <c r="D96" s="662" t="s">
        <v>35</v>
      </c>
      <c r="E96" s="449" t="s">
        <v>548</v>
      </c>
      <c r="F96" s="85"/>
      <c r="G96" s="85"/>
      <c r="H96" s="85"/>
      <c r="I96" s="85"/>
      <c r="J96" s="3179" t="s">
        <v>541</v>
      </c>
      <c r="K96" s="3179"/>
      <c r="L96" s="3280"/>
      <c r="M96" s="3090"/>
      <c r="N96" s="3091"/>
      <c r="O96" s="3092"/>
      <c r="P96" s="266"/>
      <c r="Q96" s="257"/>
      <c r="S96" s="3487"/>
      <c r="T96" s="296"/>
    </row>
    <row r="97" spans="2:21" ht="17.25" customHeight="1">
      <c r="B97" s="253"/>
      <c r="C97" s="379"/>
      <c r="D97" s="375"/>
      <c r="E97" s="378"/>
      <c r="F97" s="85"/>
      <c r="G97" s="85"/>
      <c r="H97" s="85"/>
      <c r="I97" s="85"/>
      <c r="J97" s="85"/>
      <c r="K97" s="85"/>
      <c r="L97" s="85"/>
      <c r="M97" s="85"/>
      <c r="N97" s="85"/>
      <c r="O97" s="443" t="str">
        <f>IF(SUM(J98:N98)&gt;1,"Attention: La somme de ces % d'état est de plus de 100%.","")</f>
        <v/>
      </c>
      <c r="P97" s="266"/>
      <c r="Q97" s="257"/>
      <c r="S97" s="3487"/>
      <c r="T97" s="296"/>
    </row>
    <row r="98" spans="2:21" ht="18" customHeight="1">
      <c r="B98" s="486" t="str">
        <f>IF(OR(O81=1,O81=2),"",IF(OR(ISBLANK(G98),ISBLANK(J98),ISBLANK(K98),ISBLANK(L98),ISBLANK(M98),ISBLANK(N98))=FALSE,"","u"))</f>
        <v>u</v>
      </c>
      <c r="C98" s="379"/>
      <c r="D98" s="291"/>
      <c r="F98" s="292" t="s">
        <v>549</v>
      </c>
      <c r="G98" s="565"/>
      <c r="H98" s="3179" t="s">
        <v>543</v>
      </c>
      <c r="I98" s="3179"/>
      <c r="J98" s="569"/>
      <c r="K98" s="569"/>
      <c r="L98" s="569"/>
      <c r="M98" s="569"/>
      <c r="N98" s="569"/>
      <c r="O98" s="714" t="str">
        <f>IF(AND(ISBLANK(J98),ISBLANK(K98),ISBLANK(L98),ISBLANK(M98),ISBLANK(N98)),"",IF((1-J98-K98-L98-M98-N98)&lt;0,0,(1-J98-K98-L98-M98-N98)))</f>
        <v/>
      </c>
      <c r="P98" s="604"/>
      <c r="Q98" s="257"/>
      <c r="S98" s="3487"/>
    </row>
    <row r="99" spans="2:21" ht="6.75" customHeight="1">
      <c r="B99" s="253"/>
      <c r="C99" s="379"/>
      <c r="D99" s="291"/>
      <c r="E99" s="85"/>
      <c r="F99" s="85"/>
      <c r="G99" s="85"/>
      <c r="H99" s="3179"/>
      <c r="I99" s="3179"/>
      <c r="J99" s="85"/>
      <c r="K99" s="85"/>
      <c r="L99" s="85"/>
      <c r="M99" s="85"/>
      <c r="N99" s="85"/>
      <c r="O99" s="85"/>
      <c r="P99" s="266"/>
      <c r="Q99" s="257"/>
      <c r="S99" s="3487"/>
    </row>
    <row r="100" spans="2:21" ht="17.25" customHeight="1">
      <c r="B100" s="486" t="str">
        <f>IF(OR(O81=1,O81=2),"",IF(ISBLANK(G100)=FALSE,"","u"))</f>
        <v>u</v>
      </c>
      <c r="C100" s="379"/>
      <c r="D100" s="291"/>
      <c r="E100" s="645"/>
      <c r="F100" s="293" t="s">
        <v>22</v>
      </c>
      <c r="G100" s="566"/>
      <c r="H100" s="265"/>
      <c r="I100" s="265"/>
      <c r="J100" s="294" t="s">
        <v>544</v>
      </c>
      <c r="K100" s="294" t="s">
        <v>545</v>
      </c>
      <c r="L100" s="294" t="s">
        <v>3493</v>
      </c>
      <c r="M100" s="294" t="s">
        <v>546</v>
      </c>
      <c r="N100" s="87" t="s">
        <v>547</v>
      </c>
      <c r="O100" s="294" t="s">
        <v>66</v>
      </c>
      <c r="P100" s="604"/>
      <c r="Q100" s="257"/>
      <c r="S100" s="3487"/>
    </row>
    <row r="101" spans="2:21" ht="9" customHeight="1">
      <c r="B101" s="486"/>
      <c r="C101" s="379"/>
      <c r="D101" s="291"/>
      <c r="E101" s="645"/>
      <c r="F101" s="293"/>
      <c r="G101" s="672"/>
      <c r="H101" s="265"/>
      <c r="I101" s="265"/>
      <c r="J101" s="294"/>
      <c r="K101" s="294"/>
      <c r="L101" s="294"/>
      <c r="M101" s="294"/>
      <c r="N101" s="87"/>
      <c r="O101" s="87"/>
      <c r="P101" s="604"/>
      <c r="Q101" s="257"/>
      <c r="S101" s="3487"/>
    </row>
    <row r="102" spans="2:21" ht="27" customHeight="1">
      <c r="B102" s="486"/>
      <c r="C102" s="379"/>
      <c r="D102" s="291"/>
      <c r="E102" s="645"/>
      <c r="F102" s="293"/>
      <c r="G102" s="493"/>
      <c r="H102" s="3179" t="s">
        <v>539</v>
      </c>
      <c r="I102" s="3179"/>
      <c r="J102" s="3090"/>
      <c r="K102" s="3091"/>
      <c r="L102" s="3091"/>
      <c r="M102" s="3091"/>
      <c r="N102" s="3091"/>
      <c r="O102" s="3092"/>
      <c r="P102" s="604"/>
      <c r="Q102" s="257"/>
      <c r="S102" s="3487"/>
    </row>
    <row r="103" spans="2:21" ht="15" customHeight="1">
      <c r="B103" s="253"/>
      <c r="C103" s="664"/>
      <c r="D103" s="291"/>
      <c r="E103" s="645"/>
      <c r="F103" s="602"/>
      <c r="G103" s="645"/>
      <c r="H103" s="602"/>
      <c r="I103" s="55"/>
      <c r="J103" s="645"/>
      <c r="K103" s="602"/>
      <c r="L103" s="645"/>
      <c r="M103" s="602"/>
      <c r="N103" s="645"/>
      <c r="O103" s="602"/>
      <c r="P103" s="604"/>
      <c r="Q103" s="257"/>
      <c r="S103" s="3487"/>
    </row>
    <row r="104" spans="2:21" ht="12.75" customHeight="1">
      <c r="B104" s="253"/>
      <c r="C104" s="664"/>
      <c r="D104" s="381"/>
      <c r="E104" s="360"/>
      <c r="F104" s="361"/>
      <c r="G104" s="360"/>
      <c r="H104" s="361"/>
      <c r="I104" s="368"/>
      <c r="J104" s="360"/>
      <c r="K104" s="361"/>
      <c r="L104" s="360"/>
      <c r="M104" s="361"/>
      <c r="N104" s="360"/>
      <c r="O104" s="361"/>
      <c r="P104" s="604"/>
      <c r="Q104" s="257"/>
      <c r="S104" s="3487"/>
    </row>
    <row r="105" spans="2:21" ht="27" customHeight="1">
      <c r="B105" s="253"/>
      <c r="C105" s="444"/>
      <c r="D105" s="632" t="s">
        <v>550</v>
      </c>
      <c r="E105" s="633" t="s">
        <v>551</v>
      </c>
      <c r="F105" s="502"/>
      <c r="G105" s="502"/>
      <c r="H105" s="502"/>
      <c r="I105" s="502"/>
      <c r="J105" s="3179" t="s">
        <v>541</v>
      </c>
      <c r="K105" s="3179"/>
      <c r="L105" s="3280"/>
      <c r="M105" s="3090"/>
      <c r="N105" s="3091"/>
      <c r="O105" s="3092"/>
      <c r="P105" s="604"/>
      <c r="Q105" s="257"/>
      <c r="S105" s="3487"/>
      <c r="U105" s="28" t="s">
        <v>552</v>
      </c>
    </row>
    <row r="106" spans="2:21" ht="27" customHeight="1">
      <c r="B106" s="253"/>
      <c r="C106" s="444"/>
      <c r="D106" s="455"/>
      <c r="E106" s="3474" t="s">
        <v>553</v>
      </c>
      <c r="F106" s="3474"/>
      <c r="G106" s="3474"/>
      <c r="H106" s="3474"/>
      <c r="I106" s="3474"/>
      <c r="J106" s="3474"/>
      <c r="K106" s="3474"/>
      <c r="L106" s="3474"/>
      <c r="M106" s="3474"/>
      <c r="N106" s="3474"/>
      <c r="O106" s="3474"/>
      <c r="P106" s="604"/>
      <c r="Q106" s="257"/>
      <c r="S106" s="3487"/>
    </row>
    <row r="107" spans="2:21" ht="13.5" customHeight="1">
      <c r="B107" s="253"/>
      <c r="C107" s="444"/>
      <c r="D107" s="451"/>
      <c r="E107" s="453"/>
      <c r="F107" s="453"/>
      <c r="G107" s="453"/>
      <c r="H107" s="453"/>
      <c r="I107" s="453"/>
      <c r="J107" s="453"/>
      <c r="K107" s="453"/>
      <c r="L107" s="453"/>
      <c r="M107" s="453"/>
      <c r="N107" s="453"/>
      <c r="O107" s="453"/>
      <c r="P107" s="604"/>
      <c r="Q107" s="257"/>
      <c r="S107" s="3487"/>
    </row>
    <row r="108" spans="2:21" ht="18" customHeight="1">
      <c r="B108" s="253"/>
      <c r="C108" s="444"/>
      <c r="D108" s="451"/>
      <c r="E108" s="452"/>
      <c r="F108" s="292" t="s">
        <v>542</v>
      </c>
      <c r="G108" s="567"/>
      <c r="H108" s="3180" t="s">
        <v>554</v>
      </c>
      <c r="I108" s="3181"/>
      <c r="J108" s="3169"/>
      <c r="K108" s="3170"/>
      <c r="L108" s="3170"/>
      <c r="M108" s="3170"/>
      <c r="N108" s="3170"/>
      <c r="O108" s="3171"/>
      <c r="P108" s="604"/>
      <c r="Q108" s="257"/>
      <c r="S108" s="3487"/>
    </row>
    <row r="109" spans="2:21" ht="9.75" customHeight="1">
      <c r="B109" s="253"/>
      <c r="C109" s="664"/>
      <c r="D109" s="290"/>
      <c r="E109" s="380"/>
      <c r="F109" s="380"/>
      <c r="G109" s="380"/>
      <c r="H109" s="456"/>
      <c r="I109" s="456"/>
      <c r="J109" s="380"/>
      <c r="K109" s="380"/>
      <c r="L109" s="380"/>
      <c r="M109" s="380"/>
      <c r="N109" s="380"/>
      <c r="O109" s="380"/>
      <c r="P109" s="604"/>
      <c r="Q109" s="257"/>
      <c r="S109" s="3487"/>
    </row>
    <row r="110" spans="2:21" ht="18" customHeight="1">
      <c r="B110" s="253"/>
      <c r="C110" s="444"/>
      <c r="D110" s="451"/>
      <c r="E110" s="452"/>
      <c r="F110" s="292" t="s">
        <v>549</v>
      </c>
      <c r="G110" s="567"/>
      <c r="H110" s="3180" t="s">
        <v>554</v>
      </c>
      <c r="I110" s="3181"/>
      <c r="J110" s="3169"/>
      <c r="K110" s="3170"/>
      <c r="L110" s="3170"/>
      <c r="M110" s="3170"/>
      <c r="N110" s="3170"/>
      <c r="O110" s="3171"/>
      <c r="P110" s="604"/>
      <c r="Q110" s="257"/>
      <c r="S110" s="3487"/>
    </row>
    <row r="111" spans="2:21" ht="9.75" customHeight="1">
      <c r="B111" s="253"/>
      <c r="C111" s="664"/>
      <c r="D111" s="290"/>
      <c r="E111" s="380"/>
      <c r="F111" s="380"/>
      <c r="G111" s="380"/>
      <c r="H111" s="380"/>
      <c r="I111" s="380"/>
      <c r="J111" s="380"/>
      <c r="K111" s="380"/>
      <c r="L111" s="380"/>
      <c r="M111" s="380"/>
      <c r="N111" s="380"/>
      <c r="O111" s="380"/>
      <c r="P111" s="604"/>
      <c r="Q111" s="257"/>
      <c r="S111" s="3487"/>
    </row>
    <row r="112" spans="2:21" ht="17.25" customHeight="1">
      <c r="B112" s="253"/>
      <c r="C112" s="664"/>
      <c r="D112" s="290"/>
      <c r="E112" s="645"/>
      <c r="F112" s="454" t="s">
        <v>22</v>
      </c>
      <c r="G112" s="568"/>
      <c r="H112" s="602"/>
      <c r="I112" s="383"/>
      <c r="P112" s="604"/>
      <c r="Q112" s="257"/>
      <c r="S112" s="3487"/>
    </row>
    <row r="113" spans="2:19" ht="9" customHeight="1">
      <c r="B113" s="486"/>
      <c r="C113" s="379"/>
      <c r="D113" s="291"/>
      <c r="E113" s="645"/>
      <c r="F113" s="293"/>
      <c r="G113" s="672"/>
      <c r="H113" s="265"/>
      <c r="I113" s="265"/>
      <c r="J113" s="294"/>
      <c r="K113" s="294"/>
      <c r="L113" s="294"/>
      <c r="M113" s="294"/>
      <c r="N113" s="87"/>
      <c r="O113" s="87"/>
      <c r="P113" s="604"/>
      <c r="Q113" s="257"/>
      <c r="S113" s="3487"/>
    </row>
    <row r="114" spans="2:19" ht="27" customHeight="1">
      <c r="B114" s="486"/>
      <c r="C114" s="379"/>
      <c r="D114" s="291"/>
      <c r="E114" s="645"/>
      <c r="F114" s="293"/>
      <c r="G114" s="493"/>
      <c r="H114" s="3179" t="s">
        <v>539</v>
      </c>
      <c r="I114" s="3179"/>
      <c r="J114" s="3090"/>
      <c r="K114" s="3091"/>
      <c r="L114" s="3091"/>
      <c r="M114" s="3091"/>
      <c r="N114" s="3091"/>
      <c r="O114" s="3092"/>
      <c r="P114" s="604"/>
      <c r="Q114" s="257"/>
      <c r="S114" s="3487"/>
    </row>
    <row r="115" spans="2:19" ht="15" customHeight="1">
      <c r="B115" s="253"/>
      <c r="C115" s="664"/>
      <c r="D115" s="291"/>
      <c r="E115" s="645"/>
      <c r="F115" s="602"/>
      <c r="G115" s="645"/>
      <c r="H115" s="602"/>
      <c r="I115" s="55"/>
      <c r="J115" s="645"/>
      <c r="K115" s="602"/>
      <c r="L115" s="645"/>
      <c r="M115" s="602"/>
      <c r="N115" s="645"/>
      <c r="O115" s="602"/>
      <c r="P115" s="604"/>
      <c r="Q115" s="257"/>
      <c r="S115" s="3487"/>
    </row>
    <row r="116" spans="2:19" ht="14.25" customHeight="1">
      <c r="B116" s="253"/>
      <c r="C116" s="384"/>
      <c r="D116" s="274"/>
      <c r="E116" s="384"/>
      <c r="F116" s="384"/>
      <c r="G116" s="384"/>
      <c r="H116" s="384"/>
      <c r="I116" s="384"/>
      <c r="J116" s="384"/>
      <c r="K116" s="384"/>
      <c r="L116" s="384"/>
      <c r="M116" s="384"/>
      <c r="N116" s="384"/>
      <c r="O116" s="384"/>
      <c r="P116" s="384"/>
      <c r="Q116" s="257"/>
      <c r="S116" s="3487"/>
    </row>
    <row r="117" spans="2:19" ht="13.5" customHeight="1">
      <c r="B117" s="253"/>
      <c r="C117" s="258"/>
      <c r="D117" s="297"/>
      <c r="E117" s="260"/>
      <c r="F117" s="260"/>
      <c r="G117" s="260"/>
      <c r="H117" s="260"/>
      <c r="I117" s="260"/>
      <c r="J117" s="260"/>
      <c r="K117" s="260"/>
      <c r="L117" s="260"/>
      <c r="M117" s="260"/>
      <c r="N117" s="260"/>
      <c r="O117" s="260"/>
      <c r="P117" s="261"/>
      <c r="Q117" s="257"/>
      <c r="S117" s="3487"/>
    </row>
    <row r="118" spans="2:19" ht="3.75" customHeight="1">
      <c r="B118" s="253"/>
      <c r="C118" s="3511" t="s">
        <v>555</v>
      </c>
      <c r="P118" s="266"/>
      <c r="Q118" s="257"/>
      <c r="S118" s="3487"/>
    </row>
    <row r="119" spans="2:19" ht="9" customHeight="1">
      <c r="B119" s="253"/>
      <c r="C119" s="3511"/>
      <c r="D119" s="3489" t="s">
        <v>3453</v>
      </c>
      <c r="E119" s="3489"/>
      <c r="F119" s="3489"/>
      <c r="G119" s="3489"/>
      <c r="P119" s="266"/>
      <c r="Q119" s="257"/>
      <c r="S119" s="3487"/>
    </row>
    <row r="120" spans="2:19" ht="18" customHeight="1">
      <c r="B120" s="486" t="str">
        <f>IF(ISBLANK(H120)=FALSE,"","u")</f>
        <v>u</v>
      </c>
      <c r="C120" s="3511"/>
      <c r="D120" s="3489"/>
      <c r="E120" s="3489"/>
      <c r="F120" s="3489"/>
      <c r="G120" s="3489"/>
      <c r="H120" s="3490"/>
      <c r="I120" s="3491"/>
      <c r="J120" s="3491"/>
      <c r="K120" s="3491"/>
      <c r="L120" s="3491"/>
      <c r="M120" s="3492"/>
      <c r="O120" s="1029" t="str">
        <f>IF(ISNA(VLOOKUP('FORMULAIRE PGA Eau potable'!H120,'MENU DÉROULANT'!F31:H35,3,FALSE)),"",VLOOKUP('FORMULAIRE PGA Eau potable'!H120,'MENU DÉROULANT'!F31:H35,3,FALSE))</f>
        <v/>
      </c>
      <c r="P120" s="266"/>
      <c r="Q120" s="257"/>
      <c r="S120" s="3487"/>
    </row>
    <row r="121" spans="2:19" ht="30.75" customHeight="1">
      <c r="B121" s="253"/>
      <c r="C121" s="3511"/>
      <c r="D121" s="646"/>
      <c r="E121" s="646"/>
      <c r="F121" s="646"/>
      <c r="G121" s="646"/>
      <c r="H121" s="3493" t="str">
        <f>IF(H120='MENU DÉROULANT'!F31,"Notez que toutes les sections concernant ce sous-service ne seront donc pas remplies et qu'il n'y aura donc pas de visuel dans le sommaire pour ce sous-service. Une note apparaitra toutefois à ce sujet sur le sommaire.","")</f>
        <v/>
      </c>
      <c r="I121" s="3493"/>
      <c r="J121" s="3493"/>
      <c r="K121" s="3493"/>
      <c r="L121" s="3493"/>
      <c r="M121" s="3493"/>
      <c r="P121" s="266"/>
      <c r="Q121" s="257"/>
      <c r="S121" s="3487"/>
    </row>
    <row r="122" spans="2:19" ht="9.75" customHeight="1">
      <c r="B122" s="253"/>
      <c r="C122" s="3511"/>
      <c r="P122" s="266"/>
      <c r="Q122" s="257"/>
      <c r="S122" s="3487"/>
    </row>
    <row r="123" spans="2:19" ht="27" customHeight="1">
      <c r="B123" s="253"/>
      <c r="C123" s="3511"/>
      <c r="F123" s="3179" t="s">
        <v>539</v>
      </c>
      <c r="G123" s="3179"/>
      <c r="H123" s="3090"/>
      <c r="I123" s="3091"/>
      <c r="J123" s="3091"/>
      <c r="K123" s="3091"/>
      <c r="L123" s="3091"/>
      <c r="M123" s="3092"/>
      <c r="P123" s="266"/>
      <c r="Q123" s="257"/>
      <c r="S123" s="3487"/>
    </row>
    <row r="124" spans="2:19" ht="15" customHeight="1">
      <c r="B124" s="253"/>
      <c r="C124" s="3511"/>
      <c r="D124" s="509"/>
      <c r="E124" s="509"/>
      <c r="F124" s="509"/>
      <c r="G124" s="509"/>
      <c r="H124" s="509"/>
      <c r="I124" s="509"/>
      <c r="J124" s="509"/>
      <c r="K124" s="509"/>
      <c r="L124" s="509"/>
      <c r="M124" s="509"/>
      <c r="N124" s="509"/>
      <c r="O124" s="509"/>
      <c r="P124" s="266"/>
      <c r="Q124" s="257"/>
      <c r="S124" s="3487"/>
    </row>
    <row r="125" spans="2:19" ht="12.75" customHeight="1">
      <c r="B125" s="253"/>
      <c r="C125" s="379"/>
      <c r="P125" s="266"/>
      <c r="Q125" s="257"/>
      <c r="S125" s="3487"/>
    </row>
    <row r="126" spans="2:19" ht="27" customHeight="1">
      <c r="B126" s="253"/>
      <c r="C126" s="379"/>
      <c r="D126" s="662" t="s">
        <v>34</v>
      </c>
      <c r="E126" s="449" t="s">
        <v>556</v>
      </c>
      <c r="F126" s="85"/>
      <c r="G126" s="85"/>
      <c r="H126" s="85"/>
      <c r="I126" s="85"/>
      <c r="J126" s="3179" t="s">
        <v>541</v>
      </c>
      <c r="K126" s="3179"/>
      <c r="L126" s="3280"/>
      <c r="M126" s="3090"/>
      <c r="N126" s="3091"/>
      <c r="O126" s="3092"/>
      <c r="P126" s="266"/>
      <c r="Q126" s="257"/>
      <c r="R126" s="415"/>
      <c r="S126" s="3487"/>
    </row>
    <row r="127" spans="2:19" ht="17.25" customHeight="1">
      <c r="B127" s="253"/>
      <c r="C127" s="379"/>
      <c r="D127" s="376"/>
      <c r="E127" s="377"/>
      <c r="F127" s="85"/>
      <c r="G127" s="85"/>
      <c r="H127" s="85"/>
      <c r="I127" s="85"/>
      <c r="J127" s="85"/>
      <c r="K127" s="85"/>
      <c r="L127" s="85"/>
      <c r="M127" s="85"/>
      <c r="N127" s="85"/>
      <c r="O127" s="443" t="str">
        <f>IF(SUM(J128:N128)&gt;1,"Attention: La somme de ces % d'état est de plus de 100%.","")</f>
        <v/>
      </c>
      <c r="P127" s="266"/>
      <c r="Q127" s="257"/>
      <c r="S127" s="3487"/>
    </row>
    <row r="128" spans="2:19" ht="18" customHeight="1">
      <c r="B128" s="486" t="str">
        <f>IF(OR(O120=1,O120=3),"",IF(OR(ISBLANK(G128),ISBLANK(J128),ISBLANK(K128),ISBLANK(L128),ISBLANK(M128),ISBLANK(N128))=FALSE,"","u"))</f>
        <v>u</v>
      </c>
      <c r="C128" s="379"/>
      <c r="D128" s="291"/>
      <c r="F128" s="292" t="s">
        <v>542</v>
      </c>
      <c r="G128" s="565"/>
      <c r="H128" s="3179" t="s">
        <v>543</v>
      </c>
      <c r="I128" s="3179"/>
      <c r="J128" s="569"/>
      <c r="K128" s="569"/>
      <c r="L128" s="569"/>
      <c r="M128" s="569"/>
      <c r="N128" s="569"/>
      <c r="O128" s="714" t="str">
        <f>IF(AND(ISBLANK(J128),ISBLANK(K128),ISBLANK(L128),ISBLANK(M128),ISBLANK(N128)),"",IF((1-J128-K128-L128-M128-N128)&lt;0,0,(1-J128-K128-L128-M128-N128)))</f>
        <v/>
      </c>
      <c r="P128" s="604"/>
      <c r="Q128" s="257"/>
      <c r="S128" s="3487"/>
    </row>
    <row r="129" spans="2:20" ht="6.75" customHeight="1">
      <c r="B129" s="253"/>
      <c r="C129" s="379"/>
      <c r="D129" s="291"/>
      <c r="E129" s="85"/>
      <c r="F129" s="85"/>
      <c r="G129" s="85"/>
      <c r="H129" s="3179"/>
      <c r="I129" s="3179"/>
      <c r="J129" s="85"/>
      <c r="K129" s="85"/>
      <c r="L129" s="85"/>
      <c r="M129" s="85"/>
      <c r="N129" s="85"/>
      <c r="O129" s="85"/>
      <c r="P129" s="266"/>
      <c r="Q129" s="257"/>
      <c r="S129" s="3487"/>
    </row>
    <row r="130" spans="2:20" ht="17.25" customHeight="1">
      <c r="B130" s="486" t="str">
        <f>IF(OR(O120=1,O120=3),"",IF(ISBLANK(G130)=FALSE,"","u"))</f>
        <v>u</v>
      </c>
      <c r="C130" s="379"/>
      <c r="D130" s="291"/>
      <c r="E130" s="645"/>
      <c r="F130" s="293" t="s">
        <v>22</v>
      </c>
      <c r="G130" s="566"/>
      <c r="H130" s="265"/>
      <c r="I130" s="265"/>
      <c r="J130" s="294" t="s">
        <v>544</v>
      </c>
      <c r="K130" s="294" t="s">
        <v>545</v>
      </c>
      <c r="L130" s="294" t="s">
        <v>3493</v>
      </c>
      <c r="M130" s="294" t="s">
        <v>546</v>
      </c>
      <c r="N130" s="87" t="s">
        <v>547</v>
      </c>
      <c r="O130" s="294" t="s">
        <v>66</v>
      </c>
      <c r="P130" s="604"/>
      <c r="Q130" s="257"/>
      <c r="S130" s="3487"/>
    </row>
    <row r="131" spans="2:20" ht="9" customHeight="1">
      <c r="B131" s="486"/>
      <c r="C131" s="379"/>
      <c r="D131" s="291"/>
      <c r="E131" s="645"/>
      <c r="F131" s="293"/>
      <c r="G131" s="672"/>
      <c r="H131" s="265"/>
      <c r="I131" s="265"/>
      <c r="J131" s="294"/>
      <c r="K131" s="294"/>
      <c r="L131" s="294"/>
      <c r="M131" s="294"/>
      <c r="N131" s="87"/>
      <c r="O131" s="87"/>
      <c r="P131" s="604"/>
      <c r="Q131" s="257"/>
      <c r="S131" s="3487"/>
    </row>
    <row r="132" spans="2:20" ht="27" customHeight="1">
      <c r="B132" s="486"/>
      <c r="C132" s="379"/>
      <c r="D132" s="291"/>
      <c r="E132" s="645"/>
      <c r="F132" s="293"/>
      <c r="G132" s="493"/>
      <c r="H132" s="3179" t="s">
        <v>539</v>
      </c>
      <c r="I132" s="3179"/>
      <c r="J132" s="3090"/>
      <c r="K132" s="3091"/>
      <c r="L132" s="3091"/>
      <c r="M132" s="3091"/>
      <c r="N132" s="3091"/>
      <c r="O132" s="3092"/>
      <c r="P132" s="604"/>
      <c r="Q132" s="257"/>
      <c r="S132" s="3487"/>
    </row>
    <row r="133" spans="2:20" ht="15" customHeight="1">
      <c r="B133" s="253"/>
      <c r="C133" s="379"/>
      <c r="D133" s="295"/>
      <c r="E133" s="272"/>
      <c r="F133" s="283"/>
      <c r="G133" s="272"/>
      <c r="H133" s="283"/>
      <c r="I133" s="271"/>
      <c r="J133" s="272"/>
      <c r="K133" s="283"/>
      <c r="L133" s="272"/>
      <c r="M133" s="283"/>
      <c r="N133" s="272"/>
      <c r="O133" s="283"/>
      <c r="P133" s="604"/>
      <c r="Q133" s="257"/>
      <c r="S133" s="3487"/>
    </row>
    <row r="134" spans="2:20" ht="12.75" customHeight="1">
      <c r="B134" s="253"/>
      <c r="C134" s="626"/>
      <c r="D134" s="291"/>
      <c r="E134" s="645"/>
      <c r="F134" s="602"/>
      <c r="G134" s="645"/>
      <c r="H134" s="602"/>
      <c r="I134" s="55"/>
      <c r="J134" s="645"/>
      <c r="K134" s="602"/>
      <c r="L134" s="645"/>
      <c r="M134" s="602"/>
      <c r="N134" s="645"/>
      <c r="O134" s="602"/>
      <c r="P134" s="604"/>
      <c r="Q134" s="257"/>
      <c r="S134" s="3487"/>
    </row>
    <row r="135" spans="2:20" ht="27" customHeight="1">
      <c r="B135" s="253"/>
      <c r="C135" s="104"/>
      <c r="D135" s="662" t="s">
        <v>35</v>
      </c>
      <c r="E135" s="449" t="s">
        <v>557</v>
      </c>
      <c r="F135" s="85"/>
      <c r="G135" s="85"/>
      <c r="H135" s="85"/>
      <c r="I135" s="85"/>
      <c r="J135" s="3179" t="s">
        <v>541</v>
      </c>
      <c r="K135" s="3179"/>
      <c r="L135" s="3280"/>
      <c r="M135" s="3090"/>
      <c r="N135" s="3091"/>
      <c r="O135" s="3092"/>
      <c r="P135" s="266"/>
      <c r="Q135" s="257"/>
      <c r="S135" s="3487"/>
      <c r="T135" s="296"/>
    </row>
    <row r="136" spans="2:20" ht="17.25" customHeight="1">
      <c r="B136" s="253"/>
      <c r="C136" s="104"/>
      <c r="D136" s="375"/>
      <c r="E136" s="378"/>
      <c r="F136" s="85"/>
      <c r="G136" s="85"/>
      <c r="H136" s="85"/>
      <c r="I136" s="85"/>
      <c r="J136" s="85"/>
      <c r="K136" s="85"/>
      <c r="L136" s="85"/>
      <c r="M136" s="85"/>
      <c r="N136" s="85"/>
      <c r="O136" s="443" t="str">
        <f>IF(SUM(J137:N137)&gt;1,"Attention: La somme de ces % d'état est de plus de 100%.","")</f>
        <v/>
      </c>
      <c r="P136" s="266"/>
      <c r="Q136" s="257"/>
      <c r="S136" s="3487"/>
      <c r="T136" s="296"/>
    </row>
    <row r="137" spans="2:20" ht="18" customHeight="1">
      <c r="B137" s="486" t="str">
        <f>IF(OR(O120=1,O120=2),"",IF(OR(ISBLANK(G137),ISBLANK(J137),ISBLANK(K137),ISBLANK(L137),ISBLANK(M137),ISBLANK(N137))=FALSE,"","u"))</f>
        <v>u</v>
      </c>
      <c r="C137" s="104"/>
      <c r="D137" s="291"/>
      <c r="F137" s="292" t="s">
        <v>549</v>
      </c>
      <c r="G137" s="565"/>
      <c r="H137" s="3179" t="s">
        <v>543</v>
      </c>
      <c r="I137" s="3179"/>
      <c r="J137" s="569"/>
      <c r="K137" s="569"/>
      <c r="L137" s="569"/>
      <c r="M137" s="569"/>
      <c r="N137" s="569"/>
      <c r="O137" s="714" t="str">
        <f>IF(AND(ISBLANK(J137),ISBLANK(K137),ISBLANK(L137),ISBLANK(M137),ISBLANK(N137)),"",IF((1-J137-K137-L137-M137-N137)&lt;0,0,(1-J137-K137-L137-M137-N137)))</f>
        <v/>
      </c>
      <c r="P137" s="604"/>
      <c r="Q137" s="257"/>
      <c r="S137" s="3487"/>
    </row>
    <row r="138" spans="2:20" ht="6.75" customHeight="1">
      <c r="B138" s="253"/>
      <c r="C138" s="104"/>
      <c r="D138" s="291"/>
      <c r="E138" s="85"/>
      <c r="F138" s="85"/>
      <c r="G138" s="85"/>
      <c r="H138" s="3179"/>
      <c r="I138" s="3179"/>
      <c r="J138" s="85"/>
      <c r="K138" s="85"/>
      <c r="L138" s="85"/>
      <c r="M138" s="85"/>
      <c r="N138" s="85"/>
      <c r="O138" s="85"/>
      <c r="P138" s="266"/>
      <c r="Q138" s="257"/>
      <c r="S138" s="3487"/>
    </row>
    <row r="139" spans="2:20" ht="17.25" customHeight="1">
      <c r="B139" s="486" t="str">
        <f>IF(OR(O120=1,O120=2),"",IF(ISBLANK(G139)=FALSE,"","u"))</f>
        <v>u</v>
      </c>
      <c r="C139" s="104"/>
      <c r="D139" s="291"/>
      <c r="E139" s="645"/>
      <c r="F139" s="293" t="s">
        <v>22</v>
      </c>
      <c r="G139" s="566"/>
      <c r="H139" s="265"/>
      <c r="I139" s="265"/>
      <c r="J139" s="294" t="s">
        <v>544</v>
      </c>
      <c r="K139" s="294" t="s">
        <v>545</v>
      </c>
      <c r="L139" s="294" t="s">
        <v>3493</v>
      </c>
      <c r="M139" s="294" t="s">
        <v>546</v>
      </c>
      <c r="N139" s="87" t="s">
        <v>547</v>
      </c>
      <c r="O139" s="294" t="s">
        <v>66</v>
      </c>
      <c r="P139" s="604"/>
      <c r="Q139" s="257"/>
      <c r="S139" s="3487"/>
    </row>
    <row r="140" spans="2:20" ht="9" customHeight="1">
      <c r="B140" s="486"/>
      <c r="C140" s="379"/>
      <c r="D140" s="291"/>
      <c r="E140" s="645"/>
      <c r="F140" s="293"/>
      <c r="G140" s="672"/>
      <c r="H140" s="265"/>
      <c r="I140" s="265"/>
      <c r="J140" s="294"/>
      <c r="K140" s="294"/>
      <c r="L140" s="294"/>
      <c r="M140" s="294"/>
      <c r="N140" s="87"/>
      <c r="O140" s="87"/>
      <c r="P140" s="604"/>
      <c r="Q140" s="257"/>
      <c r="S140" s="3487"/>
    </row>
    <row r="141" spans="2:20" ht="27" customHeight="1">
      <c r="B141" s="486"/>
      <c r="C141" s="379"/>
      <c r="D141" s="291"/>
      <c r="E141" s="645"/>
      <c r="F141" s="293"/>
      <c r="G141" s="493"/>
      <c r="H141" s="3179" t="s">
        <v>539</v>
      </c>
      <c r="I141" s="3179"/>
      <c r="J141" s="3090"/>
      <c r="K141" s="3091"/>
      <c r="L141" s="3091"/>
      <c r="M141" s="3091"/>
      <c r="N141" s="3091"/>
      <c r="O141" s="3092"/>
      <c r="P141" s="604"/>
      <c r="Q141" s="257"/>
      <c r="S141" s="3487"/>
    </row>
    <row r="142" spans="2:20" ht="15" customHeight="1">
      <c r="B142" s="253"/>
      <c r="C142" s="379"/>
      <c r="D142" s="295"/>
      <c r="E142" s="272"/>
      <c r="F142" s="283"/>
      <c r="G142" s="272"/>
      <c r="H142" s="283"/>
      <c r="I142" s="271"/>
      <c r="J142" s="272"/>
      <c r="K142" s="283"/>
      <c r="L142" s="272"/>
      <c r="M142" s="283"/>
      <c r="N142" s="272"/>
      <c r="O142" s="283"/>
      <c r="P142" s="604"/>
      <c r="Q142" s="257"/>
      <c r="S142" s="3487"/>
    </row>
    <row r="143" spans="2:20" ht="12.75" customHeight="1">
      <c r="B143" s="253"/>
      <c r="C143" s="626"/>
      <c r="D143" s="291"/>
      <c r="E143" s="645"/>
      <c r="F143" s="602"/>
      <c r="G143" s="645"/>
      <c r="H143" s="602"/>
      <c r="I143" s="55"/>
      <c r="J143" s="645"/>
      <c r="K143" s="602"/>
      <c r="L143" s="645"/>
      <c r="M143" s="602"/>
      <c r="N143" s="645"/>
      <c r="O143" s="602"/>
      <c r="P143" s="604"/>
      <c r="Q143" s="257"/>
      <c r="S143" s="3487"/>
    </row>
    <row r="144" spans="2:20" ht="27" customHeight="1">
      <c r="B144" s="253"/>
      <c r="C144" s="104"/>
      <c r="D144" s="632" t="s">
        <v>550</v>
      </c>
      <c r="E144" s="633" t="s">
        <v>551</v>
      </c>
      <c r="F144" s="502"/>
      <c r="G144" s="502"/>
      <c r="H144" s="502"/>
      <c r="I144" s="502"/>
      <c r="J144" s="3179" t="s">
        <v>541</v>
      </c>
      <c r="K144" s="3179"/>
      <c r="L144" s="3280"/>
      <c r="M144" s="3090"/>
      <c r="N144" s="3091"/>
      <c r="O144" s="3092"/>
      <c r="P144" s="604"/>
      <c r="Q144" s="257"/>
      <c r="S144" s="3487"/>
    </row>
    <row r="145" spans="2:19" ht="27" customHeight="1">
      <c r="B145" s="253"/>
      <c r="C145" s="104"/>
      <c r="D145" s="455"/>
      <c r="E145" s="3474" t="s">
        <v>558</v>
      </c>
      <c r="F145" s="3474"/>
      <c r="G145" s="3474"/>
      <c r="H145" s="3474"/>
      <c r="I145" s="3474"/>
      <c r="J145" s="3474"/>
      <c r="K145" s="3474"/>
      <c r="L145" s="3474"/>
      <c r="M145" s="3474"/>
      <c r="N145" s="3474"/>
      <c r="O145" s="3474"/>
      <c r="P145" s="604"/>
      <c r="Q145" s="257"/>
      <c r="S145" s="3487"/>
    </row>
    <row r="146" spans="2:19" ht="13.5" customHeight="1">
      <c r="B146" s="253"/>
      <c r="C146" s="104"/>
      <c r="D146" s="451"/>
      <c r="E146" s="453"/>
      <c r="F146" s="453"/>
      <c r="G146" s="453"/>
      <c r="H146" s="453"/>
      <c r="I146" s="453"/>
      <c r="J146" s="453"/>
      <c r="K146" s="453"/>
      <c r="L146" s="453"/>
      <c r="M146" s="453"/>
      <c r="N146" s="453"/>
      <c r="O146" s="453"/>
      <c r="P146" s="604"/>
      <c r="Q146" s="257"/>
      <c r="S146" s="3487"/>
    </row>
    <row r="147" spans="2:19" ht="18" customHeight="1">
      <c r="B147" s="253"/>
      <c r="C147" s="104"/>
      <c r="D147" s="451"/>
      <c r="E147" s="452"/>
      <c r="F147" s="292" t="s">
        <v>542</v>
      </c>
      <c r="G147" s="567"/>
      <c r="H147" s="3180" t="s">
        <v>554</v>
      </c>
      <c r="I147" s="3181"/>
      <c r="J147" s="3169"/>
      <c r="K147" s="3170"/>
      <c r="L147" s="3170"/>
      <c r="M147" s="3170"/>
      <c r="N147" s="3170"/>
      <c r="O147" s="3171"/>
      <c r="P147" s="604"/>
      <c r="Q147" s="257"/>
      <c r="S147" s="3487"/>
    </row>
    <row r="148" spans="2:19" ht="9.75" customHeight="1">
      <c r="B148" s="253"/>
      <c r="C148" s="104"/>
      <c r="D148" s="290"/>
      <c r="E148" s="380"/>
      <c r="F148" s="380"/>
      <c r="G148" s="380"/>
      <c r="H148" s="456"/>
      <c r="I148" s="456"/>
      <c r="J148" s="380"/>
      <c r="K148" s="380"/>
      <c r="L148" s="380"/>
      <c r="M148" s="380"/>
      <c r="N148" s="380"/>
      <c r="O148" s="380"/>
      <c r="P148" s="604"/>
      <c r="Q148" s="257"/>
      <c r="S148" s="3487"/>
    </row>
    <row r="149" spans="2:19" ht="18" customHeight="1">
      <c r="B149" s="253"/>
      <c r="C149" s="104"/>
      <c r="D149" s="451"/>
      <c r="E149" s="452"/>
      <c r="F149" s="292" t="s">
        <v>549</v>
      </c>
      <c r="G149" s="567"/>
      <c r="H149" s="3180" t="s">
        <v>554</v>
      </c>
      <c r="I149" s="3181"/>
      <c r="J149" s="3169"/>
      <c r="K149" s="3170"/>
      <c r="L149" s="3170"/>
      <c r="M149" s="3170"/>
      <c r="N149" s="3170"/>
      <c r="O149" s="3171"/>
      <c r="P149" s="604"/>
      <c r="Q149" s="257"/>
      <c r="S149" s="3487"/>
    </row>
    <row r="150" spans="2:19" ht="9.75" customHeight="1">
      <c r="B150" s="253"/>
      <c r="C150" s="664"/>
      <c r="D150" s="290"/>
      <c r="E150" s="380"/>
      <c r="F150" s="380"/>
      <c r="G150" s="380"/>
      <c r="H150" s="380"/>
      <c r="I150" s="380"/>
      <c r="J150" s="380"/>
      <c r="K150" s="380"/>
      <c r="L150" s="380"/>
      <c r="M150" s="380"/>
      <c r="N150" s="380"/>
      <c r="O150" s="380"/>
      <c r="P150" s="604"/>
      <c r="Q150" s="257"/>
      <c r="S150" s="3487"/>
    </row>
    <row r="151" spans="2:19" ht="17.25" customHeight="1">
      <c r="B151" s="253"/>
      <c r="C151" s="664"/>
      <c r="D151" s="290"/>
      <c r="E151" s="645"/>
      <c r="F151" s="454" t="s">
        <v>22</v>
      </c>
      <c r="G151" s="568"/>
      <c r="H151" s="602"/>
      <c r="I151" s="383"/>
      <c r="P151" s="604"/>
      <c r="Q151" s="257"/>
      <c r="S151" s="3487"/>
    </row>
    <row r="152" spans="2:19" ht="9" customHeight="1">
      <c r="B152" s="486"/>
      <c r="C152" s="379"/>
      <c r="D152" s="291"/>
      <c r="E152" s="645"/>
      <c r="F152" s="293"/>
      <c r="G152" s="672"/>
      <c r="H152" s="265"/>
      <c r="I152" s="265"/>
      <c r="J152" s="294"/>
      <c r="K152" s="294"/>
      <c r="L152" s="294"/>
      <c r="M152" s="294"/>
      <c r="N152" s="87"/>
      <c r="O152" s="87"/>
      <c r="P152" s="604"/>
      <c r="Q152" s="257"/>
      <c r="S152" s="3487"/>
    </row>
    <row r="153" spans="2:19" ht="27" customHeight="1">
      <c r="B153" s="486"/>
      <c r="C153" s="379"/>
      <c r="D153" s="291"/>
      <c r="E153" s="645"/>
      <c r="F153" s="293"/>
      <c r="G153" s="493"/>
      <c r="H153" s="3179" t="s">
        <v>539</v>
      </c>
      <c r="I153" s="3179"/>
      <c r="J153" s="3090"/>
      <c r="K153" s="3091"/>
      <c r="L153" s="3091"/>
      <c r="M153" s="3091"/>
      <c r="N153" s="3091"/>
      <c r="O153" s="3092"/>
      <c r="P153" s="604"/>
      <c r="Q153" s="257"/>
      <c r="S153" s="3487"/>
    </row>
    <row r="154" spans="2:19" ht="15" customHeight="1">
      <c r="B154" s="253"/>
      <c r="C154" s="664"/>
      <c r="D154" s="291"/>
      <c r="E154" s="645"/>
      <c r="F154" s="602"/>
      <c r="G154" s="645"/>
      <c r="H154" s="602"/>
      <c r="I154" s="55"/>
      <c r="J154" s="645"/>
      <c r="K154" s="602"/>
      <c r="L154" s="645"/>
      <c r="M154" s="602"/>
      <c r="N154" s="645"/>
      <c r="O154" s="602"/>
      <c r="P154" s="604"/>
      <c r="Q154" s="257"/>
      <c r="S154" s="3487"/>
    </row>
    <row r="155" spans="2:19" ht="12" customHeight="1">
      <c r="B155" s="253"/>
      <c r="C155" s="384"/>
      <c r="D155" s="274"/>
      <c r="E155" s="384"/>
      <c r="F155" s="384"/>
      <c r="G155" s="384"/>
      <c r="H155" s="384"/>
      <c r="I155" s="384"/>
      <c r="J155" s="384"/>
      <c r="K155" s="384"/>
      <c r="L155" s="384"/>
      <c r="M155" s="384"/>
      <c r="N155" s="384"/>
      <c r="O155" s="384"/>
      <c r="P155" s="384"/>
      <c r="Q155" s="257"/>
      <c r="S155" s="3487"/>
    </row>
    <row r="156" spans="2:19" ht="15" customHeight="1">
      <c r="B156" s="253"/>
      <c r="C156" s="664"/>
      <c r="D156" s="381"/>
      <c r="E156" s="360"/>
      <c r="F156" s="361"/>
      <c r="G156" s="360"/>
      <c r="H156" s="361"/>
      <c r="I156" s="368"/>
      <c r="J156" s="360"/>
      <c r="K156" s="361"/>
      <c r="L156" s="360"/>
      <c r="M156" s="361"/>
      <c r="N156" s="360"/>
      <c r="O156" s="361"/>
      <c r="P156" s="604"/>
      <c r="Q156" s="257"/>
      <c r="S156" s="3487"/>
    </row>
    <row r="157" spans="2:19" ht="18" customHeight="1">
      <c r="B157" s="486" t="str">
        <f>IF(C159="",IF(ISBLANK(G157)=FALSE,"","u"),"")</f>
        <v>u</v>
      </c>
      <c r="C157" s="505" t="s">
        <v>559</v>
      </c>
      <c r="D157" s="503" t="s">
        <v>560</v>
      </c>
      <c r="E157" s="78"/>
      <c r="F157" s="78"/>
      <c r="G157" s="564"/>
      <c r="H157" s="504" t="s">
        <v>561</v>
      </c>
      <c r="L157" s="78"/>
      <c r="M157" s="78"/>
      <c r="N157" s="78"/>
      <c r="O157" s="78"/>
      <c r="P157" s="604"/>
      <c r="Q157" s="257"/>
      <c r="S157" s="3487"/>
    </row>
    <row r="158" spans="2:19" ht="9.75" customHeight="1">
      <c r="B158" s="253"/>
      <c r="C158" s="450"/>
      <c r="D158" s="451"/>
      <c r="E158" s="457"/>
      <c r="F158" s="78"/>
      <c r="G158" s="78"/>
      <c r="H158" s="78"/>
      <c r="I158" s="78"/>
      <c r="J158" s="78"/>
      <c r="K158" s="78"/>
      <c r="L158" s="78"/>
      <c r="M158" s="78"/>
      <c r="N158" s="78"/>
      <c r="O158" s="78"/>
      <c r="P158" s="604"/>
      <c r="Q158" s="257"/>
      <c r="S158" s="3487"/>
    </row>
    <row r="159" spans="2:19" ht="27" customHeight="1">
      <c r="B159" s="253"/>
      <c r="C159" s="3543" t="str">
        <f>'CALCULS Eau potable'!P14</f>
        <v/>
      </c>
      <c r="D159" s="511" t="s">
        <v>562</v>
      </c>
      <c r="E159" s="511"/>
      <c r="F159" s="511" t="s">
        <v>116</v>
      </c>
      <c r="G159" s="511" t="s">
        <v>563</v>
      </c>
      <c r="H159" s="511"/>
      <c r="I159" s="3509" t="s">
        <v>564</v>
      </c>
      <c r="J159" s="3509"/>
      <c r="K159" s="78" t="s">
        <v>565</v>
      </c>
      <c r="L159" s="510"/>
      <c r="M159" s="510" t="s">
        <v>566</v>
      </c>
      <c r="N159" s="78"/>
      <c r="O159" s="78"/>
      <c r="P159" s="604"/>
      <c r="Q159" s="257"/>
      <c r="S159" s="3487"/>
    </row>
    <row r="160" spans="2:19" ht="18" customHeight="1">
      <c r="B160" s="253"/>
      <c r="C160" s="3543"/>
      <c r="D160" s="3476" t="s">
        <v>493</v>
      </c>
      <c r="E160" s="3477"/>
      <c r="F160" s="533" t="s">
        <v>58</v>
      </c>
      <c r="G160" s="3183"/>
      <c r="H160" s="3184"/>
      <c r="I160" s="3499"/>
      <c r="J160" s="3500"/>
      <c r="K160" s="3507"/>
      <c r="L160" s="3508"/>
      <c r="M160" s="3183"/>
      <c r="N160" s="3510"/>
      <c r="O160" s="3184"/>
      <c r="P160" s="604"/>
      <c r="Q160" s="257"/>
      <c r="S160" s="3487"/>
    </row>
    <row r="161" spans="1:19" ht="18" customHeight="1">
      <c r="B161" s="253"/>
      <c r="C161" s="3543"/>
      <c r="D161" s="3478"/>
      <c r="E161" s="3479"/>
      <c r="F161" s="534" t="s">
        <v>59</v>
      </c>
      <c r="G161" s="3185"/>
      <c r="H161" s="3186"/>
      <c r="I161" s="3495"/>
      <c r="J161" s="3496"/>
      <c r="K161" s="3503"/>
      <c r="L161" s="3504"/>
      <c r="M161" s="3185"/>
      <c r="N161" s="3471"/>
      <c r="O161" s="3186"/>
      <c r="P161" s="604"/>
      <c r="Q161" s="257"/>
      <c r="S161" s="3487"/>
    </row>
    <row r="162" spans="1:19" ht="18" customHeight="1">
      <c r="B162" s="253"/>
      <c r="C162" s="382"/>
      <c r="D162" s="3480"/>
      <c r="E162" s="3481"/>
      <c r="F162" s="535" t="s">
        <v>60</v>
      </c>
      <c r="G162" s="3468"/>
      <c r="H162" s="3470"/>
      <c r="I162" s="3501"/>
      <c r="J162" s="3502"/>
      <c r="K162" s="3482"/>
      <c r="L162" s="3483"/>
      <c r="M162" s="3468"/>
      <c r="N162" s="3469"/>
      <c r="O162" s="3470"/>
      <c r="P162" s="604"/>
      <c r="Q162" s="257"/>
      <c r="S162" s="3487"/>
    </row>
    <row r="163" spans="1:19" ht="18" customHeight="1">
      <c r="B163" s="253"/>
      <c r="C163" s="382"/>
      <c r="D163" s="3476" t="s">
        <v>106</v>
      </c>
      <c r="E163" s="3477"/>
      <c r="F163" s="533" t="s">
        <v>58</v>
      </c>
      <c r="G163" s="3183"/>
      <c r="H163" s="3184"/>
      <c r="I163" s="3499"/>
      <c r="J163" s="3500"/>
      <c r="K163" s="3505"/>
      <c r="L163" s="3506"/>
      <c r="M163" s="3183"/>
      <c r="N163" s="3510"/>
      <c r="O163" s="3184"/>
      <c r="P163" s="604"/>
      <c r="Q163" s="257"/>
      <c r="S163" s="3487"/>
    </row>
    <row r="164" spans="1:19" ht="18" customHeight="1">
      <c r="B164" s="253"/>
      <c r="C164" s="382"/>
      <c r="D164" s="3478"/>
      <c r="E164" s="3479"/>
      <c r="F164" s="534" t="s">
        <v>59</v>
      </c>
      <c r="G164" s="3185"/>
      <c r="H164" s="3186"/>
      <c r="I164" s="3495"/>
      <c r="J164" s="3496"/>
      <c r="K164" s="3503"/>
      <c r="L164" s="3504"/>
      <c r="M164" s="3185"/>
      <c r="N164" s="3471"/>
      <c r="O164" s="3186"/>
      <c r="P164" s="604"/>
      <c r="Q164" s="257"/>
      <c r="S164" s="3487"/>
    </row>
    <row r="165" spans="1:19" ht="18" customHeight="1">
      <c r="B165" s="253"/>
      <c r="C165" s="382"/>
      <c r="D165" s="3480"/>
      <c r="E165" s="3481"/>
      <c r="F165" s="535" t="s">
        <v>60</v>
      </c>
      <c r="G165" s="3468"/>
      <c r="H165" s="3470"/>
      <c r="I165" s="3501"/>
      <c r="J165" s="3502"/>
      <c r="K165" s="3497"/>
      <c r="L165" s="3498"/>
      <c r="M165" s="3468"/>
      <c r="N165" s="3469"/>
      <c r="O165" s="3470"/>
      <c r="P165" s="604"/>
      <c r="Q165" s="257"/>
      <c r="S165" s="3487"/>
    </row>
    <row r="166" spans="1:19" ht="14.25" customHeight="1">
      <c r="B166" s="253"/>
      <c r="C166" s="506"/>
      <c r="D166" s="507"/>
      <c r="E166" s="508"/>
      <c r="F166" s="509"/>
      <c r="G166" s="510"/>
      <c r="H166" s="510"/>
      <c r="I166" s="510"/>
      <c r="J166" s="510"/>
      <c r="K166" s="510"/>
      <c r="L166" s="510"/>
      <c r="M166" s="510"/>
      <c r="N166" s="510"/>
      <c r="O166" s="510"/>
      <c r="P166" s="273"/>
      <c r="Q166" s="257"/>
      <c r="S166" s="3487"/>
    </row>
    <row r="167" spans="1:19" ht="18.75" customHeight="1">
      <c r="B167" s="253"/>
      <c r="C167" s="366"/>
      <c r="D167" s="256"/>
      <c r="E167" s="256"/>
      <c r="F167" s="256"/>
      <c r="G167" s="256"/>
      <c r="H167" s="256"/>
      <c r="I167" s="256"/>
      <c r="J167" s="256"/>
      <c r="K167" s="256"/>
      <c r="L167" s="256"/>
      <c r="M167" s="256"/>
      <c r="N167" s="256"/>
      <c r="O167" s="256"/>
      <c r="P167" s="256"/>
      <c r="Q167" s="257"/>
      <c r="S167" s="3487"/>
    </row>
    <row r="168" spans="1:19" ht="17.25" customHeight="1">
      <c r="B168" s="253"/>
      <c r="C168" s="668" t="s">
        <v>567</v>
      </c>
      <c r="D168" s="256"/>
      <c r="E168" s="256"/>
      <c r="F168" s="256"/>
      <c r="G168" s="256"/>
      <c r="H168" s="256"/>
      <c r="I168" s="256"/>
      <c r="J168" s="256"/>
      <c r="K168" s="256"/>
      <c r="L168" s="256"/>
      <c r="M168" s="256"/>
      <c r="N168" s="256"/>
      <c r="O168" s="256"/>
      <c r="P168" s="256"/>
      <c r="Q168" s="257"/>
      <c r="S168" s="3487"/>
    </row>
    <row r="169" spans="1:19" ht="18" customHeight="1">
      <c r="B169" s="253"/>
      <c r="C169" s="160"/>
      <c r="D169" s="650"/>
      <c r="E169" s="3270" t="s">
        <v>568</v>
      </c>
      <c r="F169" s="3270"/>
      <c r="G169" s="3270"/>
      <c r="H169" s="3271"/>
      <c r="I169" s="353" t="str">
        <f>IF((OR(ISBLANK(F605),ISBLANK(F606),ISBLANK(F607),ISBLANK(F608),ISBLANK(F609),ISBLANK(F610),ISBLANK(K605),ISBLANK(K606),ISBLANK(K607),ISBLANK(K608),ISBLANK(K609),ISBLANK(K610))=FALSE),"Complété","À compléter")</f>
        <v>À compléter</v>
      </c>
      <c r="J169" s="3265" t="s">
        <v>3454</v>
      </c>
      <c r="K169" s="3265"/>
      <c r="L169" s="3265"/>
      <c r="M169" s="3265"/>
      <c r="N169" s="3265"/>
      <c r="O169" s="3265"/>
      <c r="P169" s="3265"/>
      <c r="Q169" s="257"/>
      <c r="S169" s="3487"/>
    </row>
    <row r="170" spans="1:19" ht="6.75" customHeight="1">
      <c r="B170" s="253"/>
      <c r="C170" s="256"/>
      <c r="D170" s="650"/>
      <c r="E170" s="650"/>
      <c r="F170" s="650"/>
      <c r="G170" s="650"/>
      <c r="H170" s="650"/>
      <c r="I170" s="256"/>
      <c r="J170" s="355"/>
      <c r="K170" s="355"/>
      <c r="L170" s="355"/>
      <c r="M170" s="355"/>
      <c r="N170" s="355"/>
      <c r="O170" s="355"/>
      <c r="P170" s="355"/>
      <c r="Q170" s="257"/>
      <c r="S170" s="3487"/>
    </row>
    <row r="171" spans="1:19" ht="18" customHeight="1">
      <c r="B171" s="253"/>
      <c r="C171" s="256"/>
      <c r="D171" s="3270" t="s">
        <v>569</v>
      </c>
      <c r="E171" s="3270"/>
      <c r="F171" s="3270"/>
      <c r="G171" s="3270"/>
      <c r="H171" s="3271"/>
      <c r="I171" s="353" t="str">
        <f>IF((OR(ISBLANK(F671),ISBLANK(F672),ISBLANK(K671),ISBLANK(K672))=FALSE),"Complété","À compléter")</f>
        <v>À compléter</v>
      </c>
      <c r="J171" s="3265" t="s">
        <v>3455</v>
      </c>
      <c r="K171" s="3265"/>
      <c r="L171" s="3265"/>
      <c r="M171" s="3265"/>
      <c r="N171" s="3265"/>
      <c r="O171" s="3265"/>
      <c r="P171" s="3265"/>
      <c r="Q171" s="257"/>
      <c r="S171" s="3487"/>
    </row>
    <row r="172" spans="1:19" ht="23.25" customHeight="1">
      <c r="B172" s="253"/>
      <c r="C172" s="256"/>
      <c r="D172" s="459"/>
      <c r="E172" s="459"/>
      <c r="F172" s="459"/>
      <c r="G172" s="459"/>
      <c r="H172" s="459"/>
      <c r="I172" s="461"/>
      <c r="J172" s="649"/>
      <c r="K172" s="649"/>
      <c r="L172" s="649"/>
      <c r="M172" s="649"/>
      <c r="N172" s="649"/>
      <c r="O172" s="649"/>
      <c r="P172" s="649"/>
      <c r="Q172" s="257"/>
      <c r="S172" s="3487"/>
    </row>
    <row r="173" spans="1:19" ht="18" customHeight="1">
      <c r="B173" s="253"/>
      <c r="C173" s="667" t="s">
        <v>570</v>
      </c>
      <c r="D173" s="459"/>
      <c r="E173" s="459"/>
      <c r="F173" s="459"/>
      <c r="G173" s="160"/>
      <c r="H173" s="3245" t="s">
        <v>571</v>
      </c>
      <c r="I173" s="3245"/>
      <c r="J173" s="160"/>
      <c r="K173" s="160"/>
      <c r="L173" s="649"/>
      <c r="M173" s="649"/>
      <c r="N173" s="649"/>
      <c r="O173" s="649"/>
      <c r="P173" s="649"/>
      <c r="Q173" s="257"/>
      <c r="S173" s="3487"/>
    </row>
    <row r="174" spans="1:19" ht="14.25" customHeight="1" thickBot="1">
      <c r="B174" s="298"/>
      <c r="C174" s="299"/>
      <c r="D174" s="299"/>
      <c r="E174" s="299"/>
      <c r="F174" s="299"/>
      <c r="G174" s="299"/>
      <c r="H174" s="299"/>
      <c r="I174" s="299"/>
      <c r="J174" s="299"/>
      <c r="K174" s="299"/>
      <c r="L174" s="299"/>
      <c r="M174" s="299"/>
      <c r="N174" s="299"/>
      <c r="O174" s="299"/>
      <c r="P174" s="299"/>
      <c r="Q174" s="300"/>
      <c r="S174" s="3488"/>
    </row>
    <row r="175" spans="1:19" ht="15" thickBot="1">
      <c r="B175" s="683"/>
      <c r="S175" s="617"/>
    </row>
    <row r="176" spans="1:19" ht="22.5" customHeight="1" thickBot="1">
      <c r="A176" s="1187"/>
      <c r="B176" s="237" t="s">
        <v>572</v>
      </c>
      <c r="C176" s="237"/>
      <c r="D176" s="237"/>
      <c r="E176" s="237"/>
      <c r="F176" s="237"/>
      <c r="G176" s="237"/>
      <c r="H176" s="237"/>
      <c r="I176" s="237"/>
      <c r="J176" s="237"/>
      <c r="K176" s="237"/>
      <c r="L176" s="238"/>
      <c r="M176" s="238"/>
      <c r="N176" s="238"/>
      <c r="O176" s="3173" t="s">
        <v>155</v>
      </c>
      <c r="P176" s="3173"/>
      <c r="Q176" s="3173"/>
      <c r="S176" s="615" t="s">
        <v>521</v>
      </c>
    </row>
    <row r="177" spans="2:19" ht="9.75" customHeight="1" thickBot="1">
      <c r="S177" s="616"/>
    </row>
    <row r="178" spans="2:19" ht="13.5" customHeight="1">
      <c r="B178" s="241"/>
      <c r="C178" s="242"/>
      <c r="D178" s="242"/>
      <c r="E178" s="243"/>
      <c r="F178" s="244"/>
      <c r="G178" s="244"/>
      <c r="H178" s="244"/>
      <c r="I178" s="244"/>
      <c r="J178" s="244"/>
      <c r="K178" s="244"/>
      <c r="L178" s="244"/>
      <c r="M178" s="244"/>
      <c r="N178" s="244"/>
      <c r="O178" s="244"/>
      <c r="P178" s="244"/>
      <c r="Q178" s="245"/>
      <c r="S178" s="3486"/>
    </row>
    <row r="179" spans="2:19" ht="18" customHeight="1">
      <c r="B179" s="246"/>
      <c r="C179" s="247" t="s">
        <v>573</v>
      </c>
      <c r="D179" s="247"/>
      <c r="E179" s="248"/>
      <c r="F179" s="301"/>
      <c r="G179" s="160"/>
      <c r="H179" s="160"/>
      <c r="I179" s="160"/>
      <c r="J179" s="160"/>
      <c r="K179" s="160"/>
      <c r="L179" s="160"/>
      <c r="M179" s="160"/>
      <c r="N179" s="249" t="s">
        <v>219</v>
      </c>
      <c r="O179" s="353" t="str">
        <f>IF(OR(ISBLANK(H186))=FALSE,"Complété","À compléter")</f>
        <v>À compléter</v>
      </c>
      <c r="P179" s="160"/>
      <c r="Q179" s="250"/>
      <c r="S179" s="3487"/>
    </row>
    <row r="180" spans="2:19" ht="6" customHeight="1">
      <c r="B180" s="251"/>
      <c r="C180" s="252"/>
      <c r="D180" s="252"/>
      <c r="E180" s="252"/>
      <c r="F180" s="160"/>
      <c r="G180" s="160"/>
      <c r="H180" s="160"/>
      <c r="I180" s="160"/>
      <c r="J180" s="160"/>
      <c r="K180" s="160"/>
      <c r="L180" s="160"/>
      <c r="M180" s="160"/>
      <c r="N180" s="160"/>
      <c r="O180" s="160"/>
      <c r="P180" s="160"/>
      <c r="Q180" s="250"/>
      <c r="S180" s="3487"/>
    </row>
    <row r="181" spans="2:19" ht="17.25" customHeight="1">
      <c r="B181" s="251"/>
      <c r="C181" s="3182" t="s">
        <v>574</v>
      </c>
      <c r="D181" s="3182"/>
      <c r="E181" s="3182"/>
      <c r="F181" s="3182"/>
      <c r="G181" s="3182"/>
      <c r="H181" s="3182"/>
      <c r="I181" s="3182"/>
      <c r="J181" s="3182"/>
      <c r="K181" s="3182"/>
      <c r="L181" s="3182"/>
      <c r="M181" s="3182"/>
      <c r="N181" s="160"/>
      <c r="O181" s="160"/>
      <c r="P181" s="160"/>
      <c r="Q181" s="250"/>
      <c r="S181" s="3487"/>
    </row>
    <row r="182" spans="2:19" ht="15" customHeight="1">
      <c r="B182" s="251"/>
      <c r="C182" s="252"/>
      <c r="D182" s="252"/>
      <c r="E182" s="252"/>
      <c r="F182" s="160"/>
      <c r="G182" s="160"/>
      <c r="H182" s="160"/>
      <c r="I182" s="160"/>
      <c r="J182" s="160"/>
      <c r="K182" s="160"/>
      <c r="L182" s="160"/>
      <c r="M182" s="160"/>
      <c r="N182" s="160"/>
      <c r="O182" s="160"/>
      <c r="P182" s="160"/>
      <c r="Q182" s="250"/>
      <c r="S182" s="3487"/>
    </row>
    <row r="183" spans="2:19" ht="18.75" customHeight="1">
      <c r="B183" s="253"/>
      <c r="C183" s="641" t="s">
        <v>3457</v>
      </c>
      <c r="D183" s="255"/>
      <c r="E183" s="256"/>
      <c r="F183" s="256"/>
      <c r="G183" s="256"/>
      <c r="H183" s="256"/>
      <c r="I183" s="256"/>
      <c r="J183" s="256"/>
      <c r="K183" s="256"/>
      <c r="L183" s="256"/>
      <c r="M183" s="256"/>
      <c r="N183" s="256"/>
      <c r="O183" s="256"/>
      <c r="P183" s="256"/>
      <c r="Q183" s="257"/>
      <c r="S183" s="3487"/>
    </row>
    <row r="184" spans="2:19" ht="6" customHeight="1">
      <c r="B184" s="253"/>
      <c r="C184" s="373"/>
      <c r="D184" s="255"/>
      <c r="E184" s="256"/>
      <c r="F184" s="256"/>
      <c r="G184" s="256"/>
      <c r="H184" s="256"/>
      <c r="I184" s="256"/>
      <c r="J184" s="256"/>
      <c r="K184" s="256"/>
      <c r="L184" s="256"/>
      <c r="M184" s="256"/>
      <c r="N184" s="256"/>
      <c r="O184" s="256"/>
      <c r="P184" s="256"/>
      <c r="Q184" s="257"/>
      <c r="S184" s="3487"/>
    </row>
    <row r="185" spans="2:19" ht="14.25" customHeight="1">
      <c r="B185" s="253"/>
      <c r="C185" s="635"/>
      <c r="D185" s="259"/>
      <c r="E185" s="260"/>
      <c r="F185" s="260"/>
      <c r="G185" s="260"/>
      <c r="H185" s="260"/>
      <c r="I185" s="260"/>
      <c r="J185" s="260"/>
      <c r="K185" s="260"/>
      <c r="L185" s="260"/>
      <c r="M185" s="260"/>
      <c r="N185" s="260"/>
      <c r="O185" s="260"/>
      <c r="P185" s="261"/>
      <c r="Q185" s="257"/>
      <c r="S185" s="3487"/>
    </row>
    <row r="186" spans="2:19" ht="15.75" customHeight="1">
      <c r="B186" s="486" t="str">
        <f>IF(ISBLANK(H186)=FALSE,"","u")</f>
        <v>u</v>
      </c>
      <c r="C186" s="3351" t="s">
        <v>3456</v>
      </c>
      <c r="D186" s="3352"/>
      <c r="E186" s="3352"/>
      <c r="F186" s="3352"/>
      <c r="G186" s="3352"/>
      <c r="H186" s="3306"/>
      <c r="I186" s="3307"/>
      <c r="J186" s="3307"/>
      <c r="K186" s="3308"/>
      <c r="L186" s="1122" t="str">
        <f>IF(OR(ISBLANK(H186),H186='MENU DÉROULANT'!C73),"","Vous pouvez donc passer à la section suivante du PGA.")</f>
        <v/>
      </c>
      <c r="M186" s="1032"/>
      <c r="N186" s="1032"/>
      <c r="O186" s="1032"/>
      <c r="P186" s="266"/>
      <c r="Q186" s="257"/>
      <c r="S186" s="3487"/>
    </row>
    <row r="187" spans="2:19" ht="15.75" customHeight="1">
      <c r="B187" s="486" t="s">
        <v>552</v>
      </c>
      <c r="C187" s="3351"/>
      <c r="D187" s="3352"/>
      <c r="E187" s="3352"/>
      <c r="F187" s="3352"/>
      <c r="G187" s="3352"/>
      <c r="H187" s="3309"/>
      <c r="I187" s="3310"/>
      <c r="J187" s="3310"/>
      <c r="K187" s="3311"/>
      <c r="L187" s="3222" t="str">
        <f>IF(OR(ISBLANK(H186),H186='MENU DÉROULANT'!C73),"","Notez toutefois que dans ce cas, aucun visuel n'apparaitra dans le sommaire concernant les niveaux de service.")</f>
        <v/>
      </c>
      <c r="M187" s="3222"/>
      <c r="N187" s="3222"/>
      <c r="O187" s="3222"/>
      <c r="P187" s="673"/>
      <c r="Q187" s="369"/>
      <c r="S187" s="3487"/>
    </row>
    <row r="188" spans="2:19" ht="16.5" customHeight="1">
      <c r="B188" s="253"/>
      <c r="C188" s="636"/>
      <c r="D188" s="634"/>
      <c r="E188" s="85"/>
      <c r="F188" s="85"/>
      <c r="G188" s="85"/>
      <c r="H188" s="85"/>
      <c r="I188" s="85"/>
      <c r="J188" s="85"/>
      <c r="K188" s="85"/>
      <c r="L188" s="3223"/>
      <c r="M188" s="3223"/>
      <c r="N188" s="3223"/>
      <c r="O188" s="3223"/>
      <c r="P188" s="605"/>
      <c r="Q188" s="369"/>
      <c r="S188" s="3487"/>
    </row>
    <row r="189" spans="2:19" ht="31.5" customHeight="1">
      <c r="B189" s="486"/>
      <c r="C189" s="379"/>
      <c r="D189" s="291"/>
      <c r="E189" s="645"/>
      <c r="F189" s="3179" t="s">
        <v>539</v>
      </c>
      <c r="G189" s="3179"/>
      <c r="H189" s="3461"/>
      <c r="I189" s="3462"/>
      <c r="J189" s="3462"/>
      <c r="K189" s="3462"/>
      <c r="L189" s="3462"/>
      <c r="M189" s="3462"/>
      <c r="N189" s="3462"/>
      <c r="O189" s="3463"/>
      <c r="P189" s="604"/>
      <c r="Q189" s="257"/>
      <c r="S189" s="3487"/>
    </row>
    <row r="190" spans="2:19" ht="15" customHeight="1">
      <c r="B190" s="253"/>
      <c r="C190" s="637"/>
      <c r="D190" s="638"/>
      <c r="E190" s="306"/>
      <c r="F190" s="306"/>
      <c r="G190" s="306"/>
      <c r="H190" s="306"/>
      <c r="I190" s="306"/>
      <c r="J190" s="306"/>
      <c r="K190" s="306"/>
      <c r="L190" s="306"/>
      <c r="M190" s="639"/>
      <c r="N190" s="639"/>
      <c r="O190" s="639"/>
      <c r="P190" s="640"/>
      <c r="Q190" s="369"/>
      <c r="S190" s="3487"/>
    </row>
    <row r="191" spans="2:19" ht="18.75" customHeight="1">
      <c r="B191" s="253"/>
      <c r="C191" s="255"/>
      <c r="D191" s="255"/>
      <c r="E191" s="256"/>
      <c r="F191" s="256"/>
      <c r="G191" s="256"/>
      <c r="H191" s="256"/>
      <c r="I191" s="256"/>
      <c r="J191" s="256"/>
      <c r="K191" s="256"/>
      <c r="L191" s="256"/>
      <c r="M191" s="256"/>
      <c r="N191" s="256"/>
      <c r="O191" s="256"/>
      <c r="P191" s="256"/>
      <c r="Q191" s="257"/>
      <c r="S191" s="3487"/>
    </row>
    <row r="192" spans="2:19" ht="22.5" customHeight="1">
      <c r="B192" s="253"/>
      <c r="C192" s="3353" t="s">
        <v>575</v>
      </c>
      <c r="D192" s="3354"/>
      <c r="E192" s="3354"/>
      <c r="F192" s="3354"/>
      <c r="G192" s="310"/>
      <c r="H192" s="310"/>
      <c r="I192" s="310"/>
      <c r="J192" s="310"/>
      <c r="K192" s="310"/>
      <c r="L192" s="310"/>
      <c r="M192" s="310"/>
      <c r="N192" s="310"/>
      <c r="O192" s="975"/>
      <c r="P192" s="311"/>
      <c r="Q192" s="257"/>
      <c r="S192" s="3487"/>
    </row>
    <row r="193" spans="2:19" ht="3" customHeight="1">
      <c r="B193" s="253"/>
      <c r="C193" s="256"/>
      <c r="D193" s="256"/>
      <c r="E193" s="256"/>
      <c r="F193" s="256"/>
      <c r="G193" s="256"/>
      <c r="H193" s="256"/>
      <c r="I193" s="256"/>
      <c r="J193" s="256"/>
      <c r="K193" s="256"/>
      <c r="L193" s="256"/>
      <c r="M193" s="256"/>
      <c r="N193" s="256"/>
      <c r="O193" s="256"/>
      <c r="P193" s="256"/>
      <c r="Q193" s="257"/>
      <c r="S193" s="3487"/>
    </row>
    <row r="194" spans="2:19" ht="11.25" customHeight="1">
      <c r="B194" s="253"/>
      <c r="C194" s="258"/>
      <c r="D194" s="259"/>
      <c r="E194" s="260"/>
      <c r="F194" s="260"/>
      <c r="G194" s="260"/>
      <c r="H194" s="260"/>
      <c r="I194" s="260"/>
      <c r="J194" s="260"/>
      <c r="K194" s="260"/>
      <c r="L194" s="260"/>
      <c r="M194" s="260"/>
      <c r="N194" s="260"/>
      <c r="O194" s="260"/>
      <c r="P194" s="261"/>
      <c r="Q194" s="257"/>
      <c r="S194" s="3487"/>
    </row>
    <row r="195" spans="2:19" ht="33.75" customHeight="1">
      <c r="B195" s="253"/>
      <c r="C195" s="3464" t="s">
        <v>3458</v>
      </c>
      <c r="D195" s="3465"/>
      <c r="E195" s="3465"/>
      <c r="F195" s="3465"/>
      <c r="G195" s="3465"/>
      <c r="H195" s="3465"/>
      <c r="I195" s="3465"/>
      <c r="J195" s="3465"/>
      <c r="K195" s="3465"/>
      <c r="L195" s="3465"/>
      <c r="M195" s="3465"/>
      <c r="N195" s="3465"/>
      <c r="O195" s="3465"/>
      <c r="P195" s="3466"/>
      <c r="Q195" s="257"/>
      <c r="S195" s="3487"/>
    </row>
    <row r="196" spans="2:19" ht="24.75" customHeight="1">
      <c r="B196" s="253"/>
      <c r="C196" s="3512" t="s">
        <v>576</v>
      </c>
      <c r="D196" s="3513"/>
      <c r="E196" s="3513"/>
      <c r="F196" s="3513"/>
      <c r="G196" s="3513"/>
      <c r="H196" s="3513"/>
      <c r="I196" s="3513"/>
      <c r="J196" s="3513"/>
      <c r="K196" s="3513"/>
      <c r="L196" s="3513"/>
      <c r="M196" s="3513"/>
      <c r="N196" s="3513"/>
      <c r="O196" s="3513"/>
      <c r="P196" s="3514"/>
      <c r="Q196" s="257"/>
      <c r="S196" s="3487"/>
    </row>
    <row r="197" spans="2:19" ht="10.5" customHeight="1">
      <c r="B197" s="253"/>
      <c r="C197" s="356"/>
      <c r="D197" s="315"/>
      <c r="E197" s="85"/>
      <c r="F197" s="85"/>
      <c r="G197" s="85"/>
      <c r="H197" s="85"/>
      <c r="I197" s="55"/>
      <c r="J197" s="85"/>
      <c r="K197" s="85"/>
      <c r="L197" s="85"/>
      <c r="M197" s="85"/>
      <c r="N197" s="85"/>
      <c r="O197" s="85"/>
      <c r="P197" s="266"/>
      <c r="Q197" s="257"/>
      <c r="S197" s="3487"/>
    </row>
    <row r="198" spans="2:19" s="72" customFormat="1" ht="26.25" customHeight="1" thickBot="1">
      <c r="B198" s="253"/>
      <c r="C198" s="362"/>
      <c r="D198" s="3342" t="s">
        <v>577</v>
      </c>
      <c r="E198" s="3342"/>
      <c r="F198" s="3342" t="s">
        <v>578</v>
      </c>
      <c r="G198" s="3342"/>
      <c r="H198" s="3342" t="s">
        <v>579</v>
      </c>
      <c r="I198" s="3342"/>
      <c r="J198" s="3342" t="s">
        <v>494</v>
      </c>
      <c r="K198" s="3342"/>
      <c r="L198" s="499" t="s">
        <v>580</v>
      </c>
      <c r="M198" s="536"/>
      <c r="N198" s="364"/>
      <c r="O198" s="351"/>
      <c r="P198" s="266"/>
      <c r="Q198" s="257"/>
      <c r="S198" s="3487"/>
    </row>
    <row r="199" spans="2:19" ht="26.25" customHeight="1" thickTop="1">
      <c r="B199" s="486" t="str">
        <f>IF(OR(ISBLANK(D199),ISBLANK(F199),ISBLANK(H199),ISBLANK(J199))=FALSE,"","w")</f>
        <v>w</v>
      </c>
      <c r="C199" s="500">
        <v>1</v>
      </c>
      <c r="D199" s="3332"/>
      <c r="E199" s="3333"/>
      <c r="F199" s="3332"/>
      <c r="G199" s="3333"/>
      <c r="H199" s="3332"/>
      <c r="I199" s="3333"/>
      <c r="J199" s="3332"/>
      <c r="K199" s="3333"/>
      <c r="L199" s="3524"/>
      <c r="M199" s="3525"/>
      <c r="N199" s="3525"/>
      <c r="O199" s="3526"/>
      <c r="P199" s="266"/>
      <c r="Q199" s="257"/>
      <c r="S199" s="3487"/>
    </row>
    <row r="200" spans="2:19" ht="26.25" customHeight="1">
      <c r="B200" s="486" t="str">
        <f>IF(OR(ISBLANK(D200),ISBLANK(F200),ISBLANK(H200),ISBLANK(J200))=FALSE,"","w")</f>
        <v>w</v>
      </c>
      <c r="C200" s="500">
        <v>2</v>
      </c>
      <c r="D200" s="3332"/>
      <c r="E200" s="3333"/>
      <c r="F200" s="3332"/>
      <c r="G200" s="3333"/>
      <c r="H200" s="3332"/>
      <c r="I200" s="3333"/>
      <c r="J200" s="3332"/>
      <c r="K200" s="3333"/>
      <c r="L200" s="3334"/>
      <c r="M200" s="3335"/>
      <c r="N200" s="3335"/>
      <c r="O200" s="3336"/>
      <c r="P200" s="266"/>
      <c r="Q200" s="257"/>
      <c r="S200" s="3487"/>
    </row>
    <row r="201" spans="2:19" ht="26.25" customHeight="1">
      <c r="B201" s="486" t="str">
        <f>IF(OR(ISBLANK(D201),ISBLANK(F201),ISBLANK(H201),ISBLANK(J201))=FALSE,"","w")</f>
        <v>w</v>
      </c>
      <c r="C201" s="500">
        <v>3</v>
      </c>
      <c r="D201" s="3332"/>
      <c r="E201" s="3333"/>
      <c r="F201" s="3332"/>
      <c r="G201" s="3333"/>
      <c r="H201" s="3332"/>
      <c r="I201" s="3333"/>
      <c r="J201" s="3332"/>
      <c r="K201" s="3333"/>
      <c r="L201" s="3334"/>
      <c r="M201" s="3335"/>
      <c r="N201" s="3335"/>
      <c r="O201" s="3336"/>
      <c r="P201" s="266"/>
      <c r="Q201" s="257"/>
      <c r="S201" s="3487"/>
    </row>
    <row r="202" spans="2:19" ht="26.25" customHeight="1">
      <c r="B202" s="253"/>
      <c r="C202" s="500">
        <v>4</v>
      </c>
      <c r="D202" s="3330"/>
      <c r="E202" s="3331"/>
      <c r="F202" s="3330"/>
      <c r="G202" s="3331"/>
      <c r="H202" s="3330"/>
      <c r="I202" s="3331"/>
      <c r="J202" s="3330"/>
      <c r="K202" s="3331"/>
      <c r="L202" s="3334"/>
      <c r="M202" s="3335"/>
      <c r="N202" s="3335"/>
      <c r="O202" s="3336"/>
      <c r="P202" s="266"/>
      <c r="Q202" s="257"/>
      <c r="S202" s="3487"/>
    </row>
    <row r="203" spans="2:19" ht="26.25" customHeight="1">
      <c r="B203" s="253"/>
      <c r="C203" s="500">
        <v>5</v>
      </c>
      <c r="D203" s="3343"/>
      <c r="E203" s="3345"/>
      <c r="F203" s="3343"/>
      <c r="G203" s="3345"/>
      <c r="H203" s="3343"/>
      <c r="I203" s="3345"/>
      <c r="J203" s="3343"/>
      <c r="K203" s="3345"/>
      <c r="L203" s="3343"/>
      <c r="M203" s="3344"/>
      <c r="N203" s="3344"/>
      <c r="O203" s="3345"/>
      <c r="P203" s="604"/>
      <c r="Q203" s="257"/>
      <c r="S203" s="3487"/>
    </row>
    <row r="204" spans="2:19" ht="17.25" customHeight="1">
      <c r="B204" s="253"/>
      <c r="C204" s="358"/>
      <c r="D204" s="359"/>
      <c r="E204" s="645"/>
      <c r="F204" s="361"/>
      <c r="G204" s="360"/>
      <c r="H204" s="602"/>
      <c r="I204" s="55"/>
      <c r="J204" s="645"/>
      <c r="K204" s="602"/>
      <c r="L204" s="645"/>
      <c r="M204" s="602"/>
      <c r="N204" s="645"/>
      <c r="O204" s="602"/>
      <c r="P204" s="604"/>
      <c r="Q204" s="257"/>
      <c r="S204" s="3487"/>
    </row>
    <row r="205" spans="2:19" ht="50.25" customHeight="1">
      <c r="B205" s="253"/>
      <c r="C205" s="3337" t="s">
        <v>581</v>
      </c>
      <c r="D205" s="3338"/>
      <c r="E205" s="3339"/>
      <c r="F205" s="3533"/>
      <c r="G205" s="3534"/>
      <c r="H205" s="3534"/>
      <c r="I205" s="3534"/>
      <c r="J205" s="3534"/>
      <c r="K205" s="3534"/>
      <c r="L205" s="3534"/>
      <c r="M205" s="3534"/>
      <c r="N205" s="3534"/>
      <c r="O205" s="3535"/>
      <c r="P205" s="604"/>
      <c r="Q205" s="257"/>
      <c r="S205" s="3487"/>
    </row>
    <row r="206" spans="2:19" ht="15.75" customHeight="1">
      <c r="B206" s="253"/>
      <c r="C206" s="664"/>
      <c r="D206" s="315"/>
      <c r="E206" s="645"/>
      <c r="F206" s="602"/>
      <c r="G206" s="645"/>
      <c r="H206" s="602"/>
      <c r="I206" s="55"/>
      <c r="J206" s="645"/>
      <c r="K206" s="602"/>
      <c r="L206" s="645"/>
      <c r="M206" s="602"/>
      <c r="N206" s="645"/>
      <c r="O206" s="602"/>
      <c r="P206" s="604"/>
      <c r="Q206" s="257"/>
      <c r="S206" s="3487"/>
    </row>
    <row r="207" spans="2:19" ht="18" customHeight="1">
      <c r="B207" s="253"/>
      <c r="C207" s="757" t="s">
        <v>582</v>
      </c>
      <c r="D207" s="758"/>
      <c r="E207" s="759"/>
      <c r="F207" s="760"/>
      <c r="G207" s="760"/>
      <c r="H207" s="761"/>
      <c r="I207" s="762"/>
      <c r="J207" s="759"/>
      <c r="K207" s="759"/>
      <c r="L207" s="759"/>
      <c r="M207" s="760"/>
      <c r="N207" s="760"/>
      <c r="O207" s="763"/>
      <c r="P207" s="604"/>
      <c r="Q207" s="257"/>
      <c r="S207" s="3487"/>
    </row>
    <row r="208" spans="2:19" ht="18" customHeight="1">
      <c r="B208" s="253"/>
      <c r="C208" s="765" t="s">
        <v>583</v>
      </c>
      <c r="D208" s="758"/>
      <c r="E208" s="759"/>
      <c r="F208" s="760"/>
      <c r="G208" s="760"/>
      <c r="H208" s="761"/>
      <c r="I208" s="762"/>
      <c r="J208" s="614"/>
      <c r="K208" s="766"/>
      <c r="L208" s="759"/>
      <c r="M208" s="760"/>
      <c r="N208" s="760"/>
      <c r="O208" s="763"/>
      <c r="P208" s="604"/>
      <c r="Q208" s="257"/>
      <c r="S208" s="3487"/>
    </row>
    <row r="209" spans="2:19" ht="16.5" customHeight="1">
      <c r="B209" s="253"/>
      <c r="C209" s="767"/>
      <c r="D209" s="758"/>
      <c r="E209" s="759"/>
      <c r="F209" s="760"/>
      <c r="G209" s="760"/>
      <c r="H209" s="761"/>
      <c r="I209" s="762"/>
      <c r="J209" s="768" t="s">
        <v>584</v>
      </c>
      <c r="K209" s="614"/>
      <c r="L209" s="759"/>
      <c r="M209" s="760"/>
      <c r="N209" s="760"/>
      <c r="O209" s="763"/>
      <c r="P209" s="604"/>
      <c r="Q209" s="257"/>
      <c r="S209" s="3487"/>
    </row>
    <row r="210" spans="2:19" ht="18" customHeight="1">
      <c r="B210" s="253"/>
      <c r="C210" s="601"/>
      <c r="D210" s="277"/>
      <c r="E210" s="306"/>
      <c r="F210" s="306"/>
      <c r="G210" s="306"/>
      <c r="H210" s="306"/>
      <c r="I210" s="271"/>
      <c r="J210" s="306"/>
      <c r="K210" s="306"/>
      <c r="L210" s="306"/>
      <c r="M210" s="306"/>
      <c r="N210" s="306"/>
      <c r="O210" s="306"/>
      <c r="P210" s="307"/>
      <c r="Q210" s="257"/>
      <c r="S210" s="3487"/>
    </row>
    <row r="211" spans="2:19" ht="20.25" customHeight="1">
      <c r="B211" s="253"/>
      <c r="C211" s="255"/>
      <c r="D211" s="255"/>
      <c r="E211" s="256"/>
      <c r="F211" s="256"/>
      <c r="G211" s="256"/>
      <c r="H211" s="256"/>
      <c r="I211" s="256"/>
      <c r="J211" s="256"/>
      <c r="K211" s="256"/>
      <c r="L211" s="256"/>
      <c r="M211" s="256"/>
      <c r="N211" s="256"/>
      <c r="O211" s="256"/>
      <c r="P211" s="256"/>
      <c r="Q211" s="257"/>
      <c r="S211" s="3487"/>
    </row>
    <row r="212" spans="2:19" ht="22.5" customHeight="1">
      <c r="B212" s="253"/>
      <c r="C212" s="3353" t="s">
        <v>585</v>
      </c>
      <c r="D212" s="3354"/>
      <c r="E212" s="3354"/>
      <c r="F212" s="3354"/>
      <c r="G212" s="310"/>
      <c r="H212" s="310"/>
      <c r="I212" s="310"/>
      <c r="J212" s="310"/>
      <c r="K212" s="310"/>
      <c r="L212" s="310"/>
      <c r="M212" s="310"/>
      <c r="N212" s="310"/>
      <c r="O212" s="975"/>
      <c r="P212" s="311"/>
      <c r="Q212" s="257"/>
      <c r="S212" s="3487"/>
    </row>
    <row r="213" spans="2:19" ht="3" customHeight="1">
      <c r="B213" s="253"/>
      <c r="C213" s="256"/>
      <c r="D213" s="256"/>
      <c r="E213" s="256"/>
      <c r="F213" s="256"/>
      <c r="G213" s="256"/>
      <c r="H213" s="256"/>
      <c r="I213" s="256"/>
      <c r="J213" s="256"/>
      <c r="K213" s="256"/>
      <c r="L213" s="256"/>
      <c r="M213" s="256"/>
      <c r="N213" s="256"/>
      <c r="O213" s="256"/>
      <c r="P213" s="256"/>
      <c r="Q213" s="257"/>
      <c r="S213" s="3487"/>
    </row>
    <row r="214" spans="2:19" ht="16.5" customHeight="1">
      <c r="B214" s="253"/>
      <c r="C214" s="258"/>
      <c r="D214" s="259"/>
      <c r="E214" s="260"/>
      <c r="F214" s="260"/>
      <c r="G214" s="260"/>
      <c r="H214" s="260"/>
      <c r="I214" s="260"/>
      <c r="J214" s="260"/>
      <c r="K214" s="260"/>
      <c r="L214" s="260"/>
      <c r="M214" s="260"/>
      <c r="N214" s="260"/>
      <c r="O214" s="260"/>
      <c r="P214" s="261"/>
      <c r="Q214" s="257"/>
      <c r="S214" s="3487"/>
    </row>
    <row r="215" spans="2:19" ht="24.75" customHeight="1">
      <c r="B215" s="253"/>
      <c r="C215" s="3512" t="s">
        <v>586</v>
      </c>
      <c r="D215" s="3522"/>
      <c r="E215" s="3522"/>
      <c r="F215" s="3522"/>
      <c r="G215" s="3522"/>
      <c r="H215" s="3522"/>
      <c r="I215" s="3522"/>
      <c r="J215" s="3522"/>
      <c r="K215" s="3522"/>
      <c r="L215" s="3522"/>
      <c r="M215" s="3522"/>
      <c r="N215" s="3522"/>
      <c r="O215" s="3522"/>
      <c r="P215" s="3523"/>
      <c r="Q215" s="257"/>
      <c r="S215" s="3487"/>
    </row>
    <row r="216" spans="2:19" ht="41.25" customHeight="1">
      <c r="B216" s="253"/>
      <c r="C216" s="3346" t="s">
        <v>3459</v>
      </c>
      <c r="D216" s="3347"/>
      <c r="E216" s="3347"/>
      <c r="F216" s="3347"/>
      <c r="G216" s="3347"/>
      <c r="H216" s="3347"/>
      <c r="I216" s="3347"/>
      <c r="J216" s="3347"/>
      <c r="K216" s="3347"/>
      <c r="L216" s="3347"/>
      <c r="M216" s="3347"/>
      <c r="N216" s="3347"/>
      <c r="O216" s="3347"/>
      <c r="P216" s="3348"/>
      <c r="Q216" s="257"/>
      <c r="S216" s="3487"/>
    </row>
    <row r="217" spans="2:19" ht="23.25" customHeight="1">
      <c r="B217" s="253"/>
      <c r="C217" s="610" t="s">
        <v>587</v>
      </c>
      <c r="D217" s="497"/>
      <c r="E217" s="497"/>
      <c r="F217" s="497"/>
      <c r="G217" s="497"/>
      <c r="H217" s="497"/>
      <c r="I217" s="497"/>
      <c r="J217" s="497"/>
      <c r="K217" s="497"/>
      <c r="L217" s="497"/>
      <c r="M217" s="497"/>
      <c r="N217" s="497"/>
      <c r="O217" s="497"/>
      <c r="P217" s="498"/>
      <c r="Q217" s="257"/>
      <c r="S217" s="3487"/>
    </row>
    <row r="218" spans="2:19" ht="10.5" customHeight="1">
      <c r="B218" s="253"/>
      <c r="C218" s="664"/>
      <c r="D218" s="315"/>
      <c r="E218" s="645"/>
      <c r="F218" s="602"/>
      <c r="G218" s="645"/>
      <c r="H218" s="602"/>
      <c r="I218" s="55"/>
      <c r="J218" s="645"/>
      <c r="K218" s="602"/>
      <c r="L218" s="645"/>
      <c r="M218" s="602"/>
      <c r="N218" s="645"/>
      <c r="O218" s="602"/>
      <c r="P218" s="604"/>
      <c r="Q218" s="257"/>
      <c r="S218" s="3487"/>
    </row>
    <row r="219" spans="2:19" s="72" customFormat="1" ht="36" customHeight="1" thickBot="1">
      <c r="B219" s="253"/>
      <c r="C219" s="362"/>
      <c r="D219" s="3342" t="s">
        <v>588</v>
      </c>
      <c r="E219" s="3342"/>
      <c r="F219" s="494" t="s">
        <v>589</v>
      </c>
      <c r="G219" s="494" t="s">
        <v>590</v>
      </c>
      <c r="H219" s="656" t="s">
        <v>591</v>
      </c>
      <c r="I219" s="3515" t="s">
        <v>592</v>
      </c>
      <c r="J219" s="3516"/>
      <c r="K219" s="656" t="s">
        <v>593</v>
      </c>
      <c r="L219" s="651" t="s">
        <v>594</v>
      </c>
      <c r="M219" s="3515" t="s">
        <v>595</v>
      </c>
      <c r="N219" s="3516"/>
      <c r="O219" s="3517"/>
      <c r="P219" s="266"/>
      <c r="Q219" s="257"/>
      <c r="S219" s="3487"/>
    </row>
    <row r="220" spans="2:19" ht="35.25" customHeight="1" thickTop="1">
      <c r="B220" s="486" t="str">
        <f>IF(OR(ISBLANK(D220),ISBLANK(F220),ISBLANK(G220),ISBLANK(H220),ISBLANK(I220))=FALSE,"","w")</f>
        <v>w</v>
      </c>
      <c r="C220" s="500">
        <v>1</v>
      </c>
      <c r="D220" s="3193"/>
      <c r="E220" s="3194"/>
      <c r="F220" s="622"/>
      <c r="G220" s="658"/>
      <c r="H220" s="657"/>
      <c r="I220" s="3518"/>
      <c r="J220" s="3519"/>
      <c r="K220" s="661"/>
      <c r="L220" s="661"/>
      <c r="M220" s="3536"/>
      <c r="N220" s="3537"/>
      <c r="O220" s="3538"/>
      <c r="P220" s="266"/>
      <c r="Q220" s="257"/>
      <c r="S220" s="3487"/>
    </row>
    <row r="221" spans="2:19" ht="35.25" customHeight="1">
      <c r="B221" s="486" t="str">
        <f>IF(OR(ISBLANK(D221),ISBLANK(F221),ISBLANK(G221),ISBLANK(H221),ISBLANK(I221))=FALSE,"","w")</f>
        <v>w</v>
      </c>
      <c r="C221" s="500">
        <v>2</v>
      </c>
      <c r="D221" s="3193"/>
      <c r="E221" s="3194"/>
      <c r="F221" s="623"/>
      <c r="G221" s="660"/>
      <c r="H221" s="659"/>
      <c r="I221" s="3349"/>
      <c r="J221" s="3350"/>
      <c r="K221" s="653"/>
      <c r="L221" s="653"/>
      <c r="M221" s="3195"/>
      <c r="N221" s="3530"/>
      <c r="O221" s="3196"/>
      <c r="P221" s="266"/>
      <c r="Q221" s="257"/>
      <c r="S221" s="3487"/>
    </row>
    <row r="222" spans="2:19" ht="35.25" customHeight="1">
      <c r="B222" s="486" t="str">
        <f>IF(OR(ISBLANK(D222),ISBLANK(F222),ISBLANK(G222),ISBLANK(H222),ISBLANK(I222))=FALSE,"","w")</f>
        <v>w</v>
      </c>
      <c r="C222" s="500">
        <v>3</v>
      </c>
      <c r="D222" s="3193"/>
      <c r="E222" s="3194"/>
      <c r="F222" s="623"/>
      <c r="G222" s="660"/>
      <c r="H222" s="659"/>
      <c r="I222" s="3349"/>
      <c r="J222" s="3350"/>
      <c r="K222" s="653"/>
      <c r="L222" s="653"/>
      <c r="M222" s="3195"/>
      <c r="N222" s="3530"/>
      <c r="O222" s="3196"/>
      <c r="P222" s="266"/>
      <c r="Q222" s="257"/>
      <c r="S222" s="3487"/>
    </row>
    <row r="223" spans="2:19" ht="35.25" customHeight="1">
      <c r="B223" s="253"/>
      <c r="C223" s="500">
        <v>4</v>
      </c>
      <c r="D223" s="3520"/>
      <c r="E223" s="3521"/>
      <c r="F223" s="624"/>
      <c r="G223" s="653"/>
      <c r="H223" s="652"/>
      <c r="I223" s="3195"/>
      <c r="J223" s="3196"/>
      <c r="K223" s="653"/>
      <c r="L223" s="653"/>
      <c r="M223" s="3195"/>
      <c r="N223" s="3530"/>
      <c r="O223" s="3196"/>
      <c r="P223" s="266"/>
      <c r="Q223" s="257"/>
      <c r="S223" s="3487"/>
    </row>
    <row r="224" spans="2:19" ht="35.25" customHeight="1">
      <c r="B224" s="253"/>
      <c r="C224" s="500">
        <v>5</v>
      </c>
      <c r="D224" s="3520"/>
      <c r="E224" s="3521"/>
      <c r="F224" s="624"/>
      <c r="G224" s="653"/>
      <c r="H224" s="652"/>
      <c r="I224" s="3195"/>
      <c r="J224" s="3196"/>
      <c r="K224" s="653"/>
      <c r="L224" s="653"/>
      <c r="M224" s="3195"/>
      <c r="N224" s="3530"/>
      <c r="O224" s="3196"/>
      <c r="P224" s="266"/>
      <c r="Q224" s="257"/>
      <c r="S224" s="3487"/>
    </row>
    <row r="225" spans="2:20" ht="35.25" customHeight="1">
      <c r="B225" s="253"/>
      <c r="C225" s="500">
        <v>6</v>
      </c>
      <c r="D225" s="3520"/>
      <c r="E225" s="3521"/>
      <c r="F225" s="624"/>
      <c r="G225" s="653"/>
      <c r="H225" s="652"/>
      <c r="I225" s="3195"/>
      <c r="J225" s="3196"/>
      <c r="K225" s="653"/>
      <c r="L225" s="653"/>
      <c r="M225" s="3195"/>
      <c r="N225" s="3530"/>
      <c r="O225" s="3196"/>
      <c r="P225" s="266"/>
      <c r="Q225" s="257"/>
      <c r="S225" s="3487"/>
    </row>
    <row r="226" spans="2:20" ht="35.25" customHeight="1">
      <c r="B226" s="253"/>
      <c r="C226" s="500">
        <v>7</v>
      </c>
      <c r="D226" s="3520"/>
      <c r="E226" s="3521"/>
      <c r="F226" s="624"/>
      <c r="G226" s="653"/>
      <c r="H226" s="652"/>
      <c r="I226" s="3195"/>
      <c r="J226" s="3196"/>
      <c r="K226" s="653"/>
      <c r="L226" s="653"/>
      <c r="M226" s="3195"/>
      <c r="N226" s="3530"/>
      <c r="O226" s="3196"/>
      <c r="P226" s="266"/>
      <c r="Q226" s="257"/>
      <c r="S226" s="3487"/>
    </row>
    <row r="227" spans="2:20" ht="35.25" customHeight="1">
      <c r="B227" s="253"/>
      <c r="C227" s="500">
        <v>8</v>
      </c>
      <c r="D227" s="3520"/>
      <c r="E227" s="3521"/>
      <c r="F227" s="624"/>
      <c r="G227" s="653"/>
      <c r="H227" s="652"/>
      <c r="I227" s="3195"/>
      <c r="J227" s="3196"/>
      <c r="K227" s="653"/>
      <c r="L227" s="653"/>
      <c r="M227" s="3195"/>
      <c r="N227" s="3530"/>
      <c r="O227" s="3196"/>
      <c r="P227" s="266"/>
      <c r="Q227" s="257"/>
      <c r="S227" s="3487"/>
    </row>
    <row r="228" spans="2:20" ht="35.25" customHeight="1">
      <c r="B228" s="253"/>
      <c r="C228" s="500">
        <v>9</v>
      </c>
      <c r="D228" s="3520"/>
      <c r="E228" s="3521"/>
      <c r="F228" s="624"/>
      <c r="G228" s="653"/>
      <c r="H228" s="652"/>
      <c r="I228" s="3195"/>
      <c r="J228" s="3196"/>
      <c r="K228" s="653"/>
      <c r="L228" s="653"/>
      <c r="M228" s="3195"/>
      <c r="N228" s="3530"/>
      <c r="O228" s="3196"/>
      <c r="P228" s="604"/>
      <c r="Q228" s="257"/>
      <c r="S228" s="3487"/>
    </row>
    <row r="229" spans="2:20" ht="35.25" customHeight="1">
      <c r="B229" s="253"/>
      <c r="C229" s="500">
        <v>10</v>
      </c>
      <c r="D229" s="3340"/>
      <c r="E229" s="3341"/>
      <c r="F229" s="625"/>
      <c r="G229" s="648"/>
      <c r="H229" s="647"/>
      <c r="I229" s="3300"/>
      <c r="J229" s="3302"/>
      <c r="K229" s="648"/>
      <c r="L229" s="648"/>
      <c r="M229" s="3340"/>
      <c r="N229" s="3539"/>
      <c r="O229" s="3341"/>
      <c r="P229" s="604"/>
      <c r="Q229" s="257"/>
      <c r="S229" s="3487"/>
      <c r="T229" s="374"/>
    </row>
    <row r="230" spans="2:20" ht="17.25" customHeight="1">
      <c r="B230" s="253"/>
      <c r="C230" s="664"/>
      <c r="D230" s="315"/>
      <c r="E230" s="645"/>
      <c r="F230" s="602"/>
      <c r="G230" s="645"/>
      <c r="H230" s="602"/>
      <c r="I230" s="55"/>
      <c r="J230" s="645"/>
      <c r="K230" s="602"/>
      <c r="L230" s="645"/>
      <c r="M230" s="602"/>
      <c r="N230" s="645"/>
      <c r="O230" s="602"/>
      <c r="P230" s="604"/>
      <c r="Q230" s="257"/>
      <c r="S230" s="3487"/>
    </row>
    <row r="231" spans="2:20" ht="50.25" customHeight="1">
      <c r="B231" s="253"/>
      <c r="C231" s="3337" t="s">
        <v>596</v>
      </c>
      <c r="D231" s="3338"/>
      <c r="E231" s="3339"/>
      <c r="F231" s="3533"/>
      <c r="G231" s="3534"/>
      <c r="H231" s="3534"/>
      <c r="I231" s="3534"/>
      <c r="J231" s="3534"/>
      <c r="K231" s="3534"/>
      <c r="L231" s="3534"/>
      <c r="M231" s="3534"/>
      <c r="N231" s="3534"/>
      <c r="O231" s="3535"/>
      <c r="P231" s="604"/>
      <c r="Q231" s="257"/>
      <c r="S231" s="3487"/>
    </row>
    <row r="232" spans="2:20" ht="18.75" customHeight="1">
      <c r="B232" s="253"/>
      <c r="C232" s="664"/>
      <c r="D232" s="315"/>
      <c r="E232" s="645"/>
      <c r="F232" s="602"/>
      <c r="G232" s="645"/>
      <c r="H232" s="602"/>
      <c r="I232" s="55"/>
      <c r="J232" s="645"/>
      <c r="K232" s="602"/>
      <c r="L232" s="645"/>
      <c r="M232" s="602"/>
      <c r="N232" s="645"/>
      <c r="O232" s="602"/>
      <c r="P232" s="604"/>
      <c r="Q232" s="257"/>
      <c r="S232" s="3487"/>
    </row>
    <row r="233" spans="2:20" ht="18" customHeight="1">
      <c r="B233" s="253"/>
      <c r="C233" s="757" t="s">
        <v>582</v>
      </c>
      <c r="D233" s="758"/>
      <c r="E233" s="759"/>
      <c r="F233" s="760"/>
      <c r="G233" s="760"/>
      <c r="H233" s="761"/>
      <c r="I233" s="762"/>
      <c r="J233" s="759"/>
      <c r="K233" s="759"/>
      <c r="L233" s="759"/>
      <c r="M233" s="760"/>
      <c r="N233" s="760"/>
      <c r="O233" s="763"/>
      <c r="P233" s="604"/>
      <c r="Q233" s="257"/>
      <c r="S233" s="3487"/>
    </row>
    <row r="234" spans="2:20" ht="18" customHeight="1">
      <c r="B234" s="253"/>
      <c r="C234" s="765" t="s">
        <v>583</v>
      </c>
      <c r="D234" s="758"/>
      <c r="E234" s="759"/>
      <c r="F234" s="760"/>
      <c r="G234" s="760"/>
      <c r="H234" s="761"/>
      <c r="I234" s="762"/>
      <c r="J234" s="614"/>
      <c r="K234" s="766"/>
      <c r="L234" s="759"/>
      <c r="M234" s="760"/>
      <c r="N234" s="760"/>
      <c r="O234" s="763"/>
      <c r="P234" s="604"/>
      <c r="Q234" s="257"/>
      <c r="S234" s="3487"/>
    </row>
    <row r="235" spans="2:20" ht="16.5" customHeight="1">
      <c r="B235" s="253"/>
      <c r="C235" s="767"/>
      <c r="D235" s="758"/>
      <c r="E235" s="759"/>
      <c r="F235" s="760"/>
      <c r="G235" s="760"/>
      <c r="H235" s="761"/>
      <c r="I235" s="762"/>
      <c r="J235" s="768" t="s">
        <v>584</v>
      </c>
      <c r="K235" s="614"/>
      <c r="L235" s="759"/>
      <c r="M235" s="760"/>
      <c r="N235" s="760"/>
      <c r="O235" s="763"/>
      <c r="P235" s="604"/>
      <c r="Q235" s="257"/>
      <c r="S235" s="3487"/>
    </row>
    <row r="236" spans="2:20" ht="18" customHeight="1">
      <c r="B236" s="253"/>
      <c r="C236" s="765" t="s">
        <v>597</v>
      </c>
      <c r="D236" s="758"/>
      <c r="E236" s="759"/>
      <c r="F236" s="759"/>
      <c r="G236" s="759"/>
      <c r="H236" s="759"/>
      <c r="I236" s="762"/>
      <c r="J236" s="759"/>
      <c r="K236" s="759"/>
      <c r="L236" s="759"/>
      <c r="M236" s="759"/>
      <c r="N236" s="759"/>
      <c r="O236" s="759"/>
      <c r="P236" s="266"/>
      <c r="Q236" s="257"/>
      <c r="S236" s="3487"/>
    </row>
    <row r="237" spans="2:20" ht="18" customHeight="1">
      <c r="B237" s="253"/>
      <c r="C237" s="765" t="s">
        <v>598</v>
      </c>
      <c r="D237" s="758"/>
      <c r="E237" s="759"/>
      <c r="F237" s="759"/>
      <c r="G237" s="759"/>
      <c r="H237" s="759"/>
      <c r="I237" s="762"/>
      <c r="J237" s="759"/>
      <c r="K237" s="759"/>
      <c r="L237" s="759"/>
      <c r="M237" s="759"/>
      <c r="N237" s="759"/>
      <c r="O237" s="759"/>
      <c r="P237" s="266"/>
      <c r="Q237" s="257"/>
      <c r="S237" s="3487"/>
    </row>
    <row r="238" spans="2:20" ht="18" customHeight="1">
      <c r="B238" s="253"/>
      <c r="C238" s="601"/>
      <c r="D238" s="277"/>
      <c r="E238" s="306"/>
      <c r="F238" s="306"/>
      <c r="G238" s="306"/>
      <c r="H238" s="306"/>
      <c r="I238" s="271"/>
      <c r="J238" s="306"/>
      <c r="K238" s="306"/>
      <c r="L238" s="306"/>
      <c r="M238" s="306"/>
      <c r="N238" s="306"/>
      <c r="O238" s="306"/>
      <c r="P238" s="307"/>
      <c r="Q238" s="257"/>
      <c r="S238" s="3487"/>
    </row>
    <row r="239" spans="2:20" ht="18" customHeight="1">
      <c r="B239" s="253"/>
      <c r="C239" s="366"/>
      <c r="D239" s="256"/>
      <c r="E239" s="256"/>
      <c r="F239" s="256"/>
      <c r="G239" s="256"/>
      <c r="H239" s="256"/>
      <c r="I239" s="256"/>
      <c r="J239" s="256"/>
      <c r="K239" s="256"/>
      <c r="L239" s="256"/>
      <c r="M239" s="256"/>
      <c r="N239" s="256"/>
      <c r="O239" s="256"/>
      <c r="P239" s="256"/>
      <c r="Q239" s="257"/>
      <c r="S239" s="3487"/>
    </row>
    <row r="240" spans="2:20" ht="17.25" customHeight="1">
      <c r="B240" s="253"/>
      <c r="C240" s="668" t="s">
        <v>567</v>
      </c>
      <c r="D240" s="256"/>
      <c r="E240" s="256"/>
      <c r="F240" s="256"/>
      <c r="G240" s="256"/>
      <c r="H240" s="256"/>
      <c r="I240" s="256"/>
      <c r="J240" s="256"/>
      <c r="K240" s="256"/>
      <c r="L240" s="256"/>
      <c r="M240" s="256"/>
      <c r="N240" s="256"/>
      <c r="O240" s="256"/>
      <c r="P240" s="256"/>
      <c r="Q240" s="257"/>
      <c r="S240" s="3487"/>
    </row>
    <row r="241" spans="1:19" ht="18" customHeight="1">
      <c r="B241" s="253"/>
      <c r="C241" s="160"/>
      <c r="D241" s="650"/>
      <c r="E241" s="3270" t="s">
        <v>568</v>
      </c>
      <c r="F241" s="3270"/>
      <c r="G241" s="3270"/>
      <c r="H241" s="3271"/>
      <c r="I241" s="353" t="str">
        <f>IF((OR(ISBLANK(F613),ISBLANK(F614),ISBLANK(K613),ISBLANK(K614))=FALSE),"Complété","À compléter")</f>
        <v>À compléter</v>
      </c>
      <c r="J241" s="3265" t="s">
        <v>3454</v>
      </c>
      <c r="K241" s="3265"/>
      <c r="L241" s="3265"/>
      <c r="M241" s="3265"/>
      <c r="N241" s="3265"/>
      <c r="O241" s="3265"/>
      <c r="P241" s="3265"/>
      <c r="Q241" s="257"/>
      <c r="S241" s="3487"/>
    </row>
    <row r="242" spans="1:19" ht="6.75" customHeight="1">
      <c r="B242" s="253"/>
      <c r="C242" s="256"/>
      <c r="D242" s="650"/>
      <c r="E242" s="650"/>
      <c r="F242" s="650"/>
      <c r="G242" s="650"/>
      <c r="H242" s="650"/>
      <c r="I242" s="256"/>
      <c r="J242" s="355"/>
      <c r="K242" s="355"/>
      <c r="L242" s="355"/>
      <c r="M242" s="355"/>
      <c r="N242" s="355"/>
      <c r="O242" s="355"/>
      <c r="P242" s="355"/>
      <c r="Q242" s="257"/>
      <c r="S242" s="3487"/>
    </row>
    <row r="243" spans="1:19" ht="18" customHeight="1">
      <c r="B243" s="253"/>
      <c r="C243" s="256"/>
      <c r="D243" s="3270" t="s">
        <v>569</v>
      </c>
      <c r="E243" s="3270"/>
      <c r="F243" s="3270"/>
      <c r="G243" s="3270"/>
      <c r="H243" s="3271"/>
      <c r="I243" s="353" t="str">
        <f>IF((OR(ISBLANK(F675),ISBLANK(F676),ISBLANK(#REF!),ISBLANK(K675),ISBLANK(K676),ISBLANK(#REF!))=FALSE),"Complété","À compléter")</f>
        <v>À compléter</v>
      </c>
      <c r="J243" s="3265" t="s">
        <v>3455</v>
      </c>
      <c r="K243" s="3265"/>
      <c r="L243" s="3265"/>
      <c r="M243" s="3265"/>
      <c r="N243" s="3265"/>
      <c r="O243" s="3265"/>
      <c r="P243" s="3265"/>
      <c r="Q243" s="257"/>
      <c r="S243" s="3487"/>
    </row>
    <row r="244" spans="1:19" ht="27.75" customHeight="1">
      <c r="B244" s="253"/>
      <c r="C244" s="256"/>
      <c r="D244" s="459"/>
      <c r="E244" s="459"/>
      <c r="F244" s="459"/>
      <c r="G244" s="459"/>
      <c r="H244" s="459"/>
      <c r="I244" s="461"/>
      <c r="J244" s="649"/>
      <c r="K244" s="649"/>
      <c r="L244" s="649"/>
      <c r="M244" s="649"/>
      <c r="N244" s="649"/>
      <c r="O244" s="649"/>
      <c r="P244" s="649"/>
      <c r="Q244" s="257"/>
      <c r="S244" s="3487"/>
    </row>
    <row r="245" spans="1:19" ht="18" customHeight="1">
      <c r="B245" s="253"/>
      <c r="C245" s="667" t="s">
        <v>570</v>
      </c>
      <c r="D245" s="459"/>
      <c r="E245" s="459"/>
      <c r="F245" s="459"/>
      <c r="G245" s="160"/>
      <c r="H245" s="3245" t="s">
        <v>599</v>
      </c>
      <c r="I245" s="3245"/>
      <c r="J245" s="160"/>
      <c r="K245" s="160"/>
      <c r="L245" s="649"/>
      <c r="M245" s="649"/>
      <c r="N245" s="649"/>
      <c r="O245" s="649"/>
      <c r="P245" s="649"/>
      <c r="Q245" s="257"/>
      <c r="S245" s="3487"/>
    </row>
    <row r="246" spans="1:19" ht="13.5" customHeight="1" thickBot="1">
      <c r="B246" s="278"/>
      <c r="C246" s="279"/>
      <c r="D246" s="279"/>
      <c r="E246" s="279"/>
      <c r="F246" s="279"/>
      <c r="G246" s="279"/>
      <c r="H246" s="279"/>
      <c r="I246" s="279"/>
      <c r="J246" s="279"/>
      <c r="K246" s="279"/>
      <c r="L246" s="279"/>
      <c r="M246" s="279"/>
      <c r="N246" s="279"/>
      <c r="O246" s="279"/>
      <c r="P246" s="279"/>
      <c r="Q246" s="280"/>
      <c r="S246" s="3488"/>
    </row>
    <row r="247" spans="1:19" ht="15" thickBot="1">
      <c r="B247" s="683"/>
      <c r="S247" s="614"/>
    </row>
    <row r="248" spans="1:19" ht="22.5" customHeight="1" thickBot="1">
      <c r="A248" s="1187"/>
      <c r="B248" s="237" t="s">
        <v>600</v>
      </c>
      <c r="C248" s="237"/>
      <c r="D248" s="237"/>
      <c r="E248" s="237"/>
      <c r="F248" s="237"/>
      <c r="G248" s="237"/>
      <c r="H248" s="237"/>
      <c r="I248" s="237"/>
      <c r="J248" s="237"/>
      <c r="K248" s="237"/>
      <c r="L248" s="238"/>
      <c r="M248" s="238"/>
      <c r="N248" s="238"/>
      <c r="O248" s="3173" t="s">
        <v>155</v>
      </c>
      <c r="P248" s="3173"/>
      <c r="Q248" s="3173"/>
      <c r="S248" s="615" t="s">
        <v>521</v>
      </c>
    </row>
    <row r="249" spans="1:19" ht="9.75" customHeight="1" thickBot="1">
      <c r="S249" s="616"/>
    </row>
    <row r="250" spans="1:19" ht="8.25" customHeight="1">
      <c r="B250" s="241"/>
      <c r="C250" s="242"/>
      <c r="D250" s="242"/>
      <c r="E250" s="243"/>
      <c r="F250" s="244"/>
      <c r="G250" s="244"/>
      <c r="H250" s="244"/>
      <c r="I250" s="244"/>
      <c r="J250" s="244"/>
      <c r="K250" s="244"/>
      <c r="L250" s="244"/>
      <c r="M250" s="244"/>
      <c r="N250" s="244"/>
      <c r="O250" s="244"/>
      <c r="P250" s="244"/>
      <c r="Q250" s="245"/>
      <c r="S250" s="3486"/>
    </row>
    <row r="251" spans="1:19" ht="18" customHeight="1">
      <c r="B251" s="246"/>
      <c r="C251" s="247" t="s">
        <v>601</v>
      </c>
      <c r="D251" s="247"/>
      <c r="E251" s="248"/>
      <c r="F251" s="160"/>
      <c r="G251" s="160"/>
      <c r="H251" s="160"/>
      <c r="I251" s="160"/>
      <c r="J251" s="160"/>
      <c r="K251" s="160"/>
      <c r="L251" s="160"/>
      <c r="M251" s="160"/>
      <c r="N251" s="249" t="s">
        <v>219</v>
      </c>
      <c r="O251" s="353" t="str">
        <f>IF(OR(ISBLANK(H258))=FALSE,"Complété","À compléter")</f>
        <v>À compléter</v>
      </c>
      <c r="P251" s="160"/>
      <c r="Q251" s="250"/>
      <c r="S251" s="3487"/>
    </row>
    <row r="252" spans="1:19" ht="6.75" customHeight="1">
      <c r="B252" s="251"/>
      <c r="C252" s="252"/>
      <c r="D252" s="252"/>
      <c r="E252" s="252"/>
      <c r="F252" s="160"/>
      <c r="G252" s="160"/>
      <c r="H252" s="160"/>
      <c r="I252" s="160"/>
      <c r="J252" s="160"/>
      <c r="K252" s="160"/>
      <c r="L252" s="160"/>
      <c r="M252" s="160"/>
      <c r="N252" s="160"/>
      <c r="O252" s="160"/>
      <c r="P252" s="160"/>
      <c r="Q252" s="250"/>
      <c r="S252" s="3487"/>
    </row>
    <row r="253" spans="1:19" ht="17.25" customHeight="1">
      <c r="B253" s="251"/>
      <c r="C253" s="3182" t="s">
        <v>531</v>
      </c>
      <c r="D253" s="3182"/>
      <c r="E253" s="3182"/>
      <c r="F253" s="3182"/>
      <c r="G253" s="3182"/>
      <c r="H253" s="3182"/>
      <c r="I253" s="3182"/>
      <c r="J253" s="3182"/>
      <c r="K253" s="3182"/>
      <c r="L253" s="3182"/>
      <c r="M253" s="3182"/>
      <c r="N253" s="160"/>
      <c r="O253" s="160"/>
      <c r="P253" s="160"/>
      <c r="Q253" s="250"/>
      <c r="S253" s="3487"/>
    </row>
    <row r="254" spans="1:19" ht="15" customHeight="1">
      <c r="B254" s="251"/>
      <c r="C254" s="252"/>
      <c r="D254" s="252"/>
      <c r="E254" s="252"/>
      <c r="F254" s="160"/>
      <c r="G254" s="160"/>
      <c r="H254" s="160"/>
      <c r="I254" s="160"/>
      <c r="J254" s="160"/>
      <c r="K254" s="160"/>
      <c r="L254" s="160"/>
      <c r="M254" s="160"/>
      <c r="N254" s="160"/>
      <c r="O254" s="160"/>
      <c r="P254" s="160"/>
      <c r="Q254" s="250"/>
      <c r="S254" s="3487"/>
    </row>
    <row r="255" spans="1:19" ht="18.75" customHeight="1">
      <c r="B255" s="253"/>
      <c r="C255" s="641" t="s">
        <v>3460</v>
      </c>
      <c r="D255" s="255"/>
      <c r="E255" s="256"/>
      <c r="F255" s="256"/>
      <c r="G255" s="256"/>
      <c r="H255" s="256"/>
      <c r="I255" s="256"/>
      <c r="J255" s="256"/>
      <c r="K255" s="256"/>
      <c r="L255" s="256"/>
      <c r="M255" s="256"/>
      <c r="N255" s="256"/>
      <c r="O255" s="256"/>
      <c r="P255" s="256"/>
      <c r="Q255" s="257"/>
      <c r="S255" s="3487"/>
    </row>
    <row r="256" spans="1:19" ht="6" customHeight="1">
      <c r="B256" s="253"/>
      <c r="C256" s="373"/>
      <c r="D256" s="255"/>
      <c r="E256" s="256"/>
      <c r="F256" s="256"/>
      <c r="G256" s="256"/>
      <c r="H256" s="256"/>
      <c r="I256" s="256"/>
      <c r="J256" s="256"/>
      <c r="K256" s="256"/>
      <c r="L256" s="256"/>
      <c r="M256" s="256"/>
      <c r="N256" s="256"/>
      <c r="O256" s="256"/>
      <c r="P256" s="256"/>
      <c r="Q256" s="257"/>
      <c r="S256" s="3487"/>
    </row>
    <row r="257" spans="2:19" ht="14.25" customHeight="1">
      <c r="B257" s="253"/>
      <c r="C257" s="635"/>
      <c r="D257" s="259"/>
      <c r="E257" s="260"/>
      <c r="F257" s="260"/>
      <c r="G257" s="260"/>
      <c r="H257" s="260"/>
      <c r="I257" s="260"/>
      <c r="J257" s="260"/>
      <c r="K257" s="260"/>
      <c r="L257" s="260"/>
      <c r="M257" s="260"/>
      <c r="N257" s="260"/>
      <c r="O257" s="260"/>
      <c r="P257" s="261"/>
      <c r="Q257" s="257"/>
      <c r="S257" s="3487"/>
    </row>
    <row r="258" spans="2:19" ht="15.75" customHeight="1">
      <c r="B258" s="486" t="str">
        <f>IF(ISBLANK(H258)=FALSE,"","u")</f>
        <v>u</v>
      </c>
      <c r="C258" s="3351" t="s">
        <v>3461</v>
      </c>
      <c r="D258" s="3352"/>
      <c r="E258" s="3352"/>
      <c r="F258" s="3352"/>
      <c r="G258" s="3352"/>
      <c r="H258" s="3306"/>
      <c r="I258" s="3307"/>
      <c r="J258" s="3307"/>
      <c r="K258" s="3308"/>
      <c r="L258" s="3531" t="str">
        <f>IF(OR(ISBLANK(H258),H258='MENU DÉROULANT'!C86),"","Vous pouvez donc passer à la section suivante du PGA.")</f>
        <v/>
      </c>
      <c r="M258" s="3532"/>
      <c r="N258" s="3532"/>
      <c r="O258" s="3532"/>
      <c r="P258" s="266"/>
      <c r="Q258" s="257"/>
      <c r="S258" s="3487"/>
    </row>
    <row r="259" spans="2:19" ht="15.75" customHeight="1">
      <c r="B259" s="486" t="s">
        <v>552</v>
      </c>
      <c r="C259" s="3351"/>
      <c r="D259" s="3352"/>
      <c r="E259" s="3352"/>
      <c r="F259" s="3352"/>
      <c r="G259" s="3352"/>
      <c r="H259" s="3309"/>
      <c r="I259" s="3310"/>
      <c r="J259" s="3310"/>
      <c r="K259" s="3311"/>
      <c r="L259" s="3222" t="str">
        <f>IF(OR(ISBLANK(H258),H258='MENU DÉROULANT'!C86),"","Notez toutefois que dans ce cas, aucun visuel n'apparaitra dans le sommaire concernant la gestion des risques.")</f>
        <v/>
      </c>
      <c r="M259" s="3222"/>
      <c r="N259" s="3222"/>
      <c r="O259" s="3222"/>
      <c r="P259" s="673"/>
      <c r="Q259" s="369"/>
      <c r="S259" s="3487"/>
    </row>
    <row r="260" spans="2:19" ht="16.5" customHeight="1">
      <c r="B260" s="253"/>
      <c r="C260" s="636"/>
      <c r="D260" s="634"/>
      <c r="E260" s="85"/>
      <c r="F260" s="85"/>
      <c r="G260" s="85"/>
      <c r="H260" s="85"/>
      <c r="I260" s="85"/>
      <c r="J260" s="85"/>
      <c r="K260" s="85"/>
      <c r="L260" s="3223"/>
      <c r="M260" s="3223"/>
      <c r="N260" s="3223"/>
      <c r="O260" s="3223"/>
      <c r="P260" s="605"/>
      <c r="Q260" s="369"/>
      <c r="S260" s="3487"/>
    </row>
    <row r="261" spans="2:19" ht="31.5" customHeight="1">
      <c r="B261" s="486"/>
      <c r="C261" s="379"/>
      <c r="D261" s="291"/>
      <c r="E261" s="645"/>
      <c r="F261" s="3179" t="s">
        <v>539</v>
      </c>
      <c r="G261" s="3179"/>
      <c r="H261" s="3090"/>
      <c r="I261" s="3091"/>
      <c r="J261" s="3091"/>
      <c r="K261" s="3091"/>
      <c r="L261" s="3091"/>
      <c r="M261" s="3091"/>
      <c r="N261" s="3091"/>
      <c r="O261" s="3092"/>
      <c r="P261" s="604"/>
      <c r="Q261" s="257"/>
      <c r="S261" s="3487"/>
    </row>
    <row r="262" spans="2:19" ht="15" customHeight="1">
      <c r="B262" s="253"/>
      <c r="C262" s="637"/>
      <c r="D262" s="638"/>
      <c r="E262" s="306"/>
      <c r="F262" s="306"/>
      <c r="G262" s="306"/>
      <c r="H262" s="306"/>
      <c r="I262" s="306"/>
      <c r="J262" s="306"/>
      <c r="K262" s="306"/>
      <c r="L262" s="306"/>
      <c r="M262" s="639"/>
      <c r="N262" s="639"/>
      <c r="O262" s="639"/>
      <c r="P262" s="640"/>
      <c r="Q262" s="369"/>
      <c r="S262" s="3487"/>
    </row>
    <row r="263" spans="2:19" ht="18.75" customHeight="1">
      <c r="B263" s="253"/>
      <c r="C263" s="255"/>
      <c r="D263" s="255"/>
      <c r="E263" s="256"/>
      <c r="F263" s="256"/>
      <c r="G263" s="256"/>
      <c r="H263" s="256"/>
      <c r="I263" s="256"/>
      <c r="J263" s="256"/>
      <c r="K263" s="256"/>
      <c r="L263" s="256"/>
      <c r="M263" s="256"/>
      <c r="N263" s="256"/>
      <c r="O263" s="256"/>
      <c r="P263" s="256"/>
      <c r="Q263" s="257"/>
      <c r="S263" s="3487"/>
    </row>
    <row r="264" spans="2:19" ht="12.75" customHeight="1">
      <c r="B264" s="253"/>
      <c r="C264" s="258"/>
      <c r="D264" s="259"/>
      <c r="E264" s="260"/>
      <c r="F264" s="260"/>
      <c r="G264" s="260"/>
      <c r="H264" s="260"/>
      <c r="I264" s="260"/>
      <c r="J264" s="260"/>
      <c r="K264" s="260"/>
      <c r="L264" s="260"/>
      <c r="M264" s="260"/>
      <c r="N264" s="260"/>
      <c r="O264" s="260"/>
      <c r="P264" s="261"/>
      <c r="Q264" s="257"/>
      <c r="S264" s="3487"/>
    </row>
    <row r="265" spans="2:19" ht="24" customHeight="1">
      <c r="B265" s="253"/>
      <c r="C265" s="642" t="s">
        <v>3462</v>
      </c>
      <c r="D265" s="315"/>
      <c r="E265" s="85"/>
      <c r="F265" s="357"/>
      <c r="G265" s="357"/>
      <c r="H265" s="602"/>
      <c r="I265" s="55"/>
      <c r="J265" s="85"/>
      <c r="K265" s="85"/>
      <c r="L265" s="85"/>
      <c r="M265" s="357"/>
      <c r="N265" s="357"/>
      <c r="O265" s="976"/>
      <c r="P265" s="604"/>
      <c r="Q265" s="257"/>
      <c r="S265" s="3487"/>
    </row>
    <row r="266" spans="2:19" ht="15.75" customHeight="1">
      <c r="B266" s="253"/>
      <c r="C266" s="643" t="s">
        <v>602</v>
      </c>
      <c r="D266" s="315"/>
      <c r="E266" s="85"/>
      <c r="F266" s="357"/>
      <c r="G266" s="357"/>
      <c r="H266" s="602"/>
      <c r="I266" s="55"/>
      <c r="J266" s="85"/>
      <c r="K266" s="85"/>
      <c r="L266" s="85"/>
      <c r="M266" s="357"/>
      <c r="N266" s="357"/>
      <c r="O266" s="645"/>
      <c r="P266" s="604"/>
      <c r="Q266" s="257"/>
      <c r="S266" s="3487"/>
    </row>
    <row r="267" spans="2:19" ht="18.75" customHeight="1">
      <c r="B267" s="253"/>
      <c r="C267" s="356"/>
      <c r="D267" s="315"/>
      <c r="E267" s="85"/>
      <c r="F267" s="85"/>
      <c r="G267" s="85"/>
      <c r="H267" s="85"/>
      <c r="I267" s="55"/>
      <c r="J267" s="85"/>
      <c r="K267" s="85"/>
      <c r="L267" s="85"/>
      <c r="M267" s="85"/>
      <c r="N267" s="85"/>
      <c r="O267" s="85"/>
      <c r="P267" s="266"/>
      <c r="Q267" s="257"/>
      <c r="S267" s="3487"/>
    </row>
    <row r="268" spans="2:19" s="72" customFormat="1" ht="21.75" customHeight="1" thickBot="1">
      <c r="B268" s="253"/>
      <c r="C268" s="362"/>
      <c r="D268" s="3329" t="s">
        <v>28</v>
      </c>
      <c r="E268" s="3329"/>
      <c r="F268" s="3286" t="s">
        <v>603</v>
      </c>
      <c r="G268" s="3287"/>
      <c r="H268" s="3288"/>
      <c r="I268" s="619" t="s">
        <v>604</v>
      </c>
      <c r="J268" s="620"/>
      <c r="K268" s="620"/>
      <c r="L268" s="620"/>
      <c r="M268" s="620"/>
      <c r="N268" s="620"/>
      <c r="O268" s="351"/>
      <c r="P268" s="266"/>
      <c r="Q268" s="257"/>
      <c r="S268" s="3487"/>
    </row>
    <row r="269" spans="2:19" ht="26.25" customHeight="1" thickTop="1">
      <c r="B269" s="486" t="str">
        <f>IF(ISBLANK(F269)=FALSE,"","w")</f>
        <v>w</v>
      </c>
      <c r="C269" s="363"/>
      <c r="D269" s="3327" t="s">
        <v>47</v>
      </c>
      <c r="E269" s="3328"/>
      <c r="F269" s="3355"/>
      <c r="G269" s="3356"/>
      <c r="H269" s="3357"/>
      <c r="I269" s="3527"/>
      <c r="J269" s="3528"/>
      <c r="K269" s="3528"/>
      <c r="L269" s="3528"/>
      <c r="M269" s="3528"/>
      <c r="N269" s="3528"/>
      <c r="O269" s="3529"/>
      <c r="P269" s="266"/>
      <c r="Q269" s="257"/>
      <c r="S269" s="3487"/>
    </row>
    <row r="270" spans="2:19" ht="26.25" customHeight="1">
      <c r="B270" s="486" t="str">
        <f>IF(ISBLANK(F270)=FALSE,"","w")</f>
        <v>w</v>
      </c>
      <c r="C270" s="363"/>
      <c r="D270" s="3327" t="s">
        <v>46</v>
      </c>
      <c r="E270" s="3328"/>
      <c r="F270" s="3315"/>
      <c r="G270" s="3316"/>
      <c r="H270" s="3317"/>
      <c r="I270" s="3176"/>
      <c r="J270" s="3177"/>
      <c r="K270" s="3177"/>
      <c r="L270" s="3177"/>
      <c r="M270" s="3177"/>
      <c r="N270" s="3177"/>
      <c r="O270" s="3178"/>
      <c r="P270" s="266"/>
      <c r="Q270" s="257"/>
      <c r="S270" s="3487"/>
    </row>
    <row r="271" spans="2:19" ht="26.25" customHeight="1">
      <c r="B271" s="486" t="str">
        <f>IF(ISBLANK(F271)=FALSE,"","w")</f>
        <v>w</v>
      </c>
      <c r="C271" s="363"/>
      <c r="D271" s="3207" t="s">
        <v>45</v>
      </c>
      <c r="E271" s="3208"/>
      <c r="F271" s="3315"/>
      <c r="G271" s="3316"/>
      <c r="H271" s="3317"/>
      <c r="I271" s="3176"/>
      <c r="J271" s="3177"/>
      <c r="K271" s="3177"/>
      <c r="L271" s="3177"/>
      <c r="M271" s="3177"/>
      <c r="N271" s="3177"/>
      <c r="O271" s="3178"/>
      <c r="P271" s="266"/>
      <c r="Q271" s="257"/>
      <c r="S271" s="3487"/>
    </row>
    <row r="272" spans="2:19" ht="26.25" customHeight="1">
      <c r="B272" s="486" t="str">
        <f>IF(ISBLANK(F272)=FALSE,"","w")</f>
        <v>w</v>
      </c>
      <c r="C272" s="363"/>
      <c r="D272" s="3207" t="s">
        <v>43</v>
      </c>
      <c r="E272" s="3208"/>
      <c r="F272" s="3315"/>
      <c r="G272" s="3316"/>
      <c r="H272" s="3317"/>
      <c r="I272" s="3176"/>
      <c r="J272" s="3177"/>
      <c r="K272" s="3177"/>
      <c r="L272" s="3177"/>
      <c r="M272" s="3177"/>
      <c r="N272" s="3177"/>
      <c r="O272" s="3178"/>
      <c r="P272" s="266"/>
      <c r="Q272" s="257"/>
      <c r="S272" s="3487"/>
    </row>
    <row r="273" spans="2:19" ht="26.25" customHeight="1">
      <c r="B273" s="486" t="str">
        <f>IF(ISBLANK(F273)=FALSE,"","w")</f>
        <v>w</v>
      </c>
      <c r="C273" s="363"/>
      <c r="D273" s="3207" t="s">
        <v>44</v>
      </c>
      <c r="E273" s="3208"/>
      <c r="F273" s="3315"/>
      <c r="G273" s="3316"/>
      <c r="H273" s="3317"/>
      <c r="I273" s="3176"/>
      <c r="J273" s="3177"/>
      <c r="K273" s="3177"/>
      <c r="L273" s="3177"/>
      <c r="M273" s="3177"/>
      <c r="N273" s="3177"/>
      <c r="O273" s="3178"/>
      <c r="P273" s="266"/>
      <c r="Q273" s="257"/>
      <c r="S273" s="3487"/>
    </row>
    <row r="274" spans="2:19" ht="26.25" customHeight="1">
      <c r="B274" s="253"/>
      <c r="C274" s="363"/>
      <c r="D274" s="400" t="s">
        <v>605</v>
      </c>
      <c r="E274" s="713"/>
      <c r="F274" s="3294"/>
      <c r="G274" s="3295"/>
      <c r="H274" s="3296"/>
      <c r="I274" s="3303"/>
      <c r="J274" s="3304"/>
      <c r="K274" s="3304"/>
      <c r="L274" s="3304"/>
      <c r="M274" s="3304"/>
      <c r="N274" s="3304"/>
      <c r="O274" s="3305"/>
      <c r="P274" s="604"/>
      <c r="Q274" s="257"/>
      <c r="S274" s="3487"/>
    </row>
    <row r="275" spans="2:19" ht="22.5" customHeight="1">
      <c r="B275" s="253"/>
      <c r="C275" s="358"/>
      <c r="D275" s="359"/>
      <c r="E275" s="360"/>
      <c r="F275" s="361"/>
      <c r="G275" s="360"/>
      <c r="H275" s="602"/>
      <c r="I275" s="55"/>
      <c r="J275" s="645"/>
      <c r="K275" s="602"/>
      <c r="L275" s="645"/>
      <c r="M275" s="602"/>
      <c r="N275" s="645"/>
      <c r="O275" s="602"/>
      <c r="P275" s="604"/>
      <c r="Q275" s="257"/>
      <c r="S275" s="3487"/>
    </row>
    <row r="276" spans="2:19" ht="20.25" customHeight="1">
      <c r="B276" s="253"/>
      <c r="C276" s="3312" t="s">
        <v>606</v>
      </c>
      <c r="D276" s="3313"/>
      <c r="E276" s="3314"/>
      <c r="F276" s="3297"/>
      <c r="G276" s="3298"/>
      <c r="H276" s="3298"/>
      <c r="I276" s="3298"/>
      <c r="J276" s="3298"/>
      <c r="K276" s="3298"/>
      <c r="L276" s="3298"/>
      <c r="M276" s="3298"/>
      <c r="N276" s="3298"/>
      <c r="O276" s="3299"/>
      <c r="P276" s="604"/>
      <c r="Q276" s="257"/>
      <c r="S276" s="3487"/>
    </row>
    <row r="277" spans="2:19" ht="20.25" customHeight="1">
      <c r="B277" s="253"/>
      <c r="C277" s="3312"/>
      <c r="D277" s="3313"/>
      <c r="E277" s="3314"/>
      <c r="F277" s="3300"/>
      <c r="G277" s="3301"/>
      <c r="H277" s="3301"/>
      <c r="I277" s="3301"/>
      <c r="J277" s="3301"/>
      <c r="K277" s="3301"/>
      <c r="L277" s="3301"/>
      <c r="M277" s="3301"/>
      <c r="N277" s="3301"/>
      <c r="O277" s="3302"/>
      <c r="P277" s="604"/>
      <c r="Q277" s="257"/>
      <c r="S277" s="3487"/>
    </row>
    <row r="278" spans="2:19" ht="13.5" customHeight="1">
      <c r="B278" s="253"/>
      <c r="C278" s="664"/>
      <c r="D278" s="315"/>
      <c r="E278" s="645"/>
      <c r="F278" s="602"/>
      <c r="G278" s="645"/>
      <c r="H278" s="602"/>
      <c r="I278" s="55"/>
      <c r="J278" s="645"/>
      <c r="K278" s="602"/>
      <c r="L278" s="645"/>
      <c r="M278" s="602"/>
      <c r="N278" s="645"/>
      <c r="O278" s="602"/>
      <c r="P278" s="604"/>
      <c r="Q278" s="257"/>
      <c r="S278" s="3487"/>
    </row>
    <row r="279" spans="2:19" ht="18" customHeight="1">
      <c r="B279" s="253"/>
      <c r="C279" s="757" t="s">
        <v>607</v>
      </c>
      <c r="D279" s="758"/>
      <c r="E279" s="759"/>
      <c r="F279" s="760"/>
      <c r="G279" s="760"/>
      <c r="H279" s="761"/>
      <c r="I279" s="762"/>
      <c r="J279" s="759"/>
      <c r="K279" s="759"/>
      <c r="L279" s="759"/>
      <c r="M279" s="760"/>
      <c r="N279" s="760"/>
      <c r="O279" s="763"/>
      <c r="P279" s="604"/>
      <c r="Q279" s="257"/>
      <c r="S279" s="3487"/>
    </row>
    <row r="280" spans="2:19" ht="18" customHeight="1">
      <c r="B280" s="253"/>
      <c r="C280" s="765" t="s">
        <v>583</v>
      </c>
      <c r="D280" s="758"/>
      <c r="E280" s="759"/>
      <c r="F280" s="760"/>
      <c r="G280" s="760"/>
      <c r="H280" s="761"/>
      <c r="I280" s="762"/>
      <c r="J280" s="614"/>
      <c r="K280" s="766"/>
      <c r="L280" s="759"/>
      <c r="M280" s="760"/>
      <c r="N280" s="760"/>
      <c r="O280" s="763"/>
      <c r="P280" s="604"/>
      <c r="Q280" s="257"/>
      <c r="S280" s="3487"/>
    </row>
    <row r="281" spans="2:19" ht="16.5" customHeight="1">
      <c r="B281" s="253"/>
      <c r="C281" s="767"/>
      <c r="D281" s="758"/>
      <c r="E281" s="759"/>
      <c r="F281" s="760"/>
      <c r="G281" s="760"/>
      <c r="H281" s="761"/>
      <c r="I281" s="762"/>
      <c r="J281" s="768" t="s">
        <v>584</v>
      </c>
      <c r="K281" s="614"/>
      <c r="L281" s="759"/>
      <c r="M281" s="760"/>
      <c r="N281" s="760"/>
      <c r="O281" s="763"/>
      <c r="P281" s="604"/>
      <c r="Q281" s="257"/>
      <c r="S281" s="3487"/>
    </row>
    <row r="282" spans="2:19" ht="18" customHeight="1">
      <c r="B282" s="253"/>
      <c r="C282" s="601"/>
      <c r="D282" s="277"/>
      <c r="E282" s="306"/>
      <c r="F282" s="306"/>
      <c r="G282" s="306"/>
      <c r="H282" s="306"/>
      <c r="I282" s="271"/>
      <c r="J282" s="306"/>
      <c r="K282" s="306"/>
      <c r="L282" s="306"/>
      <c r="M282" s="306"/>
      <c r="N282" s="306"/>
      <c r="O282" s="306"/>
      <c r="P282" s="307"/>
      <c r="Q282" s="257"/>
      <c r="S282" s="3487"/>
    </row>
    <row r="283" spans="2:19" ht="14.25" customHeight="1">
      <c r="B283" s="253"/>
      <c r="C283" s="366"/>
      <c r="D283" s="256"/>
      <c r="E283" s="256"/>
      <c r="F283" s="256"/>
      <c r="G283" s="256"/>
      <c r="H283" s="256"/>
      <c r="I283" s="256"/>
      <c r="J283" s="256"/>
      <c r="K283" s="256"/>
      <c r="L283" s="256"/>
      <c r="M283" s="256"/>
      <c r="N283" s="256"/>
      <c r="O283" s="256"/>
      <c r="P283" s="256"/>
      <c r="Q283" s="257"/>
      <c r="S283" s="3487"/>
    </row>
    <row r="284" spans="2:19" ht="17.25" customHeight="1">
      <c r="B284" s="253"/>
      <c r="C284" s="668" t="s">
        <v>567</v>
      </c>
      <c r="D284" s="256"/>
      <c r="E284" s="256"/>
      <c r="F284" s="256"/>
      <c r="G284" s="256"/>
      <c r="H284" s="256"/>
      <c r="I284" s="256"/>
      <c r="J284" s="256"/>
      <c r="K284" s="256"/>
      <c r="L284" s="256"/>
      <c r="M284" s="256"/>
      <c r="N284" s="256"/>
      <c r="O284" s="256"/>
      <c r="P284" s="256"/>
      <c r="Q284" s="257"/>
      <c r="S284" s="3487"/>
    </row>
    <row r="285" spans="2:19" ht="18" customHeight="1">
      <c r="B285" s="253"/>
      <c r="C285" s="160"/>
      <c r="D285" s="650"/>
      <c r="E285" s="3270" t="s">
        <v>568</v>
      </c>
      <c r="F285" s="3270"/>
      <c r="G285" s="3270"/>
      <c r="H285" s="3271"/>
      <c r="I285" s="353" t="str">
        <f>IF((OR(ISBLANK(F617),ISBLANK(F618),ISBLANK(K617),ISBLANK(K618))=FALSE),"Complété","À compléter")</f>
        <v>À compléter</v>
      </c>
      <c r="J285" s="3265" t="s">
        <v>3454</v>
      </c>
      <c r="K285" s="3265"/>
      <c r="L285" s="3265"/>
      <c r="M285" s="3265"/>
      <c r="N285" s="3265"/>
      <c r="O285" s="3265"/>
      <c r="P285" s="3265"/>
      <c r="Q285" s="257"/>
      <c r="S285" s="3487"/>
    </row>
    <row r="286" spans="2:19" ht="6.75" customHeight="1">
      <c r="B286" s="253"/>
      <c r="C286" s="256"/>
      <c r="D286" s="650"/>
      <c r="E286" s="650"/>
      <c r="F286" s="650"/>
      <c r="G286" s="650"/>
      <c r="H286" s="650"/>
      <c r="I286" s="256"/>
      <c r="J286" s="355"/>
      <c r="K286" s="355"/>
      <c r="L286" s="355"/>
      <c r="M286" s="355"/>
      <c r="N286" s="355"/>
      <c r="O286" s="355"/>
      <c r="P286" s="355"/>
      <c r="Q286" s="257"/>
      <c r="S286" s="3487"/>
    </row>
    <row r="287" spans="2:19" ht="18" customHeight="1">
      <c r="B287" s="253"/>
      <c r="C287" s="256"/>
      <c r="D287" s="3270" t="s">
        <v>569</v>
      </c>
      <c r="E287" s="3270"/>
      <c r="F287" s="3270"/>
      <c r="G287" s="3270"/>
      <c r="H287" s="3271"/>
      <c r="I287" s="353" t="str">
        <f>IF((OR(ISBLANK(F679),ISBLANK(K679))=FALSE),"Complété","À compléter")</f>
        <v>À compléter</v>
      </c>
      <c r="J287" s="3265" t="s">
        <v>3455</v>
      </c>
      <c r="K287" s="3265"/>
      <c r="L287" s="3265"/>
      <c r="M287" s="3265"/>
      <c r="N287" s="3265"/>
      <c r="O287" s="3265"/>
      <c r="P287" s="3265"/>
      <c r="Q287" s="257"/>
      <c r="S287" s="3487"/>
    </row>
    <row r="288" spans="2:19" ht="17.25" customHeight="1">
      <c r="B288" s="253"/>
      <c r="C288" s="256"/>
      <c r="D288" s="459"/>
      <c r="E288" s="459"/>
      <c r="F288" s="459"/>
      <c r="G288" s="459"/>
      <c r="H288" s="459"/>
      <c r="I288" s="461"/>
      <c r="J288" s="649"/>
      <c r="K288" s="649"/>
      <c r="L288" s="649"/>
      <c r="M288" s="649"/>
      <c r="N288" s="649"/>
      <c r="O288" s="649"/>
      <c r="P288" s="649"/>
      <c r="Q288" s="257"/>
      <c r="S288" s="3487"/>
    </row>
    <row r="289" spans="1:19" ht="18" customHeight="1">
      <c r="B289" s="253"/>
      <c r="C289" s="667" t="s">
        <v>570</v>
      </c>
      <c r="D289" s="459"/>
      <c r="E289" s="459"/>
      <c r="F289" s="459"/>
      <c r="G289" s="160"/>
      <c r="H289" s="3245" t="s">
        <v>608</v>
      </c>
      <c r="I289" s="3245"/>
      <c r="J289" s="160"/>
      <c r="K289" s="160"/>
      <c r="L289" s="649"/>
      <c r="M289" s="649"/>
      <c r="N289" s="649"/>
      <c r="O289" s="649"/>
      <c r="P289" s="649"/>
      <c r="Q289" s="257"/>
      <c r="S289" s="3487"/>
    </row>
    <row r="290" spans="1:19" ht="13.5" customHeight="1" thickBot="1">
      <c r="B290" s="278"/>
      <c r="C290" s="279"/>
      <c r="D290" s="279"/>
      <c r="E290" s="279"/>
      <c r="F290" s="279"/>
      <c r="G290" s="279"/>
      <c r="H290" s="279"/>
      <c r="I290" s="279"/>
      <c r="J290" s="279"/>
      <c r="K290" s="279"/>
      <c r="L290" s="279"/>
      <c r="M290" s="279"/>
      <c r="N290" s="279"/>
      <c r="O290" s="279"/>
      <c r="P290" s="279"/>
      <c r="Q290" s="280"/>
      <c r="S290" s="3488"/>
    </row>
    <row r="291" spans="1:19" ht="15" thickBot="1">
      <c r="B291" s="683"/>
      <c r="S291" s="614"/>
    </row>
    <row r="292" spans="1:19" ht="22.5" customHeight="1" thickBot="1">
      <c r="A292" s="1187"/>
      <c r="B292" s="237" t="s">
        <v>609</v>
      </c>
      <c r="C292" s="237"/>
      <c r="D292" s="237"/>
      <c r="E292" s="237"/>
      <c r="F292" s="237"/>
      <c r="G292" s="237"/>
      <c r="H292" s="237"/>
      <c r="I292" s="237"/>
      <c r="J292" s="237"/>
      <c r="K292" s="237"/>
      <c r="L292" s="238"/>
      <c r="M292" s="238"/>
      <c r="N292" s="238"/>
      <c r="O292" s="3173" t="s">
        <v>155</v>
      </c>
      <c r="P292" s="3173"/>
      <c r="Q292" s="3173"/>
      <c r="S292" s="615" t="s">
        <v>521</v>
      </c>
    </row>
    <row r="293" spans="1:19" ht="9.75" customHeight="1" thickBot="1">
      <c r="S293" s="616"/>
    </row>
    <row r="294" spans="1:19" ht="8.25" customHeight="1">
      <c r="B294" s="241"/>
      <c r="C294" s="242"/>
      <c r="D294" s="242"/>
      <c r="E294" s="243"/>
      <c r="F294" s="244"/>
      <c r="G294" s="244"/>
      <c r="H294" s="244"/>
      <c r="I294" s="244"/>
      <c r="J294" s="244"/>
      <c r="K294" s="244"/>
      <c r="L294" s="244"/>
      <c r="M294" s="244"/>
      <c r="N294" s="244"/>
      <c r="O294" s="244"/>
      <c r="P294" s="244"/>
      <c r="Q294" s="245"/>
      <c r="S294" s="3486"/>
    </row>
    <row r="295" spans="1:19" ht="18" customHeight="1">
      <c r="B295" s="246"/>
      <c r="C295" s="247" t="s">
        <v>610</v>
      </c>
      <c r="D295" s="247"/>
      <c r="E295" s="248"/>
      <c r="F295" s="160"/>
      <c r="G295" s="160"/>
      <c r="H295" s="160"/>
      <c r="I295" s="160"/>
      <c r="J295" s="160"/>
      <c r="K295" s="160"/>
      <c r="L295" s="160"/>
      <c r="M295" s="160"/>
      <c r="N295" s="249" t="s">
        <v>219</v>
      </c>
      <c r="O295" s="353" t="str">
        <f>IF(OR(ISBLANK(H302))=FALSE,"Complété","À compléter")</f>
        <v>À compléter</v>
      </c>
      <c r="P295" s="160"/>
      <c r="Q295" s="250"/>
      <c r="S295" s="3487"/>
    </row>
    <row r="296" spans="1:19" ht="8.25" customHeight="1">
      <c r="B296" s="251"/>
      <c r="C296" s="252"/>
      <c r="D296" s="252"/>
      <c r="E296" s="252"/>
      <c r="F296" s="160"/>
      <c r="G296" s="160"/>
      <c r="H296" s="160"/>
      <c r="I296" s="160"/>
      <c r="J296" s="160"/>
      <c r="K296" s="160"/>
      <c r="L296" s="160"/>
      <c r="M296" s="160"/>
      <c r="N296" s="160"/>
      <c r="O296" s="160"/>
      <c r="P296" s="160"/>
      <c r="Q296" s="250"/>
      <c r="S296" s="3487"/>
    </row>
    <row r="297" spans="1:19" ht="17.25" customHeight="1">
      <c r="B297" s="251"/>
      <c r="C297" s="3182" t="s">
        <v>531</v>
      </c>
      <c r="D297" s="3182"/>
      <c r="E297" s="3182"/>
      <c r="F297" s="3182"/>
      <c r="G297" s="3182"/>
      <c r="H297" s="3182"/>
      <c r="I297" s="3182"/>
      <c r="J297" s="3182"/>
      <c r="K297" s="3182"/>
      <c r="L297" s="3182"/>
      <c r="M297" s="3182"/>
      <c r="N297" s="160"/>
      <c r="O297" s="160"/>
      <c r="P297" s="160"/>
      <c r="Q297" s="250"/>
      <c r="S297" s="3487"/>
    </row>
    <row r="298" spans="1:19" ht="15" customHeight="1">
      <c r="B298" s="251"/>
      <c r="C298" s="252"/>
      <c r="D298" s="252"/>
      <c r="E298" s="252"/>
      <c r="F298" s="160"/>
      <c r="G298" s="160"/>
      <c r="H298" s="160"/>
      <c r="I298" s="160"/>
      <c r="J298" s="160"/>
      <c r="K298" s="160"/>
      <c r="L298" s="160"/>
      <c r="M298" s="160"/>
      <c r="N298" s="160"/>
      <c r="O298" s="160"/>
      <c r="P298" s="160"/>
      <c r="Q298" s="250"/>
      <c r="S298" s="3487"/>
    </row>
    <row r="299" spans="1:19" ht="18.75" customHeight="1">
      <c r="B299" s="253"/>
      <c r="C299" s="641" t="s">
        <v>3463</v>
      </c>
      <c r="D299" s="255"/>
      <c r="E299" s="256"/>
      <c r="F299" s="256"/>
      <c r="G299" s="256"/>
      <c r="H299" s="256"/>
      <c r="I299" s="256"/>
      <c r="J299" s="256"/>
      <c r="K299" s="256"/>
      <c r="L299" s="256"/>
      <c r="M299" s="256"/>
      <c r="N299" s="256"/>
      <c r="O299" s="256"/>
      <c r="P299" s="256"/>
      <c r="Q299" s="257"/>
      <c r="S299" s="3487"/>
    </row>
    <row r="300" spans="1:19" ht="6" customHeight="1">
      <c r="B300" s="253"/>
      <c r="C300" s="373"/>
      <c r="D300" s="255"/>
      <c r="E300" s="256"/>
      <c r="F300" s="256"/>
      <c r="G300" s="256"/>
      <c r="H300" s="256"/>
      <c r="I300" s="256"/>
      <c r="J300" s="256"/>
      <c r="K300" s="256"/>
      <c r="L300" s="256"/>
      <c r="M300" s="256"/>
      <c r="N300" s="256"/>
      <c r="O300" s="256"/>
      <c r="P300" s="256"/>
      <c r="Q300" s="257"/>
      <c r="S300" s="3487"/>
    </row>
    <row r="301" spans="1:19" ht="14.25" customHeight="1">
      <c r="B301" s="253"/>
      <c r="C301" s="635"/>
      <c r="D301" s="259"/>
      <c r="E301" s="260"/>
      <c r="F301" s="260"/>
      <c r="G301" s="260"/>
      <c r="H301" s="260"/>
      <c r="I301" s="260"/>
      <c r="J301" s="260"/>
      <c r="K301" s="260"/>
      <c r="L301" s="260"/>
      <c r="M301" s="260"/>
      <c r="N301" s="260"/>
      <c r="O301" s="260"/>
      <c r="P301" s="261"/>
      <c r="Q301" s="257"/>
      <c r="S301" s="3487"/>
    </row>
    <row r="302" spans="1:19" ht="15.75" customHeight="1">
      <c r="B302" s="486" t="str">
        <f>IF(ISBLANK(H302)=FALSE,"","u")</f>
        <v>u</v>
      </c>
      <c r="C302" s="3351" t="s">
        <v>3464</v>
      </c>
      <c r="D302" s="3352"/>
      <c r="E302" s="3352"/>
      <c r="F302" s="3352"/>
      <c r="G302" s="3352"/>
      <c r="H302" s="3306"/>
      <c r="I302" s="3307"/>
      <c r="J302" s="3307"/>
      <c r="K302" s="3308"/>
      <c r="L302" s="3531" t="str">
        <f>IF(OR(ISBLANK(H302),H302='MENU DÉROULANT'!C97),"","Vous pouvez donc passer à la section suivante du PGA.")</f>
        <v/>
      </c>
      <c r="M302" s="3532"/>
      <c r="N302" s="3532"/>
      <c r="O302" s="3532"/>
      <c r="P302" s="266"/>
      <c r="Q302" s="257"/>
      <c r="S302" s="3487"/>
    </row>
    <row r="303" spans="1:19" ht="15.75" customHeight="1">
      <c r="B303" s="486" t="s">
        <v>552</v>
      </c>
      <c r="C303" s="3351"/>
      <c r="D303" s="3352"/>
      <c r="E303" s="3352"/>
      <c r="F303" s="3352"/>
      <c r="G303" s="3352"/>
      <c r="H303" s="3309"/>
      <c r="I303" s="3310"/>
      <c r="J303" s="3310"/>
      <c r="K303" s="3311"/>
      <c r="L303" s="3222" t="str">
        <f>IF(OR(ISBLANK(H302),H302='MENU DÉROULANT'!C97),"","Notez toutefois que dans ce cas, aucun visuel n'apparaitra dans le sommaire concernant la gestion de la demande à venir.")</f>
        <v/>
      </c>
      <c r="M303" s="3222"/>
      <c r="N303" s="3222"/>
      <c r="O303" s="3222"/>
      <c r="P303" s="673"/>
      <c r="Q303" s="369"/>
      <c r="S303" s="3487"/>
    </row>
    <row r="304" spans="1:19" ht="16.5" customHeight="1">
      <c r="B304" s="253"/>
      <c r="C304" s="636"/>
      <c r="D304" s="634"/>
      <c r="E304" s="85"/>
      <c r="F304" s="85"/>
      <c r="G304" s="85"/>
      <c r="H304" s="85"/>
      <c r="I304" s="85"/>
      <c r="J304" s="85"/>
      <c r="K304" s="85"/>
      <c r="L304" s="3223"/>
      <c r="M304" s="3223"/>
      <c r="N304" s="3223"/>
      <c r="O304" s="3223"/>
      <c r="P304" s="605"/>
      <c r="Q304" s="369"/>
      <c r="S304" s="3487"/>
    </row>
    <row r="305" spans="2:19" ht="31.5" customHeight="1">
      <c r="B305" s="486"/>
      <c r="C305" s="379"/>
      <c r="D305" s="291"/>
      <c r="E305" s="645"/>
      <c r="F305" s="3179" t="s">
        <v>539</v>
      </c>
      <c r="G305" s="3179"/>
      <c r="H305" s="3090"/>
      <c r="I305" s="3091"/>
      <c r="J305" s="3091"/>
      <c r="K305" s="3091"/>
      <c r="L305" s="3091"/>
      <c r="M305" s="3091"/>
      <c r="N305" s="3091"/>
      <c r="O305" s="3092"/>
      <c r="P305" s="604"/>
      <c r="Q305" s="257"/>
      <c r="S305" s="3487"/>
    </row>
    <row r="306" spans="2:19" ht="15" customHeight="1">
      <c r="B306" s="253"/>
      <c r="C306" s="637"/>
      <c r="D306" s="638"/>
      <c r="E306" s="306"/>
      <c r="F306" s="306"/>
      <c r="G306" s="306"/>
      <c r="H306" s="306"/>
      <c r="I306" s="306"/>
      <c r="J306" s="306"/>
      <c r="K306" s="306"/>
      <c r="L306" s="306"/>
      <c r="M306" s="639"/>
      <c r="N306" s="639"/>
      <c r="O306" s="639"/>
      <c r="P306" s="640"/>
      <c r="Q306" s="369"/>
      <c r="S306" s="3487"/>
    </row>
    <row r="307" spans="2:19" ht="18.75" customHeight="1">
      <c r="B307" s="253"/>
      <c r="C307" s="255"/>
      <c r="D307" s="255"/>
      <c r="E307" s="256"/>
      <c r="F307" s="256"/>
      <c r="G307" s="256"/>
      <c r="H307" s="256"/>
      <c r="I307" s="256"/>
      <c r="J307" s="256"/>
      <c r="K307" s="256"/>
      <c r="L307" s="256"/>
      <c r="M307" s="256"/>
      <c r="N307" s="256"/>
      <c r="O307" s="256"/>
      <c r="P307" s="256"/>
      <c r="Q307" s="257"/>
      <c r="S307" s="3487"/>
    </row>
    <row r="308" spans="2:19" ht="10.5" customHeight="1">
      <c r="B308" s="253"/>
      <c r="C308" s="258"/>
      <c r="D308" s="259"/>
      <c r="E308" s="260"/>
      <c r="F308" s="260"/>
      <c r="G308" s="260"/>
      <c r="H308" s="260"/>
      <c r="I308" s="260"/>
      <c r="J308" s="260"/>
      <c r="K308" s="260"/>
      <c r="L308" s="260"/>
      <c r="M308" s="260"/>
      <c r="N308" s="260"/>
      <c r="O308" s="260"/>
      <c r="P308" s="261"/>
      <c r="Q308" s="257"/>
      <c r="S308" s="3487"/>
    </row>
    <row r="309" spans="2:19" ht="21.75" customHeight="1">
      <c r="B309" s="253"/>
      <c r="C309" s="644" t="s">
        <v>3465</v>
      </c>
      <c r="D309" s="315"/>
      <c r="E309" s="85"/>
      <c r="F309" s="357"/>
      <c r="G309" s="357"/>
      <c r="H309" s="602"/>
      <c r="I309" s="55"/>
      <c r="J309" s="85"/>
      <c r="K309" s="85"/>
      <c r="L309" s="85"/>
      <c r="M309" s="357"/>
      <c r="N309" s="357"/>
      <c r="O309" s="976"/>
      <c r="P309" s="604"/>
      <c r="Q309" s="257"/>
      <c r="S309" s="3487"/>
    </row>
    <row r="310" spans="2:19" ht="15.75" customHeight="1">
      <c r="B310" s="253"/>
      <c r="C310" s="356"/>
      <c r="D310" s="315"/>
      <c r="E310" s="85"/>
      <c r="F310" s="85"/>
      <c r="G310" s="85"/>
      <c r="H310" s="85"/>
      <c r="I310" s="55"/>
      <c r="J310" s="85"/>
      <c r="K310" s="85"/>
      <c r="L310" s="85"/>
      <c r="M310" s="85"/>
      <c r="N310" s="85"/>
      <c r="O310" s="85"/>
      <c r="P310" s="266"/>
      <c r="Q310" s="257"/>
      <c r="S310" s="3487"/>
    </row>
    <row r="311" spans="2:19" s="72" customFormat="1" ht="21.75" customHeight="1" thickBot="1">
      <c r="B311" s="253"/>
      <c r="C311" s="362"/>
      <c r="D311" s="3329" t="s">
        <v>27</v>
      </c>
      <c r="E311" s="3329"/>
      <c r="F311" s="3286" t="s">
        <v>611</v>
      </c>
      <c r="G311" s="3287"/>
      <c r="H311" s="3288"/>
      <c r="I311" s="619" t="s">
        <v>612</v>
      </c>
      <c r="J311" s="621"/>
      <c r="K311" s="620"/>
      <c r="L311" s="620"/>
      <c r="M311" s="620"/>
      <c r="N311" s="620"/>
      <c r="O311" s="351"/>
      <c r="P311" s="266"/>
      <c r="Q311" s="257"/>
      <c r="S311" s="3487"/>
    </row>
    <row r="312" spans="2:19" ht="35.25" customHeight="1" thickTop="1">
      <c r="B312" s="486" t="str">
        <f>IF(ISBLANK(F312)=FALSE,"","w")</f>
        <v>w</v>
      </c>
      <c r="C312" s="363"/>
      <c r="D312" s="3327" t="s">
        <v>37</v>
      </c>
      <c r="E312" s="3328"/>
      <c r="F312" s="3355"/>
      <c r="G312" s="3356"/>
      <c r="H312" s="3357"/>
      <c r="I312" s="3527"/>
      <c r="J312" s="3528"/>
      <c r="K312" s="3528"/>
      <c r="L312" s="3528"/>
      <c r="M312" s="3528"/>
      <c r="N312" s="3528"/>
      <c r="O312" s="3529"/>
      <c r="P312" s="266"/>
      <c r="Q312" s="257"/>
      <c r="S312" s="3487"/>
    </row>
    <row r="313" spans="2:19" ht="35.25" customHeight="1">
      <c r="B313" s="486" t="str">
        <f>IF(ISBLANK(F313)=FALSE,"","w")</f>
        <v>w</v>
      </c>
      <c r="C313" s="363"/>
      <c r="D313" s="3207" t="s">
        <v>38</v>
      </c>
      <c r="E313" s="3208"/>
      <c r="F313" s="3315"/>
      <c r="G313" s="3316"/>
      <c r="H313" s="3317"/>
      <c r="I313" s="3176"/>
      <c r="J313" s="3177"/>
      <c r="K313" s="3177"/>
      <c r="L313" s="3177"/>
      <c r="M313" s="3177"/>
      <c r="N313" s="3177"/>
      <c r="O313" s="3178"/>
      <c r="P313" s="266"/>
      <c r="Q313" s="257"/>
      <c r="S313" s="3487"/>
    </row>
    <row r="314" spans="2:19" ht="35.25" customHeight="1">
      <c r="B314" s="486" t="str">
        <f>IF(ISBLANK(F314)=FALSE,"","w")</f>
        <v>w</v>
      </c>
      <c r="C314" s="363"/>
      <c r="D314" s="3207" t="s">
        <v>39</v>
      </c>
      <c r="E314" s="3208"/>
      <c r="F314" s="3315"/>
      <c r="G314" s="3316"/>
      <c r="H314" s="3317"/>
      <c r="I314" s="3176"/>
      <c r="J314" s="3177"/>
      <c r="K314" s="3177"/>
      <c r="L314" s="3177"/>
      <c r="M314" s="3177"/>
      <c r="N314" s="3177"/>
      <c r="O314" s="3178"/>
      <c r="P314" s="266"/>
      <c r="Q314" s="257"/>
      <c r="S314" s="3487"/>
    </row>
    <row r="315" spans="2:19" ht="35.25" customHeight="1">
      <c r="B315" s="486" t="str">
        <f>IF(ISBLANK(F315)=FALSE,"","w")</f>
        <v>w</v>
      </c>
      <c r="C315" s="363"/>
      <c r="D315" s="3207" t="s">
        <v>40</v>
      </c>
      <c r="E315" s="3208"/>
      <c r="F315" s="3315"/>
      <c r="G315" s="3316"/>
      <c r="H315" s="3317"/>
      <c r="I315" s="3176"/>
      <c r="J315" s="3177"/>
      <c r="K315" s="3177"/>
      <c r="L315" s="3177"/>
      <c r="M315" s="3177"/>
      <c r="N315" s="3177"/>
      <c r="O315" s="3178"/>
      <c r="P315" s="266"/>
      <c r="Q315" s="257"/>
      <c r="S315" s="3487"/>
    </row>
    <row r="316" spans="2:19" ht="35.25" customHeight="1">
      <c r="B316" s="486" t="str">
        <f>IF(ISBLANK(F316)=FALSE,"","w")</f>
        <v>w</v>
      </c>
      <c r="C316" s="363"/>
      <c r="D316" s="3207" t="s">
        <v>41</v>
      </c>
      <c r="E316" s="3208"/>
      <c r="F316" s="3315"/>
      <c r="G316" s="3316"/>
      <c r="H316" s="3317"/>
      <c r="I316" s="3176"/>
      <c r="J316" s="3177"/>
      <c r="K316" s="3177"/>
      <c r="L316" s="3177"/>
      <c r="M316" s="3177"/>
      <c r="N316" s="3177"/>
      <c r="O316" s="3178"/>
      <c r="P316" s="266"/>
      <c r="Q316" s="257"/>
      <c r="S316" s="3487"/>
    </row>
    <row r="317" spans="2:19" ht="35.25" customHeight="1">
      <c r="B317" s="253"/>
      <c r="C317" s="363"/>
      <c r="D317" s="400" t="s">
        <v>605</v>
      </c>
      <c r="E317" s="1020"/>
      <c r="F317" s="3294"/>
      <c r="G317" s="3295"/>
      <c r="H317" s="3296"/>
      <c r="I317" s="3303"/>
      <c r="J317" s="3304"/>
      <c r="K317" s="3304"/>
      <c r="L317" s="3304"/>
      <c r="M317" s="3304"/>
      <c r="N317" s="3304"/>
      <c r="O317" s="3305"/>
      <c r="P317" s="604"/>
      <c r="Q317" s="257"/>
      <c r="S317" s="3487"/>
    </row>
    <row r="318" spans="2:19" ht="22.5" customHeight="1">
      <c r="B318" s="253"/>
      <c r="C318" s="358"/>
      <c r="D318" s="359"/>
      <c r="E318" s="360"/>
      <c r="F318" s="361"/>
      <c r="G318" s="360"/>
      <c r="H318" s="602"/>
      <c r="I318" s="55"/>
      <c r="J318" s="645"/>
      <c r="K318" s="602"/>
      <c r="L318" s="645"/>
      <c r="M318" s="602"/>
      <c r="N318" s="645"/>
      <c r="O318" s="602"/>
      <c r="P318" s="604"/>
      <c r="Q318" s="257"/>
      <c r="S318" s="3487"/>
    </row>
    <row r="319" spans="2:19" ht="20.25" customHeight="1">
      <c r="B319" s="253"/>
      <c r="C319" s="3312" t="s">
        <v>613</v>
      </c>
      <c r="D319" s="3313"/>
      <c r="E319" s="3314"/>
      <c r="F319" s="3297"/>
      <c r="G319" s="3298"/>
      <c r="H319" s="3298"/>
      <c r="I319" s="3298"/>
      <c r="J319" s="3298"/>
      <c r="K319" s="3298"/>
      <c r="L319" s="3298"/>
      <c r="M319" s="3298"/>
      <c r="N319" s="3298"/>
      <c r="O319" s="3299"/>
      <c r="P319" s="604"/>
      <c r="Q319" s="257"/>
      <c r="S319" s="3487"/>
    </row>
    <row r="320" spans="2:19" ht="20.25" customHeight="1">
      <c r="B320" s="253"/>
      <c r="C320" s="3312"/>
      <c r="D320" s="3313"/>
      <c r="E320" s="3314"/>
      <c r="F320" s="3300"/>
      <c r="G320" s="3301"/>
      <c r="H320" s="3301"/>
      <c r="I320" s="3301"/>
      <c r="J320" s="3301"/>
      <c r="K320" s="3301"/>
      <c r="L320" s="3301"/>
      <c r="M320" s="3301"/>
      <c r="N320" s="3301"/>
      <c r="O320" s="3302"/>
      <c r="P320" s="604"/>
      <c r="Q320" s="257"/>
      <c r="S320" s="3487"/>
    </row>
    <row r="321" spans="1:19" ht="17.25" customHeight="1">
      <c r="B321" s="253"/>
      <c r="C321" s="664"/>
      <c r="D321" s="315"/>
      <c r="E321" s="645"/>
      <c r="F321" s="602"/>
      <c r="G321" s="645"/>
      <c r="H321" s="602"/>
      <c r="I321" s="55"/>
      <c r="J321" s="645"/>
      <c r="K321" s="602"/>
      <c r="L321" s="645"/>
      <c r="M321" s="602"/>
      <c r="N321" s="645"/>
      <c r="O321" s="602"/>
      <c r="P321" s="604"/>
      <c r="Q321" s="257"/>
      <c r="S321" s="3487"/>
    </row>
    <row r="322" spans="1:19" ht="18" customHeight="1">
      <c r="B322" s="253"/>
      <c r="C322" s="757" t="s">
        <v>614</v>
      </c>
      <c r="D322" s="758"/>
      <c r="E322" s="759"/>
      <c r="F322" s="760"/>
      <c r="G322" s="760"/>
      <c r="H322" s="761"/>
      <c r="I322" s="762"/>
      <c r="J322" s="759"/>
      <c r="K322" s="759"/>
      <c r="L322" s="759"/>
      <c r="M322" s="760"/>
      <c r="N322" s="760"/>
      <c r="O322" s="763"/>
      <c r="P322" s="764"/>
      <c r="Q322" s="257"/>
      <c r="S322" s="3487"/>
    </row>
    <row r="323" spans="1:19" ht="18" customHeight="1">
      <c r="B323" s="253"/>
      <c r="C323" s="765" t="s">
        <v>583</v>
      </c>
      <c r="D323" s="758"/>
      <c r="E323" s="759"/>
      <c r="F323" s="760"/>
      <c r="G323" s="760"/>
      <c r="H323" s="761"/>
      <c r="I323" s="762"/>
      <c r="J323" s="614"/>
      <c r="K323" s="766"/>
      <c r="L323" s="759"/>
      <c r="M323" s="760"/>
      <c r="N323" s="760"/>
      <c r="O323" s="763"/>
      <c r="P323" s="764"/>
      <c r="Q323" s="257"/>
      <c r="S323" s="3487"/>
    </row>
    <row r="324" spans="1:19" ht="16.5" customHeight="1">
      <c r="B324" s="253"/>
      <c r="C324" s="767"/>
      <c r="D324" s="758"/>
      <c r="E324" s="759"/>
      <c r="F324" s="760"/>
      <c r="G324" s="760"/>
      <c r="H324" s="761"/>
      <c r="I324" s="762"/>
      <c r="J324" s="768" t="s">
        <v>584</v>
      </c>
      <c r="K324" s="614"/>
      <c r="L324" s="759"/>
      <c r="M324" s="760"/>
      <c r="N324" s="760"/>
      <c r="O324" s="763"/>
      <c r="P324" s="764"/>
      <c r="Q324" s="257"/>
      <c r="S324" s="3487"/>
    </row>
    <row r="325" spans="1:19" ht="18" customHeight="1">
      <c r="B325" s="253"/>
      <c r="C325" s="601"/>
      <c r="D325" s="277"/>
      <c r="E325" s="306"/>
      <c r="F325" s="306"/>
      <c r="G325" s="306"/>
      <c r="H325" s="306"/>
      <c r="I325" s="271"/>
      <c r="J325" s="306"/>
      <c r="K325" s="306"/>
      <c r="L325" s="306"/>
      <c r="M325" s="306"/>
      <c r="N325" s="306"/>
      <c r="O325" s="306"/>
      <c r="P325" s="307"/>
      <c r="Q325" s="257"/>
      <c r="S325" s="3487"/>
    </row>
    <row r="326" spans="1:19" ht="18.75" customHeight="1">
      <c r="B326" s="253"/>
      <c r="C326" s="366"/>
      <c r="D326" s="256"/>
      <c r="E326" s="256"/>
      <c r="F326" s="256"/>
      <c r="G326" s="256"/>
      <c r="H326" s="256"/>
      <c r="I326" s="256"/>
      <c r="J326" s="256"/>
      <c r="K326" s="256"/>
      <c r="L326" s="256"/>
      <c r="M326" s="256"/>
      <c r="N326" s="256"/>
      <c r="O326" s="256"/>
      <c r="P326" s="256"/>
      <c r="Q326" s="257"/>
      <c r="S326" s="3487"/>
    </row>
    <row r="327" spans="1:19" ht="17.25" customHeight="1">
      <c r="B327" s="253"/>
      <c r="C327" s="668" t="s">
        <v>567</v>
      </c>
      <c r="D327" s="256"/>
      <c r="E327" s="256"/>
      <c r="F327" s="256"/>
      <c r="G327" s="256"/>
      <c r="H327" s="256"/>
      <c r="I327" s="256"/>
      <c r="J327" s="256"/>
      <c r="K327" s="256"/>
      <c r="L327" s="256"/>
      <c r="M327" s="256"/>
      <c r="N327" s="256"/>
      <c r="O327" s="256"/>
      <c r="P327" s="256"/>
      <c r="Q327" s="257"/>
      <c r="S327" s="3487"/>
    </row>
    <row r="328" spans="1:19" ht="18" customHeight="1">
      <c r="B328" s="253"/>
      <c r="C328" s="160"/>
      <c r="D328" s="650"/>
      <c r="E328" s="3270" t="s">
        <v>568</v>
      </c>
      <c r="F328" s="3270"/>
      <c r="G328" s="3270"/>
      <c r="H328" s="3271"/>
      <c r="I328" s="353" t="str">
        <f>IF((OR(ISBLANK(F622),ISBLANK(K622))=FALSE),"Complété","À compléter")</f>
        <v>À compléter</v>
      </c>
      <c r="J328" s="3265" t="s">
        <v>3454</v>
      </c>
      <c r="K328" s="3265"/>
      <c r="L328" s="3265"/>
      <c r="M328" s="3265"/>
      <c r="N328" s="3265"/>
      <c r="O328" s="3265"/>
      <c r="P328" s="3265"/>
      <c r="Q328" s="257"/>
      <c r="S328" s="3487"/>
    </row>
    <row r="329" spans="1:19" ht="6.75" customHeight="1">
      <c r="B329" s="253"/>
      <c r="C329" s="256"/>
      <c r="D329" s="650"/>
      <c r="E329" s="650"/>
      <c r="F329" s="650"/>
      <c r="G329" s="650"/>
      <c r="H329" s="650"/>
      <c r="I329" s="256"/>
      <c r="J329" s="355"/>
      <c r="K329" s="355"/>
      <c r="L329" s="355"/>
      <c r="M329" s="355"/>
      <c r="N329" s="355"/>
      <c r="O329" s="355"/>
      <c r="P329" s="355"/>
      <c r="Q329" s="257"/>
      <c r="S329" s="3487"/>
    </row>
    <row r="330" spans="1:19" ht="18" customHeight="1">
      <c r="B330" s="253"/>
      <c r="C330" s="256"/>
      <c r="D330" s="3270" t="s">
        <v>569</v>
      </c>
      <c r="E330" s="3270"/>
      <c r="F330" s="3270"/>
      <c r="G330" s="3270"/>
      <c r="H330" s="3271"/>
      <c r="I330" s="353" t="str">
        <f>IF((OR(ISBLANK(F682),ISBLANK(K682))=FALSE),"Complété","À compléter")</f>
        <v>À compléter</v>
      </c>
      <c r="J330" s="3265" t="s">
        <v>3455</v>
      </c>
      <c r="K330" s="3265"/>
      <c r="L330" s="3265"/>
      <c r="M330" s="3265"/>
      <c r="N330" s="3265"/>
      <c r="O330" s="3265"/>
      <c r="P330" s="3265"/>
      <c r="Q330" s="257"/>
      <c r="S330" s="3487"/>
    </row>
    <row r="331" spans="1:19" ht="17.25" customHeight="1">
      <c r="B331" s="253"/>
      <c r="C331" s="256"/>
      <c r="D331" s="459"/>
      <c r="E331" s="459"/>
      <c r="F331" s="459"/>
      <c r="G331" s="459"/>
      <c r="H331" s="459"/>
      <c r="I331" s="461"/>
      <c r="J331" s="649"/>
      <c r="K331" s="649"/>
      <c r="L331" s="649"/>
      <c r="M331" s="649"/>
      <c r="N331" s="649"/>
      <c r="O331" s="649"/>
      <c r="P331" s="649"/>
      <c r="Q331" s="257"/>
      <c r="S331" s="3487"/>
    </row>
    <row r="332" spans="1:19" ht="18" customHeight="1">
      <c r="B332" s="253"/>
      <c r="C332" s="667" t="s">
        <v>570</v>
      </c>
      <c r="D332" s="459"/>
      <c r="E332" s="459"/>
      <c r="F332" s="459"/>
      <c r="G332" s="160"/>
      <c r="H332" s="3245" t="s">
        <v>615</v>
      </c>
      <c r="I332" s="3245"/>
      <c r="J332" s="160"/>
      <c r="K332" s="160"/>
      <c r="L332" s="649"/>
      <c r="M332" s="649"/>
      <c r="N332" s="649"/>
      <c r="O332" s="649"/>
      <c r="P332" s="649"/>
      <c r="Q332" s="257"/>
      <c r="S332" s="3487"/>
    </row>
    <row r="333" spans="1:19" ht="17.25" customHeight="1" thickBot="1">
      <c r="B333" s="278"/>
      <c r="C333" s="279"/>
      <c r="D333" s="279"/>
      <c r="E333" s="279"/>
      <c r="F333" s="279"/>
      <c r="G333" s="279"/>
      <c r="H333" s="279"/>
      <c r="I333" s="279"/>
      <c r="J333" s="279"/>
      <c r="K333" s="279"/>
      <c r="L333" s="279"/>
      <c r="M333" s="279"/>
      <c r="N333" s="279"/>
      <c r="O333" s="279"/>
      <c r="P333" s="279"/>
      <c r="Q333" s="280"/>
      <c r="S333" s="3488"/>
    </row>
    <row r="334" spans="1:19" ht="9.75" customHeight="1" thickBot="1">
      <c r="B334" s="683"/>
      <c r="S334" s="614"/>
    </row>
    <row r="335" spans="1:19" ht="22.5" customHeight="1" thickBot="1">
      <c r="A335" s="1187"/>
      <c r="B335" s="237" t="s">
        <v>616</v>
      </c>
      <c r="C335" s="237"/>
      <c r="D335" s="237"/>
      <c r="E335" s="237"/>
      <c r="F335" s="237"/>
      <c r="G335" s="237"/>
      <c r="H335" s="237"/>
      <c r="I335" s="237"/>
      <c r="J335" s="237"/>
      <c r="K335" s="237"/>
      <c r="L335" s="238"/>
      <c r="M335" s="238"/>
      <c r="N335" s="238"/>
      <c r="O335" s="3173" t="s">
        <v>155</v>
      </c>
      <c r="P335" s="3173"/>
      <c r="Q335" s="3173"/>
      <c r="S335" s="615" t="s">
        <v>521</v>
      </c>
    </row>
    <row r="336" spans="1:19" ht="9.75" customHeight="1" thickBot="1">
      <c r="S336" s="616"/>
    </row>
    <row r="337" spans="2:19" ht="8.25" customHeight="1">
      <c r="B337" s="241"/>
      <c r="C337" s="242"/>
      <c r="D337" s="242"/>
      <c r="E337" s="243"/>
      <c r="F337" s="244"/>
      <c r="G337" s="244"/>
      <c r="H337" s="244"/>
      <c r="I337" s="244"/>
      <c r="J337" s="244"/>
      <c r="K337" s="244"/>
      <c r="L337" s="244"/>
      <c r="M337" s="244"/>
      <c r="N337" s="244"/>
      <c r="O337" s="244"/>
      <c r="P337" s="244"/>
      <c r="Q337" s="245"/>
      <c r="S337" s="3486"/>
    </row>
    <row r="338" spans="2:19" ht="18" customHeight="1">
      <c r="B338" s="284"/>
      <c r="C338" s="247" t="s">
        <v>617</v>
      </c>
      <c r="D338" s="247"/>
      <c r="E338" s="285"/>
      <c r="F338" s="501"/>
      <c r="G338" s="440"/>
      <c r="H338" s="441"/>
      <c r="I338" s="287"/>
      <c r="J338" s="287"/>
      <c r="K338" s="287"/>
      <c r="L338" s="287"/>
      <c r="M338" s="287"/>
      <c r="N338" s="249" t="s">
        <v>219</v>
      </c>
      <c r="O338" s="353" t="str">
        <f>IF((COUNTBLANK(B348:B366)=ROWS(B348:B366)),"Complété","À compléter")</f>
        <v>À compléter</v>
      </c>
      <c r="P338" s="287"/>
      <c r="Q338" s="288"/>
      <c r="S338" s="3487"/>
    </row>
    <row r="339" spans="2:19" ht="6.75" customHeight="1">
      <c r="B339" s="284"/>
      <c r="C339" s="286"/>
      <c r="D339" s="286"/>
      <c r="E339" s="286"/>
      <c r="F339" s="287"/>
      <c r="G339" s="287"/>
      <c r="H339" s="287"/>
      <c r="I339" s="287"/>
      <c r="J339" s="287"/>
      <c r="K339" s="287"/>
      <c r="L339" s="287"/>
      <c r="M339" s="287"/>
      <c r="N339" s="287"/>
      <c r="O339" s="287"/>
      <c r="P339" s="287"/>
      <c r="Q339" s="288"/>
      <c r="S339" s="3487"/>
    </row>
    <row r="340" spans="2:19" ht="17.25" customHeight="1">
      <c r="B340" s="251"/>
      <c r="C340" s="3182" t="s">
        <v>531</v>
      </c>
      <c r="D340" s="3182"/>
      <c r="E340" s="3182"/>
      <c r="F340" s="3182"/>
      <c r="G340" s="3182"/>
      <c r="H340" s="3182"/>
      <c r="I340" s="3182"/>
      <c r="J340" s="3182"/>
      <c r="K340" s="3182"/>
      <c r="L340" s="3182"/>
      <c r="M340" s="3182"/>
      <c r="N340" s="160"/>
      <c r="O340" s="160"/>
      <c r="P340" s="160"/>
      <c r="Q340" s="250"/>
      <c r="S340" s="3487"/>
    </row>
    <row r="341" spans="2:19" ht="15" customHeight="1">
      <c r="B341" s="251"/>
      <c r="C341" s="252"/>
      <c r="D341" s="252"/>
      <c r="E341" s="252"/>
      <c r="F341" s="160"/>
      <c r="G341" s="160"/>
      <c r="H341" s="160"/>
      <c r="I341" s="160"/>
      <c r="J341" s="160"/>
      <c r="K341" s="160"/>
      <c r="L341" s="160"/>
      <c r="M341" s="160"/>
      <c r="N341" s="160"/>
      <c r="O341" s="160"/>
      <c r="P341" s="160"/>
      <c r="Q341" s="250"/>
      <c r="S341" s="3487"/>
    </row>
    <row r="342" spans="2:19" ht="19.5" customHeight="1">
      <c r="B342" s="253"/>
      <c r="C342" s="971" t="s">
        <v>618</v>
      </c>
      <c r="D342" s="255"/>
      <c r="E342" s="160"/>
      <c r="F342" s="160"/>
      <c r="G342" s="641" t="s">
        <v>619</v>
      </c>
      <c r="H342" s="612"/>
      <c r="I342" s="160"/>
      <c r="J342" s="256"/>
      <c r="K342" s="256"/>
      <c r="L342" s="256"/>
      <c r="M342" s="256"/>
      <c r="N342" s="256"/>
      <c r="O342" s="256"/>
      <c r="P342" s="256"/>
      <c r="Q342" s="257"/>
      <c r="S342" s="3487"/>
    </row>
    <row r="343" spans="2:19" ht="23.25" customHeight="1">
      <c r="B343" s="253"/>
      <c r="C343" s="477"/>
      <c r="D343" s="255"/>
      <c r="E343" s="612"/>
      <c r="F343" s="160"/>
      <c r="G343" s="611" t="s">
        <v>620</v>
      </c>
      <c r="H343" s="160"/>
      <c r="I343" s="160"/>
      <c r="J343" s="256"/>
      <c r="K343" s="256"/>
      <c r="L343" s="256"/>
      <c r="M343" s="256"/>
      <c r="N343" s="256"/>
      <c r="O343" s="256"/>
      <c r="P343" s="256"/>
      <c r="Q343" s="257"/>
      <c r="S343" s="3487"/>
    </row>
    <row r="344" spans="2:19" ht="16.5" customHeight="1">
      <c r="B344" s="253"/>
      <c r="C344" s="341" t="s">
        <v>621</v>
      </c>
      <c r="D344" s="316"/>
      <c r="E344" s="256"/>
      <c r="F344" s="256"/>
      <c r="G344" s="256"/>
      <c r="H344" s="256"/>
      <c r="I344" s="256"/>
      <c r="J344" s="256"/>
      <c r="K344" s="256"/>
      <c r="L344" s="256"/>
      <c r="M344" s="256"/>
      <c r="N344" s="256"/>
      <c r="O344" s="256"/>
      <c r="P344" s="256"/>
      <c r="Q344" s="257"/>
      <c r="S344" s="3487"/>
    </row>
    <row r="345" spans="2:19" ht="18.75" customHeight="1">
      <c r="B345" s="253"/>
      <c r="C345" s="613" t="s">
        <v>622</v>
      </c>
      <c r="D345" s="316"/>
      <c r="E345" s="256"/>
      <c r="F345" s="256"/>
      <c r="G345" s="256"/>
      <c r="H345" s="256"/>
      <c r="I345" s="256"/>
      <c r="J345" s="256"/>
      <c r="K345" s="256"/>
      <c r="L345" s="256"/>
      <c r="M345" s="256"/>
      <c r="N345" s="256"/>
      <c r="O345" s="256"/>
      <c r="P345" s="256"/>
      <c r="Q345" s="257"/>
      <c r="S345" s="3487"/>
    </row>
    <row r="346" spans="2:19" ht="17.25" customHeight="1">
      <c r="B346" s="253"/>
      <c r="C346" s="972" t="s">
        <v>3466</v>
      </c>
      <c r="D346" s="255"/>
      <c r="E346" s="256"/>
      <c r="F346" s="256"/>
      <c r="G346" s="256"/>
      <c r="H346" s="256"/>
      <c r="I346" s="256"/>
      <c r="J346" s="256"/>
      <c r="K346" s="256"/>
      <c r="L346" s="256"/>
      <c r="M346" s="256"/>
      <c r="N346" s="256"/>
      <c r="O346" s="256"/>
      <c r="P346" s="256"/>
      <c r="Q346" s="257"/>
      <c r="S346" s="3487"/>
    </row>
    <row r="347" spans="2:19" ht="20.25" customHeight="1">
      <c r="B347" s="253"/>
      <c r="C347" s="255"/>
      <c r="D347" s="255"/>
      <c r="E347" s="256"/>
      <c r="F347" s="256"/>
      <c r="G347" s="256"/>
      <c r="H347" s="256"/>
      <c r="I347" s="256"/>
      <c r="J347" s="256"/>
      <c r="K347" s="256"/>
      <c r="L347" s="256"/>
      <c r="M347" s="256"/>
      <c r="N347" s="256"/>
      <c r="O347" s="256"/>
      <c r="P347" s="256"/>
      <c r="Q347" s="257"/>
      <c r="S347" s="3487"/>
    </row>
    <row r="348" spans="2:19" ht="6" customHeight="1">
      <c r="B348" s="253"/>
      <c r="C348" s="258"/>
      <c r="D348" s="259"/>
      <c r="E348" s="260"/>
      <c r="F348" s="260"/>
      <c r="G348" s="260"/>
      <c r="H348" s="260"/>
      <c r="I348" s="260"/>
      <c r="J348" s="260"/>
      <c r="K348" s="260"/>
      <c r="L348" s="260"/>
      <c r="M348" s="260"/>
      <c r="N348" s="260"/>
      <c r="O348" s="260"/>
      <c r="P348" s="261"/>
      <c r="Q348" s="257"/>
      <c r="S348" s="3487"/>
    </row>
    <row r="349" spans="2:19" ht="10.5" customHeight="1">
      <c r="B349" s="253"/>
      <c r="C349" s="3213" t="s">
        <v>538</v>
      </c>
      <c r="D349" s="315"/>
      <c r="E349" s="85"/>
      <c r="F349" s="3179"/>
      <c r="G349" s="3179"/>
      <c r="H349" s="493"/>
      <c r="I349" s="55"/>
      <c r="J349" s="85"/>
      <c r="K349" s="85"/>
      <c r="L349" s="85"/>
      <c r="M349" s="3179"/>
      <c r="N349" s="3179"/>
      <c r="O349" s="493"/>
      <c r="P349" s="604"/>
      <c r="Q349" s="257"/>
      <c r="S349" s="3487"/>
    </row>
    <row r="350" spans="2:19" ht="8.25" customHeight="1">
      <c r="B350" s="253"/>
      <c r="C350" s="3213"/>
      <c r="D350" s="315"/>
      <c r="E350" s="85"/>
      <c r="F350" s="85"/>
      <c r="G350" s="85"/>
      <c r="H350" s="85"/>
      <c r="I350" s="55"/>
      <c r="J350" s="85"/>
      <c r="K350" s="85"/>
      <c r="L350" s="85"/>
      <c r="M350" s="85"/>
      <c r="N350" s="85"/>
      <c r="O350" s="85"/>
      <c r="P350" s="266"/>
      <c r="Q350" s="257"/>
      <c r="S350" s="3487"/>
    </row>
    <row r="351" spans="2:19" ht="17.25" customHeight="1">
      <c r="B351" s="486" t="str">
        <f>IF(OR(ISBLANK(F351),ISBLANK(H351),ISBLANK(K351),ISBLANK(M351),ISBLANK(O351))=FALSE,"","u")</f>
        <v>u</v>
      </c>
      <c r="C351" s="3213"/>
      <c r="D351" s="315"/>
      <c r="E351" s="645" t="s">
        <v>101</v>
      </c>
      <c r="F351" s="566"/>
      <c r="G351" s="645" t="s">
        <v>102</v>
      </c>
      <c r="H351" s="566"/>
      <c r="I351" s="55"/>
      <c r="J351" s="645" t="s">
        <v>103</v>
      </c>
      <c r="K351" s="566"/>
      <c r="L351" s="645" t="s">
        <v>104</v>
      </c>
      <c r="M351" s="566"/>
      <c r="N351" s="645" t="s">
        <v>105</v>
      </c>
      <c r="O351" s="566"/>
      <c r="P351" s="604"/>
      <c r="Q351" s="257"/>
      <c r="S351" s="3487"/>
    </row>
    <row r="352" spans="2:19" s="319" customFormat="1" ht="11.25" customHeight="1">
      <c r="B352" s="253"/>
      <c r="C352" s="3213"/>
      <c r="D352" s="662"/>
      <c r="E352" s="645"/>
      <c r="F352" s="602"/>
      <c r="G352" s="645"/>
      <c r="H352" s="602"/>
      <c r="I352" s="318"/>
      <c r="J352" s="645"/>
      <c r="K352" s="602"/>
      <c r="L352" s="645"/>
      <c r="M352" s="602"/>
      <c r="N352" s="645"/>
      <c r="O352" s="602"/>
      <c r="P352" s="604"/>
      <c r="Q352" s="257"/>
      <c r="S352" s="3487"/>
    </row>
    <row r="353" spans="2:19" s="319" customFormat="1" ht="17.25" customHeight="1">
      <c r="B353" s="253"/>
      <c r="C353" s="317"/>
      <c r="D353" s="662"/>
      <c r="E353" s="645"/>
      <c r="F353" s="3179" t="s">
        <v>623</v>
      </c>
      <c r="G353" s="3280"/>
      <c r="H353" s="712">
        <f>F351+H351</f>
        <v>0</v>
      </c>
      <c r="I353" s="318"/>
      <c r="J353" s="645"/>
      <c r="K353" s="602"/>
      <c r="L353" s="645"/>
      <c r="M353" s="3179" t="s">
        <v>624</v>
      </c>
      <c r="N353" s="3280"/>
      <c r="O353" s="712">
        <f>K351+M351+O351</f>
        <v>0</v>
      </c>
      <c r="P353" s="604"/>
      <c r="Q353" s="257"/>
      <c r="S353" s="3487"/>
    </row>
    <row r="354" spans="2:19" s="319" customFormat="1" ht="11.25" customHeight="1">
      <c r="B354" s="253"/>
      <c r="C354" s="317"/>
      <c r="D354" s="662"/>
      <c r="E354" s="645"/>
      <c r="F354" s="602"/>
      <c r="G354" s="645"/>
      <c r="H354" s="602"/>
      <c r="I354" s="318"/>
      <c r="J354" s="645"/>
      <c r="K354" s="602"/>
      <c r="L354" s="645"/>
      <c r="M354" s="602"/>
      <c r="N354" s="645"/>
      <c r="O354" s="602"/>
      <c r="P354" s="604"/>
      <c r="Q354" s="257"/>
      <c r="S354" s="3487"/>
    </row>
    <row r="355" spans="2:19" s="319" customFormat="1" ht="32.25" customHeight="1">
      <c r="B355" s="253"/>
      <c r="C355" s="317"/>
      <c r="D355" s="662"/>
      <c r="E355" s="320" t="s">
        <v>625</v>
      </c>
      <c r="F355" s="711">
        <f>F351+H351+K351+M351+O351</f>
        <v>0</v>
      </c>
      <c r="G355" s="3291" t="s">
        <v>539</v>
      </c>
      <c r="H355" s="3179"/>
      <c r="I355" s="3090"/>
      <c r="J355" s="3091"/>
      <c r="K355" s="3091"/>
      <c r="L355" s="3091"/>
      <c r="M355" s="3091"/>
      <c r="N355" s="3091"/>
      <c r="O355" s="3092"/>
      <c r="P355" s="604"/>
      <c r="Q355" s="257"/>
      <c r="S355" s="3487"/>
    </row>
    <row r="356" spans="2:19" s="319" customFormat="1" ht="10.5" customHeight="1">
      <c r="B356" s="253"/>
      <c r="C356" s="665"/>
      <c r="D356" s="666"/>
      <c r="E356" s="272"/>
      <c r="F356" s="283"/>
      <c r="G356" s="272"/>
      <c r="H356" s="283"/>
      <c r="I356" s="321"/>
      <c r="J356" s="272"/>
      <c r="K356" s="283"/>
      <c r="L356" s="272"/>
      <c r="M356" s="283"/>
      <c r="N356" s="272"/>
      <c r="O356" s="283"/>
      <c r="P356" s="273"/>
      <c r="Q356" s="257"/>
      <c r="S356" s="3487"/>
    </row>
    <row r="357" spans="2:19" ht="14.25" customHeight="1">
      <c r="B357" s="253"/>
      <c r="C357" s="256"/>
      <c r="D357" s="256"/>
      <c r="E357" s="256"/>
      <c r="F357" s="256"/>
      <c r="G357" s="256"/>
      <c r="H357" s="256"/>
      <c r="I357" s="256"/>
      <c r="J357" s="256"/>
      <c r="K357" s="256"/>
      <c r="L357" s="256"/>
      <c r="M357" s="256"/>
      <c r="N357" s="256"/>
      <c r="O357" s="256"/>
      <c r="P357" s="256"/>
      <c r="Q357" s="257"/>
      <c r="S357" s="3487"/>
    </row>
    <row r="358" spans="2:19" ht="6" customHeight="1">
      <c r="B358" s="253"/>
      <c r="C358" s="258"/>
      <c r="D358" s="259"/>
      <c r="E358" s="260"/>
      <c r="F358" s="260"/>
      <c r="G358" s="260"/>
      <c r="H358" s="260"/>
      <c r="I358" s="260"/>
      <c r="J358" s="260"/>
      <c r="K358" s="260"/>
      <c r="L358" s="260"/>
      <c r="M358" s="260"/>
      <c r="N358" s="260"/>
      <c r="O358" s="260"/>
      <c r="P358" s="261"/>
      <c r="Q358" s="257"/>
      <c r="S358" s="3487"/>
    </row>
    <row r="359" spans="2:19" ht="10.5" customHeight="1">
      <c r="B359" s="253"/>
      <c r="C359" s="3213" t="s">
        <v>555</v>
      </c>
      <c r="D359" s="315"/>
      <c r="E359" s="85"/>
      <c r="F359" s="3179"/>
      <c r="G359" s="3179"/>
      <c r="H359" s="493"/>
      <c r="I359" s="55"/>
      <c r="J359" s="85"/>
      <c r="K359" s="85"/>
      <c r="L359" s="85"/>
      <c r="M359" s="3179"/>
      <c r="N359" s="3179"/>
      <c r="O359" s="493"/>
      <c r="P359" s="604"/>
      <c r="Q359" s="257"/>
      <c r="S359" s="3487"/>
    </row>
    <row r="360" spans="2:19" ht="8.25" customHeight="1">
      <c r="B360" s="253"/>
      <c r="C360" s="3213"/>
      <c r="D360" s="315"/>
      <c r="E360" s="85"/>
      <c r="F360" s="85"/>
      <c r="G360" s="85"/>
      <c r="H360" s="85"/>
      <c r="I360" s="55"/>
      <c r="J360" s="85"/>
      <c r="K360" s="85"/>
      <c r="L360" s="85"/>
      <c r="M360" s="85"/>
      <c r="N360" s="85"/>
      <c r="O360" s="85"/>
      <c r="P360" s="266"/>
      <c r="Q360" s="257"/>
      <c r="S360" s="3487"/>
    </row>
    <row r="361" spans="2:19" ht="17.25" customHeight="1">
      <c r="B361" s="486" t="str">
        <f>IF(OR(ISBLANK(F361),ISBLANK(H361),ISBLANK(K361),ISBLANK(M361),ISBLANK(O361))=FALSE,"","u")</f>
        <v>u</v>
      </c>
      <c r="C361" s="3213"/>
      <c r="D361" s="315"/>
      <c r="E361" s="645" t="s">
        <v>101</v>
      </c>
      <c r="F361" s="566"/>
      <c r="G361" s="645" t="s">
        <v>102</v>
      </c>
      <c r="H361" s="566"/>
      <c r="I361" s="55"/>
      <c r="J361" s="645" t="s">
        <v>103</v>
      </c>
      <c r="K361" s="566"/>
      <c r="L361" s="645" t="s">
        <v>104</v>
      </c>
      <c r="M361" s="566"/>
      <c r="N361" s="645" t="s">
        <v>105</v>
      </c>
      <c r="O361" s="566"/>
      <c r="P361" s="604"/>
      <c r="Q361" s="257"/>
      <c r="S361" s="3487"/>
    </row>
    <row r="362" spans="2:19" s="319" customFormat="1" ht="11.25" customHeight="1">
      <c r="B362" s="253"/>
      <c r="C362" s="317"/>
      <c r="D362" s="662"/>
      <c r="E362" s="645"/>
      <c r="F362" s="602"/>
      <c r="G362" s="645"/>
      <c r="H362" s="602"/>
      <c r="I362" s="318"/>
      <c r="J362" s="645"/>
      <c r="K362" s="602"/>
      <c r="L362" s="645"/>
      <c r="M362" s="602"/>
      <c r="N362" s="645"/>
      <c r="O362" s="602"/>
      <c r="P362" s="604"/>
      <c r="Q362" s="257"/>
      <c r="S362" s="3487"/>
    </row>
    <row r="363" spans="2:19" s="319" customFormat="1" ht="17.25" customHeight="1">
      <c r="B363" s="253"/>
      <c r="C363" s="317"/>
      <c r="D363" s="662"/>
      <c r="E363" s="645"/>
      <c r="F363" s="3179" t="s">
        <v>623</v>
      </c>
      <c r="G363" s="3280"/>
      <c r="H363" s="712">
        <f>F361+H361</f>
        <v>0</v>
      </c>
      <c r="I363" s="318"/>
      <c r="J363" s="645"/>
      <c r="K363" s="602"/>
      <c r="L363" s="645"/>
      <c r="M363" s="3179" t="s">
        <v>624</v>
      </c>
      <c r="N363" s="3280"/>
      <c r="O363" s="712">
        <f>K361+M361+O361</f>
        <v>0</v>
      </c>
      <c r="P363" s="604"/>
      <c r="Q363" s="257"/>
      <c r="S363" s="3487"/>
    </row>
    <row r="364" spans="2:19" s="319" customFormat="1" ht="11.25" customHeight="1">
      <c r="B364" s="253"/>
      <c r="C364" s="317"/>
      <c r="D364" s="662"/>
      <c r="E364" s="645"/>
      <c r="F364" s="602"/>
      <c r="G364" s="645"/>
      <c r="H364" s="602"/>
      <c r="I364" s="318"/>
      <c r="J364" s="645"/>
      <c r="K364" s="602"/>
      <c r="L364" s="645"/>
      <c r="M364" s="602"/>
      <c r="N364" s="645"/>
      <c r="O364" s="602"/>
      <c r="P364" s="604"/>
      <c r="Q364" s="257"/>
      <c r="S364" s="3487"/>
    </row>
    <row r="365" spans="2:19" s="319" customFormat="1" ht="32.25" customHeight="1">
      <c r="B365" s="253"/>
      <c r="C365" s="317"/>
      <c r="D365" s="662"/>
      <c r="E365" s="320" t="s">
        <v>625</v>
      </c>
      <c r="F365" s="711">
        <f>F361+H361+K361+M361+O361</f>
        <v>0</v>
      </c>
      <c r="G365" s="3291" t="s">
        <v>539</v>
      </c>
      <c r="H365" s="3179"/>
      <c r="I365" s="3090"/>
      <c r="J365" s="3091"/>
      <c r="K365" s="3091"/>
      <c r="L365" s="3091"/>
      <c r="M365" s="3091"/>
      <c r="N365" s="3091"/>
      <c r="O365" s="3092"/>
      <c r="P365" s="604"/>
      <c r="Q365" s="257"/>
      <c r="S365" s="3487"/>
    </row>
    <row r="366" spans="2:19" ht="12" customHeight="1">
      <c r="B366" s="253"/>
      <c r="C366" s="276"/>
      <c r="D366" s="277"/>
      <c r="E366" s="272"/>
      <c r="F366" s="283"/>
      <c r="G366" s="272"/>
      <c r="H366" s="283"/>
      <c r="I366" s="271"/>
      <c r="J366" s="272"/>
      <c r="K366" s="283"/>
      <c r="L366" s="272"/>
      <c r="M366" s="283"/>
      <c r="N366" s="272"/>
      <c r="O366" s="283"/>
      <c r="P366" s="273"/>
      <c r="Q366" s="257"/>
      <c r="S366" s="3487"/>
    </row>
    <row r="367" spans="2:19" ht="15.75" customHeight="1">
      <c r="B367" s="253"/>
      <c r="C367" s="366"/>
      <c r="D367" s="256"/>
      <c r="E367" s="256"/>
      <c r="F367" s="256"/>
      <c r="G367" s="256"/>
      <c r="H367" s="256"/>
      <c r="I367" s="256"/>
      <c r="J367" s="256"/>
      <c r="K367" s="256"/>
      <c r="L367" s="256"/>
      <c r="M367" s="256"/>
      <c r="N367" s="256"/>
      <c r="O367" s="256"/>
      <c r="P367" s="256"/>
      <c r="Q367" s="257"/>
      <c r="S367" s="3487"/>
    </row>
    <row r="368" spans="2:19" ht="17.25" customHeight="1">
      <c r="B368" s="253"/>
      <c r="C368" s="477" t="s">
        <v>567</v>
      </c>
      <c r="D368" s="256"/>
      <c r="E368" s="256"/>
      <c r="F368" s="256"/>
      <c r="G368" s="256"/>
      <c r="H368" s="256"/>
      <c r="I368" s="256"/>
      <c r="J368" s="256"/>
      <c r="K368" s="256"/>
      <c r="L368" s="256"/>
      <c r="M368" s="256"/>
      <c r="N368" s="256"/>
      <c r="O368" s="256"/>
      <c r="P368" s="256"/>
      <c r="Q368" s="257"/>
      <c r="S368" s="3487"/>
    </row>
    <row r="369" spans="1:19" ht="18" customHeight="1">
      <c r="B369" s="253"/>
      <c r="C369" s="160"/>
      <c r="D369" s="650"/>
      <c r="E369" s="3270" t="s">
        <v>568</v>
      </c>
      <c r="F369" s="3270"/>
      <c r="G369" s="3270"/>
      <c r="H369" s="3271"/>
      <c r="I369" s="353" t="str">
        <f>IF((OR(ISBLANK(F625),ISBLANK(F630),ISBLANK(K625),ISBLANK(K630))=FALSE),"Complété","À compléter")</f>
        <v>À compléter</v>
      </c>
      <c r="J369" s="3265" t="s">
        <v>3454</v>
      </c>
      <c r="K369" s="3265"/>
      <c r="L369" s="3265"/>
      <c r="M369" s="3265"/>
      <c r="N369" s="3265"/>
      <c r="O369" s="3265"/>
      <c r="P369" s="3265"/>
      <c r="Q369" s="257"/>
      <c r="S369" s="3487"/>
    </row>
    <row r="370" spans="1:19" ht="6.75" customHeight="1">
      <c r="B370" s="253"/>
      <c r="C370" s="256"/>
      <c r="D370" s="650"/>
      <c r="E370" s="650"/>
      <c r="F370" s="650"/>
      <c r="G370" s="650"/>
      <c r="H370" s="650"/>
      <c r="I370" s="256"/>
      <c r="J370" s="355"/>
      <c r="K370" s="355"/>
      <c r="L370" s="355"/>
      <c r="M370" s="355"/>
      <c r="N370" s="355"/>
      <c r="O370" s="355"/>
      <c r="P370" s="355"/>
      <c r="Q370" s="257"/>
      <c r="S370" s="3487"/>
    </row>
    <row r="371" spans="1:19" ht="18" customHeight="1">
      <c r="B371" s="253"/>
      <c r="C371" s="256"/>
      <c r="D371" s="3270" t="s">
        <v>569</v>
      </c>
      <c r="E371" s="3270"/>
      <c r="F371" s="3270"/>
      <c r="G371" s="3270"/>
      <c r="H371" s="3271"/>
      <c r="I371" s="353" t="str">
        <f>IF((OR(ISBLANK(F685),ISBLANK(F689),ISBLANK(K685),ISBLANK(K689))=FALSE),"Complété","À compléter")</f>
        <v>À compléter</v>
      </c>
      <c r="J371" s="3265" t="s">
        <v>3455</v>
      </c>
      <c r="K371" s="3265"/>
      <c r="L371" s="3265"/>
      <c r="M371" s="3265"/>
      <c r="N371" s="3265"/>
      <c r="O371" s="3265"/>
      <c r="P371" s="3265"/>
      <c r="Q371" s="257"/>
      <c r="S371" s="3487"/>
    </row>
    <row r="372" spans="1:19" ht="22.5" customHeight="1" thickBot="1">
      <c r="B372" s="298"/>
      <c r="C372" s="299"/>
      <c r="D372" s="299"/>
      <c r="E372" s="299"/>
      <c r="F372" s="299"/>
      <c r="G372" s="299"/>
      <c r="H372" s="299"/>
      <c r="I372" s="299"/>
      <c r="J372" s="299"/>
      <c r="K372" s="299"/>
      <c r="L372" s="299"/>
      <c r="M372" s="299"/>
      <c r="N372" s="299"/>
      <c r="O372" s="299"/>
      <c r="P372" s="299"/>
      <c r="Q372" s="300"/>
      <c r="S372" s="3487"/>
    </row>
    <row r="373" spans="1:19" ht="9.75" customHeight="1" thickBot="1">
      <c r="B373" s="683"/>
      <c r="S373" s="3487"/>
    </row>
    <row r="374" spans="1:19" ht="8.25" customHeight="1">
      <c r="B374" s="241"/>
      <c r="C374" s="242"/>
      <c r="D374" s="242"/>
      <c r="E374" s="243"/>
      <c r="F374" s="244"/>
      <c r="G374" s="244"/>
      <c r="H374" s="244"/>
      <c r="I374" s="244"/>
      <c r="J374" s="244"/>
      <c r="K374" s="244"/>
      <c r="L374" s="244"/>
      <c r="M374" s="244"/>
      <c r="N374" s="244"/>
      <c r="O374" s="244"/>
      <c r="P374" s="244"/>
      <c r="Q374" s="245"/>
      <c r="S374" s="3487"/>
    </row>
    <row r="375" spans="1:19" ht="18" customHeight="1">
      <c r="A375" s="1187"/>
      <c r="B375" s="284"/>
      <c r="C375" s="247" t="s">
        <v>626</v>
      </c>
      <c r="D375" s="247"/>
      <c r="E375" s="286"/>
      <c r="F375" s="301"/>
      <c r="G375" s="160"/>
      <c r="H375" s="301"/>
      <c r="I375" s="160"/>
      <c r="J375" s="301"/>
      <c r="K375" s="287"/>
      <c r="L375" s="287"/>
      <c r="M375" s="287"/>
      <c r="N375" s="249" t="s">
        <v>219</v>
      </c>
      <c r="O375" s="353" t="str">
        <f>IF(COUNTIF(B407:B494,"u")=0,"Complété","À compléter")</f>
        <v>À compléter</v>
      </c>
      <c r="P375" s="287"/>
      <c r="Q375" s="288"/>
      <c r="S375" s="3487"/>
    </row>
    <row r="376" spans="1:19" ht="6.75" customHeight="1">
      <c r="B376" s="284"/>
      <c r="C376" s="286"/>
      <c r="D376" s="286"/>
      <c r="E376" s="286"/>
      <c r="F376" s="287"/>
      <c r="G376" s="287"/>
      <c r="H376" s="287"/>
      <c r="I376" s="287"/>
      <c r="J376" s="287"/>
      <c r="K376" s="287"/>
      <c r="L376" s="287"/>
      <c r="M376" s="287"/>
      <c r="N376" s="287"/>
      <c r="O376" s="287"/>
      <c r="P376" s="287"/>
      <c r="Q376" s="288"/>
      <c r="S376" s="3487"/>
    </row>
    <row r="377" spans="1:19" ht="17.25" customHeight="1">
      <c r="B377" s="251"/>
      <c r="C377" s="3182" t="s">
        <v>531</v>
      </c>
      <c r="D377" s="3182"/>
      <c r="E377" s="3182"/>
      <c r="F377" s="3182"/>
      <c r="G377" s="3182"/>
      <c r="H377" s="3182"/>
      <c r="I377" s="3182"/>
      <c r="J377" s="3182"/>
      <c r="K377" s="3182"/>
      <c r="L377" s="3182"/>
      <c r="M377" s="3182"/>
      <c r="N377" s="160"/>
      <c r="O377" s="160"/>
      <c r="P377" s="160"/>
      <c r="Q377" s="250"/>
      <c r="S377" s="3487"/>
    </row>
    <row r="378" spans="1:19" ht="11.25" customHeight="1">
      <c r="B378" s="251"/>
      <c r="C378" s="252"/>
      <c r="D378" s="252"/>
      <c r="E378" s="252"/>
      <c r="F378" s="160"/>
      <c r="G378" s="160"/>
      <c r="H378" s="160"/>
      <c r="I378" s="160"/>
      <c r="J378" s="160"/>
      <c r="K378" s="160"/>
      <c r="L378" s="160"/>
      <c r="M378" s="160"/>
      <c r="N378" s="160"/>
      <c r="O378" s="160"/>
      <c r="P378" s="160"/>
      <c r="Q378" s="250"/>
      <c r="S378" s="3487"/>
    </row>
    <row r="379" spans="1:19" ht="17.25" customHeight="1">
      <c r="B379" s="253"/>
      <c r="C379" s="606" t="s">
        <v>627</v>
      </c>
      <c r="D379" s="255"/>
      <c r="E379" s="256"/>
      <c r="F379" s="256"/>
      <c r="G379" s="160"/>
      <c r="H379" s="160" t="s">
        <v>628</v>
      </c>
      <c r="I379" s="256"/>
      <c r="J379" s="256"/>
      <c r="K379" s="256"/>
      <c r="L379" s="256"/>
      <c r="M379" s="256"/>
      <c r="N379" s="256"/>
      <c r="O379" s="256"/>
      <c r="P379" s="256"/>
      <c r="Q379" s="257"/>
      <c r="S379" s="3487"/>
    </row>
    <row r="380" spans="1:19" ht="25.5" customHeight="1">
      <c r="B380" s="253"/>
      <c r="C380" s="477"/>
      <c r="D380" s="255"/>
      <c r="E380" s="256"/>
      <c r="F380" s="256"/>
      <c r="G380" s="160"/>
      <c r="H380" s="478" t="s">
        <v>620</v>
      </c>
      <c r="I380" s="256"/>
      <c r="J380" s="256"/>
      <c r="K380" s="256"/>
      <c r="L380" s="256"/>
      <c r="M380" s="256"/>
      <c r="N380" s="256"/>
      <c r="O380" s="256"/>
      <c r="P380" s="256"/>
      <c r="Q380" s="257"/>
      <c r="S380" s="3487"/>
    </row>
    <row r="381" spans="1:19" ht="16.5" customHeight="1">
      <c r="B381" s="253"/>
      <c r="C381" s="597" t="s">
        <v>629</v>
      </c>
      <c r="D381" s="316"/>
      <c r="E381" s="256"/>
      <c r="F381" s="256"/>
      <c r="G381" s="256"/>
      <c r="H381" s="256"/>
      <c r="I381" s="256"/>
      <c r="J381" s="256"/>
      <c r="K381" s="256"/>
      <c r="L381" s="256"/>
      <c r="M381" s="256"/>
      <c r="N381" s="256"/>
      <c r="O381" s="256"/>
      <c r="P381" s="256"/>
      <c r="Q381" s="257"/>
      <c r="S381" s="3487"/>
    </row>
    <row r="382" spans="1:19" ht="18.75" customHeight="1">
      <c r="B382" s="253"/>
      <c r="C382" s="598" t="s">
        <v>630</v>
      </c>
      <c r="D382" s="316"/>
      <c r="E382" s="256"/>
      <c r="F382" s="256"/>
      <c r="G382" s="256"/>
      <c r="H382" s="256"/>
      <c r="I382" s="256"/>
      <c r="J382" s="256"/>
      <c r="K382" s="256"/>
      <c r="L382" s="256"/>
      <c r="M382" s="256"/>
      <c r="N382" s="256"/>
      <c r="O382" s="256"/>
      <c r="P382" s="256"/>
      <c r="Q382" s="257"/>
      <c r="S382" s="3487"/>
    </row>
    <row r="383" spans="1:19" ht="17.25" customHeight="1">
      <c r="B383" s="253"/>
      <c r="C383" s="483"/>
      <c r="D383" s="316"/>
      <c r="E383" s="256"/>
      <c r="F383" s="256"/>
      <c r="G383" s="256"/>
      <c r="H383" s="256"/>
      <c r="I383" s="256"/>
      <c r="J383" s="256"/>
      <c r="K383" s="256"/>
      <c r="L383" s="256"/>
      <c r="M383" s="256"/>
      <c r="N383" s="256"/>
      <c r="O383" s="256"/>
      <c r="P383" s="256"/>
      <c r="Q383" s="257"/>
      <c r="S383" s="3487"/>
    </row>
    <row r="384" spans="1:19" ht="12" customHeight="1">
      <c r="B384" s="253"/>
      <c r="C384" s="322"/>
      <c r="D384" s="323"/>
      <c r="E384" s="260"/>
      <c r="F384" s="260"/>
      <c r="G384" s="260"/>
      <c r="H384" s="260"/>
      <c r="I384" s="260"/>
      <c r="J384" s="260"/>
      <c r="K384" s="260"/>
      <c r="L384" s="260"/>
      <c r="M384" s="260"/>
      <c r="N384" s="260"/>
      <c r="O384" s="260"/>
      <c r="P384" s="261"/>
      <c r="Q384" s="257"/>
      <c r="S384" s="3487"/>
    </row>
    <row r="385" spans="2:19" ht="20.25" customHeight="1">
      <c r="B385" s="253"/>
      <c r="C385" s="600" t="s">
        <v>631</v>
      </c>
      <c r="D385" s="488"/>
      <c r="E385" s="488"/>
      <c r="F385" s="488"/>
      <c r="G385" s="488"/>
      <c r="H385" s="488"/>
      <c r="I385" s="488"/>
      <c r="J385" s="488"/>
      <c r="K385" s="488"/>
      <c r="L385" s="488"/>
      <c r="M385" s="488"/>
      <c r="N385" s="488"/>
      <c r="O385" s="488"/>
      <c r="P385" s="266"/>
      <c r="Q385" s="257"/>
      <c r="S385" s="3487"/>
    </row>
    <row r="386" spans="2:19" ht="20.25" customHeight="1">
      <c r="B386" s="253"/>
      <c r="C386" s="490" t="s">
        <v>632</v>
      </c>
      <c r="D386" s="599" t="s">
        <v>2289</v>
      </c>
      <c r="E386" s="488"/>
      <c r="F386" s="488"/>
      <c r="G386" s="488"/>
      <c r="H386" s="488"/>
      <c r="I386" s="488"/>
      <c r="J386" s="488"/>
      <c r="K386" s="488"/>
      <c r="L386" s="488"/>
      <c r="M386" s="488"/>
      <c r="N386" s="488"/>
      <c r="O386" s="488"/>
      <c r="P386" s="266"/>
      <c r="Q386" s="257"/>
      <c r="S386" s="3487"/>
    </row>
    <row r="387" spans="2:19" ht="20.25" customHeight="1">
      <c r="B387" s="253"/>
      <c r="C387" s="490" t="s">
        <v>632</v>
      </c>
      <c r="D387" s="599" t="s">
        <v>3467</v>
      </c>
      <c r="E387" s="488"/>
      <c r="F387" s="488"/>
      <c r="G387" s="488"/>
      <c r="H387" s="488"/>
      <c r="I387" s="488"/>
      <c r="J387" s="488"/>
      <c r="K387" s="488"/>
      <c r="L387" s="488"/>
      <c r="M387" s="488"/>
      <c r="N387" s="488"/>
      <c r="O387" s="488"/>
      <c r="P387" s="266"/>
      <c r="Q387" s="257"/>
      <c r="S387" s="3487"/>
    </row>
    <row r="388" spans="2:19" ht="15.75" customHeight="1">
      <c r="B388" s="253"/>
      <c r="C388" s="490"/>
      <c r="D388" s="489" t="s">
        <v>633</v>
      </c>
      <c r="E388" s="488"/>
      <c r="F388" s="488"/>
      <c r="G388" s="488"/>
      <c r="H388" s="488"/>
      <c r="I388" s="488"/>
      <c r="J388" s="488"/>
      <c r="K388" s="488"/>
      <c r="L388" s="488"/>
      <c r="M388" s="488"/>
      <c r="N388" s="488"/>
      <c r="O388" s="488"/>
      <c r="P388" s="266"/>
      <c r="Q388" s="257"/>
      <c r="S388" s="3487"/>
    </row>
    <row r="389" spans="2:19" ht="7.5" customHeight="1">
      <c r="B389" s="253"/>
      <c r="C389" s="490"/>
      <c r="D389" s="489"/>
      <c r="E389" s="488"/>
      <c r="F389" s="488"/>
      <c r="G389" s="488"/>
      <c r="H389" s="488"/>
      <c r="I389" s="488"/>
      <c r="J389" s="488"/>
      <c r="K389" s="488"/>
      <c r="L389" s="488"/>
      <c r="M389" s="488"/>
      <c r="N389" s="488"/>
      <c r="O389" s="488"/>
      <c r="P389" s="266"/>
      <c r="Q389" s="257"/>
      <c r="S389" s="3487"/>
    </row>
    <row r="390" spans="2:19" ht="15" customHeight="1">
      <c r="B390" s="253"/>
      <c r="C390" s="104"/>
      <c r="D390" s="671" t="s">
        <v>634</v>
      </c>
      <c r="E390" s="488"/>
      <c r="F390" s="488"/>
      <c r="G390" s="488"/>
      <c r="H390" s="488"/>
      <c r="I390" s="488"/>
      <c r="J390" s="488"/>
      <c r="K390" s="488"/>
      <c r="L390" s="488"/>
      <c r="M390" s="488"/>
      <c r="N390" s="488"/>
      <c r="O390" s="488"/>
      <c r="P390" s="266"/>
      <c r="Q390" s="257"/>
      <c r="S390" s="3487"/>
    </row>
    <row r="391" spans="2:19" ht="20.25" customHeight="1">
      <c r="B391" s="253"/>
      <c r="C391" s="104"/>
      <c r="D391" s="671" t="s">
        <v>635</v>
      </c>
      <c r="E391" s="488"/>
      <c r="F391" s="488"/>
      <c r="G391" s="488"/>
      <c r="H391" s="488"/>
      <c r="I391" s="488"/>
      <c r="J391" s="488"/>
      <c r="K391" s="488"/>
      <c r="L391" s="488"/>
      <c r="M391" s="488"/>
      <c r="N391" s="488"/>
      <c r="O391" s="488"/>
      <c r="P391" s="266"/>
      <c r="Q391" s="257"/>
      <c r="S391" s="3487"/>
    </row>
    <row r="392" spans="2:19" ht="18.75" customHeight="1">
      <c r="B392" s="253"/>
      <c r="C392" s="104"/>
      <c r="D392" s="669" t="s">
        <v>632</v>
      </c>
      <c r="E392" s="618" t="s">
        <v>636</v>
      </c>
      <c r="F392" s="488"/>
      <c r="G392" s="488"/>
      <c r="H392" s="488"/>
      <c r="I392" s="488"/>
      <c r="J392" s="488"/>
      <c r="K392" s="488"/>
      <c r="L392" s="488"/>
      <c r="M392" s="488"/>
      <c r="N392" s="488"/>
      <c r="O392" s="488"/>
      <c r="P392" s="266"/>
      <c r="Q392" s="257"/>
      <c r="S392" s="3487"/>
    </row>
    <row r="393" spans="2:19" ht="18.75" customHeight="1">
      <c r="B393" s="253"/>
      <c r="C393" s="104"/>
      <c r="D393" s="670"/>
      <c r="E393" s="489" t="s">
        <v>637</v>
      </c>
      <c r="F393" s="488"/>
      <c r="G393" s="488"/>
      <c r="H393" s="488"/>
      <c r="I393" s="488"/>
      <c r="J393" s="488"/>
      <c r="K393" s="488"/>
      <c r="L393" s="488"/>
      <c r="M393" s="488"/>
      <c r="N393" s="488"/>
      <c r="O393" s="488"/>
      <c r="P393" s="266"/>
      <c r="Q393" s="257"/>
      <c r="S393" s="3487"/>
    </row>
    <row r="394" spans="2:19" ht="18.75" customHeight="1">
      <c r="B394" s="253"/>
      <c r="C394" s="104"/>
      <c r="D394" s="670" t="s">
        <v>632</v>
      </c>
      <c r="E394" s="491" t="s">
        <v>638</v>
      </c>
      <c r="F394" s="488"/>
      <c r="G394" s="488"/>
      <c r="H394" s="488"/>
      <c r="I394" s="488"/>
      <c r="J394" s="488"/>
      <c r="K394" s="488"/>
      <c r="L394" s="488"/>
      <c r="M394" s="488"/>
      <c r="N394" s="488"/>
      <c r="O394" s="488"/>
      <c r="P394" s="266"/>
      <c r="Q394" s="257"/>
      <c r="S394" s="3487"/>
    </row>
    <row r="395" spans="2:19" ht="18.75" customHeight="1">
      <c r="B395" s="253"/>
      <c r="C395" s="104"/>
      <c r="D395" s="670" t="s">
        <v>632</v>
      </c>
      <c r="E395" s="491" t="s">
        <v>639</v>
      </c>
      <c r="F395" s="488"/>
      <c r="G395" s="488"/>
      <c r="H395" s="488"/>
      <c r="I395" s="488"/>
      <c r="J395" s="488"/>
      <c r="K395" s="488"/>
      <c r="L395" s="488"/>
      <c r="M395" s="488"/>
      <c r="N395" s="488"/>
      <c r="O395" s="488"/>
      <c r="P395" s="266"/>
      <c r="Q395" s="257"/>
      <c r="S395" s="3487"/>
    </row>
    <row r="396" spans="2:19" ht="9" customHeight="1">
      <c r="B396" s="253"/>
      <c r="C396" s="104"/>
      <c r="D396" s="670"/>
      <c r="E396" s="491"/>
      <c r="F396" s="488"/>
      <c r="G396" s="488"/>
      <c r="H396" s="488"/>
      <c r="I396" s="488"/>
      <c r="J396" s="488"/>
      <c r="K396" s="488"/>
      <c r="L396" s="488"/>
      <c r="M396" s="488"/>
      <c r="N396" s="488"/>
      <c r="O396" s="488"/>
      <c r="P396" s="266"/>
      <c r="Q396" s="257"/>
      <c r="S396" s="3487"/>
    </row>
    <row r="397" spans="2:19" ht="20.25" customHeight="1">
      <c r="B397" s="253"/>
      <c r="C397" s="600" t="s">
        <v>640</v>
      </c>
      <c r="D397" s="488"/>
      <c r="E397" s="488"/>
      <c r="F397" s="488"/>
      <c r="G397" s="488"/>
      <c r="H397" s="488"/>
      <c r="I397" s="488"/>
      <c r="J397" s="488"/>
      <c r="K397" s="488"/>
      <c r="L397" s="488"/>
      <c r="M397" s="488"/>
      <c r="N397" s="488"/>
      <c r="O397" s="488"/>
      <c r="P397" s="266"/>
      <c r="Q397" s="257"/>
      <c r="S397" s="3487"/>
    </row>
    <row r="398" spans="2:19" ht="20.25" customHeight="1">
      <c r="B398" s="253"/>
      <c r="C398" s="490" t="s">
        <v>632</v>
      </c>
      <c r="D398" s="599" t="s">
        <v>641</v>
      </c>
      <c r="E398" s="488"/>
      <c r="F398" s="488"/>
      <c r="G398" s="488"/>
      <c r="H398" s="488"/>
      <c r="I398" s="488"/>
      <c r="J398" s="488"/>
      <c r="K398" s="488"/>
      <c r="L398" s="488"/>
      <c r="M398" s="488"/>
      <c r="N398" s="488"/>
      <c r="O398" s="488"/>
      <c r="P398" s="266"/>
      <c r="Q398" s="257"/>
      <c r="S398" s="3487"/>
    </row>
    <row r="399" spans="2:19" ht="6" customHeight="1">
      <c r="B399" s="253"/>
      <c r="C399" s="490"/>
      <c r="D399" s="491"/>
      <c r="E399" s="488"/>
      <c r="F399" s="488"/>
      <c r="G399" s="488"/>
      <c r="H399" s="488"/>
      <c r="I399" s="488"/>
      <c r="J399" s="488"/>
      <c r="K399" s="488"/>
      <c r="L399" s="488"/>
      <c r="M399" s="488"/>
      <c r="N399" s="488"/>
      <c r="O399" s="488"/>
      <c r="P399" s="266"/>
      <c r="Q399" s="257"/>
      <c r="S399" s="3487"/>
    </row>
    <row r="400" spans="2:19" ht="26.25" customHeight="1">
      <c r="B400" s="253"/>
      <c r="C400" s="916" t="s">
        <v>642</v>
      </c>
      <c r="D400" s="489"/>
      <c r="E400" s="488"/>
      <c r="F400" s="488"/>
      <c r="G400" s="488"/>
      <c r="H400" s="488"/>
      <c r="I400" s="488"/>
      <c r="J400" s="488"/>
      <c r="K400" s="488"/>
      <c r="L400" s="488"/>
      <c r="M400" s="488"/>
      <c r="N400" s="488"/>
      <c r="O400" s="488"/>
      <c r="P400" s="266"/>
      <c r="Q400" s="257"/>
      <c r="S400" s="3487"/>
    </row>
    <row r="401" spans="2:34" ht="21.75" customHeight="1">
      <c r="B401" s="253"/>
      <c r="C401" s="757" t="s">
        <v>643</v>
      </c>
      <c r="D401" s="489"/>
      <c r="E401" s="488"/>
      <c r="F401" s="488"/>
      <c r="G401" s="488"/>
      <c r="H401" s="488"/>
      <c r="I401" s="488"/>
      <c r="J401" s="488"/>
      <c r="K401" s="488"/>
      <c r="L401" s="488"/>
      <c r="M401" s="488"/>
      <c r="N401" s="488"/>
      <c r="O401" s="488"/>
      <c r="P401" s="266"/>
      <c r="Q401" s="257"/>
      <c r="S401" s="3487"/>
    </row>
    <row r="402" spans="2:34" ht="16.5" customHeight="1">
      <c r="B402" s="253"/>
      <c r="C402" s="917" t="s">
        <v>644</v>
      </c>
      <c r="D402" s="489"/>
      <c r="E402" s="488"/>
      <c r="F402" s="488"/>
      <c r="G402" s="488"/>
      <c r="H402" s="488"/>
      <c r="I402" s="488"/>
      <c r="J402" s="488"/>
      <c r="K402" s="488"/>
      <c r="L402" s="488"/>
      <c r="M402" s="488"/>
      <c r="N402" s="488"/>
      <c r="O402" s="488"/>
      <c r="P402" s="266"/>
      <c r="Q402" s="257"/>
      <c r="S402" s="3487"/>
    </row>
    <row r="403" spans="2:34" ht="23.25" customHeight="1">
      <c r="B403" s="253"/>
      <c r="C403" s="918" t="s">
        <v>645</v>
      </c>
      <c r="D403" s="489"/>
      <c r="E403" s="488"/>
      <c r="F403" s="488"/>
      <c r="G403" s="488"/>
      <c r="H403" s="488"/>
      <c r="I403" s="488"/>
      <c r="J403" s="488"/>
      <c r="K403" s="488"/>
      <c r="L403" s="488"/>
      <c r="M403" s="488"/>
      <c r="N403" s="488"/>
      <c r="O403" s="488"/>
      <c r="P403" s="266"/>
      <c r="Q403" s="257"/>
      <c r="S403" s="3487"/>
    </row>
    <row r="404" spans="2:34" ht="13.5" customHeight="1">
      <c r="B404" s="253"/>
      <c r="C404" s="324"/>
      <c r="D404" s="325"/>
      <c r="E404" s="306"/>
      <c r="F404" s="306"/>
      <c r="G404" s="306"/>
      <c r="H404" s="306"/>
      <c r="I404" s="306"/>
      <c r="J404" s="306"/>
      <c r="K404" s="306"/>
      <c r="L404" s="306"/>
      <c r="M404" s="306"/>
      <c r="N404" s="306"/>
      <c r="O404" s="306"/>
      <c r="P404" s="307"/>
      <c r="Q404" s="257"/>
      <c r="S404" s="3487"/>
    </row>
    <row r="405" spans="2:34" ht="16.5" customHeight="1">
      <c r="B405" s="253"/>
      <c r="C405" s="3361"/>
      <c r="D405" s="3361"/>
      <c r="E405" s="3361"/>
      <c r="F405" s="3361"/>
      <c r="G405" s="3361"/>
      <c r="H405" s="414"/>
      <c r="I405" s="414"/>
      <c r="J405" s="3281"/>
      <c r="K405" s="3281"/>
      <c r="L405" s="414"/>
      <c r="M405" s="3281"/>
      <c r="N405" s="3281"/>
      <c r="O405" s="414"/>
      <c r="P405" s="414"/>
      <c r="Q405" s="257"/>
      <c r="S405" s="3487"/>
    </row>
    <row r="406" spans="2:34" ht="18" customHeight="1" thickBot="1">
      <c r="B406" s="253"/>
      <c r="C406" s="255"/>
      <c r="D406" s="255"/>
      <c r="E406" s="256"/>
      <c r="F406" s="256"/>
      <c r="G406" s="256"/>
      <c r="H406" s="256"/>
      <c r="I406" s="256"/>
      <c r="J406" s="256"/>
      <c r="K406" s="256"/>
      <c r="L406" s="256"/>
      <c r="M406" s="256"/>
      <c r="N406" s="256"/>
      <c r="O406" s="256"/>
      <c r="P406" s="256"/>
      <c r="Q406" s="257"/>
      <c r="S406" s="3487"/>
    </row>
    <row r="407" spans="2:34" ht="30" customHeight="1">
      <c r="B407" s="253"/>
      <c r="C407" s="3214" t="s">
        <v>646</v>
      </c>
      <c r="D407" s="3215"/>
      <c r="E407" s="3215"/>
      <c r="F407" s="3216"/>
      <c r="G407" s="1061"/>
      <c r="H407" s="1061"/>
      <c r="I407" s="1061"/>
      <c r="J407" s="1061"/>
      <c r="K407" s="1061"/>
      <c r="L407" s="1061"/>
      <c r="M407" s="1061"/>
      <c r="N407" s="1061"/>
      <c r="O407" s="1062"/>
      <c r="P407" s="1061"/>
      <c r="Q407" s="257"/>
      <c r="S407" s="3487"/>
    </row>
    <row r="408" spans="2:34" ht="3" customHeight="1" thickBot="1">
      <c r="B408" s="253"/>
      <c r="C408" s="1064"/>
      <c r="D408" s="1063"/>
      <c r="E408" s="1063"/>
      <c r="F408" s="1065"/>
      <c r="G408" s="299"/>
      <c r="H408" s="299"/>
      <c r="I408" s="299"/>
      <c r="J408" s="299"/>
      <c r="K408" s="299"/>
      <c r="L408" s="299"/>
      <c r="M408" s="299"/>
      <c r="N408" s="299"/>
      <c r="O408" s="299"/>
      <c r="P408" s="299"/>
      <c r="Q408" s="257"/>
      <c r="S408" s="3487"/>
    </row>
    <row r="409" spans="2:34" ht="19.5" customHeight="1">
      <c r="B409" s="253"/>
      <c r="C409" s="3239" t="s">
        <v>647</v>
      </c>
      <c r="D409" s="3240"/>
      <c r="E409" s="3236" t="s">
        <v>648</v>
      </c>
      <c r="F409" s="3237"/>
      <c r="G409" s="3237"/>
      <c r="H409" s="3237"/>
      <c r="I409" s="3237"/>
      <c r="J409" s="3237"/>
      <c r="K409" s="3237"/>
      <c r="L409" s="3237"/>
      <c r="M409" s="3237"/>
      <c r="N409" s="3238"/>
      <c r="O409" s="3232" t="s">
        <v>649</v>
      </c>
      <c r="P409" s="3233"/>
      <c r="Q409" s="257"/>
      <c r="S409" s="3487"/>
      <c r="T409" s="3358"/>
      <c r="U409" s="3359"/>
      <c r="V409" s="3359"/>
      <c r="W409" s="3359"/>
      <c r="X409" s="3359"/>
      <c r="Y409" s="3359"/>
      <c r="Z409" s="3359"/>
      <c r="AA409" s="3359"/>
      <c r="AB409" s="3359"/>
      <c r="AC409" s="3359"/>
      <c r="AD409" s="3359"/>
      <c r="AE409" s="3358"/>
      <c r="AF409" s="3358"/>
      <c r="AG409" s="3358"/>
      <c r="AH409" s="3358"/>
    </row>
    <row r="410" spans="2:34" ht="19.5" customHeight="1" thickBot="1">
      <c r="B410" s="253"/>
      <c r="C410" s="3362"/>
      <c r="D410" s="3363"/>
      <c r="E410" s="481">
        <f>IF(E51="",0,E51)</f>
        <v>0</v>
      </c>
      <c r="F410" s="312">
        <f t="shared" ref="F410:N410" si="0">E410+1</f>
        <v>1</v>
      </c>
      <c r="G410" s="312">
        <f t="shared" si="0"/>
        <v>2</v>
      </c>
      <c r="H410" s="312">
        <f t="shared" si="0"/>
        <v>3</v>
      </c>
      <c r="I410" s="312">
        <f t="shared" si="0"/>
        <v>4</v>
      </c>
      <c r="J410" s="312">
        <f t="shared" si="0"/>
        <v>5</v>
      </c>
      <c r="K410" s="312">
        <f t="shared" si="0"/>
        <v>6</v>
      </c>
      <c r="L410" s="312">
        <f t="shared" si="0"/>
        <v>7</v>
      </c>
      <c r="M410" s="312">
        <f t="shared" si="0"/>
        <v>8</v>
      </c>
      <c r="N410" s="312">
        <f t="shared" si="0"/>
        <v>9</v>
      </c>
      <c r="O410" s="3342"/>
      <c r="P410" s="3360"/>
      <c r="Q410" s="257"/>
      <c r="S410" s="3487"/>
      <c r="T410" s="3358"/>
      <c r="U410" s="326"/>
      <c r="V410" s="327"/>
      <c r="W410" s="327"/>
      <c r="X410" s="327"/>
      <c r="Y410" s="327"/>
      <c r="Z410" s="327"/>
      <c r="AA410" s="327"/>
      <c r="AB410" s="327"/>
      <c r="AC410" s="327"/>
      <c r="AD410" s="327"/>
      <c r="AE410" s="3358"/>
      <c r="AF410" s="3358"/>
      <c r="AG410" s="3358"/>
      <c r="AH410" s="3358"/>
    </row>
    <row r="411" spans="2:34" ht="22.5" customHeight="1" thickTop="1" thickBot="1">
      <c r="B411" s="253"/>
      <c r="C411" s="1066" t="s">
        <v>477</v>
      </c>
      <c r="D411" s="744" t="s">
        <v>467</v>
      </c>
      <c r="E411" s="745">
        <f t="shared" ref="E411:N411" si="1">E412+E419</f>
        <v>0</v>
      </c>
      <c r="F411" s="746">
        <f t="shared" si="1"/>
        <v>0</v>
      </c>
      <c r="G411" s="746">
        <f t="shared" si="1"/>
        <v>0</v>
      </c>
      <c r="H411" s="746">
        <f t="shared" si="1"/>
        <v>0</v>
      </c>
      <c r="I411" s="746">
        <f t="shared" si="1"/>
        <v>0</v>
      </c>
      <c r="J411" s="746">
        <f t="shared" si="1"/>
        <v>0</v>
      </c>
      <c r="K411" s="746">
        <f t="shared" si="1"/>
        <v>0</v>
      </c>
      <c r="L411" s="746">
        <f t="shared" si="1"/>
        <v>0</v>
      </c>
      <c r="M411" s="746">
        <f t="shared" si="1"/>
        <v>0</v>
      </c>
      <c r="N411" s="747">
        <f t="shared" si="1"/>
        <v>0</v>
      </c>
      <c r="O411" s="3230">
        <f t="shared" ref="O411:O424" si="2">SUM(E411:N411)</f>
        <v>0</v>
      </c>
      <c r="P411" s="3231"/>
      <c r="Q411" s="257"/>
      <c r="S411" s="3487"/>
      <c r="T411" s="662"/>
      <c r="U411" s="326"/>
      <c r="V411" s="327"/>
      <c r="W411" s="327"/>
      <c r="X411" s="327"/>
      <c r="Y411" s="327"/>
      <c r="Z411" s="327"/>
      <c r="AA411" s="327"/>
      <c r="AB411" s="327"/>
      <c r="AC411" s="327"/>
      <c r="AD411" s="327"/>
      <c r="AE411" s="662"/>
      <c r="AF411" s="662"/>
      <c r="AG411" s="662"/>
      <c r="AH411" s="662"/>
    </row>
    <row r="412" spans="2:34" ht="22.5" customHeight="1">
      <c r="B412" s="253"/>
      <c r="C412" s="1069" t="s">
        <v>101</v>
      </c>
      <c r="D412" s="738" t="s">
        <v>650</v>
      </c>
      <c r="E412" s="739">
        <f>SUM(E413:E414)</f>
        <v>0</v>
      </c>
      <c r="F412" s="740">
        <f t="shared" ref="F412:N412" si="3">SUM(F413:F414)</f>
        <v>0</v>
      </c>
      <c r="G412" s="740">
        <f t="shared" si="3"/>
        <v>0</v>
      </c>
      <c r="H412" s="740">
        <f t="shared" si="3"/>
        <v>0</v>
      </c>
      <c r="I412" s="740">
        <f t="shared" si="3"/>
        <v>0</v>
      </c>
      <c r="J412" s="740">
        <f t="shared" si="3"/>
        <v>0</v>
      </c>
      <c r="K412" s="740">
        <f t="shared" si="3"/>
        <v>0</v>
      </c>
      <c r="L412" s="740">
        <f t="shared" si="3"/>
        <v>0</v>
      </c>
      <c r="M412" s="740">
        <f t="shared" si="3"/>
        <v>0</v>
      </c>
      <c r="N412" s="740">
        <f t="shared" si="3"/>
        <v>0</v>
      </c>
      <c r="O412" s="3274">
        <f t="shared" si="2"/>
        <v>0</v>
      </c>
      <c r="P412" s="3275"/>
      <c r="Q412" s="257"/>
      <c r="S412" s="3487"/>
      <c r="T412" s="662"/>
      <c r="U412" s="326"/>
      <c r="V412" s="327"/>
      <c r="W412" s="327"/>
      <c r="X412" s="327"/>
      <c r="Y412" s="327"/>
      <c r="Z412" s="327"/>
      <c r="AA412" s="327"/>
      <c r="AB412" s="327"/>
      <c r="AC412" s="327"/>
      <c r="AD412" s="327"/>
      <c r="AE412" s="662"/>
      <c r="AF412" s="662"/>
      <c r="AG412" s="662"/>
      <c r="AH412" s="662"/>
    </row>
    <row r="413" spans="2:34" ht="18" customHeight="1">
      <c r="B413" s="486" t="str">
        <f>IF(COUNTBLANK(E413:N413)&lt;10,"","u")</f>
        <v>u</v>
      </c>
      <c r="C413" s="1140" t="s">
        <v>2287</v>
      </c>
      <c r="D413" s="596"/>
      <c r="E413" s="594"/>
      <c r="F413" s="595"/>
      <c r="G413" s="595"/>
      <c r="H413" s="595"/>
      <c r="I413" s="595"/>
      <c r="J413" s="595"/>
      <c r="K413" s="595"/>
      <c r="L413" s="595"/>
      <c r="M413" s="595"/>
      <c r="N413" s="595"/>
      <c r="O413" s="3272">
        <f t="shared" si="2"/>
        <v>0</v>
      </c>
      <c r="P413" s="3273"/>
      <c r="Q413" s="257"/>
      <c r="S413" s="3487"/>
      <c r="T413" s="328"/>
      <c r="U413" s="234"/>
      <c r="V413" s="234"/>
      <c r="W413" s="234"/>
      <c r="X413" s="234"/>
      <c r="Y413" s="234"/>
      <c r="Z413" s="234"/>
      <c r="AA413" s="234"/>
      <c r="AB413" s="234"/>
      <c r="AC413" s="234"/>
      <c r="AD413" s="234"/>
      <c r="AE413" s="234"/>
      <c r="AF413" s="234"/>
      <c r="AG413" s="234"/>
      <c r="AH413" s="234"/>
    </row>
    <row r="414" spans="2:34" ht="18" customHeight="1">
      <c r="B414" s="486" t="str">
        <f>IF(COUNTBLANK(E414:N414)&lt;10,"","u")</f>
        <v>u</v>
      </c>
      <c r="C414" s="1068" t="s">
        <v>651</v>
      </c>
      <c r="D414" s="724" t="s">
        <v>237</v>
      </c>
      <c r="E414" s="725"/>
      <c r="F414" s="726"/>
      <c r="G414" s="726"/>
      <c r="H414" s="726"/>
      <c r="I414" s="726"/>
      <c r="J414" s="726"/>
      <c r="K414" s="726"/>
      <c r="L414" s="726"/>
      <c r="M414" s="726"/>
      <c r="N414" s="726"/>
      <c r="O414" s="3276">
        <f t="shared" si="2"/>
        <v>0</v>
      </c>
      <c r="P414" s="3277"/>
      <c r="Q414" s="257"/>
      <c r="S414" s="3487"/>
      <c r="T414" s="328"/>
      <c r="U414" s="234"/>
      <c r="V414" s="234"/>
      <c r="W414" s="234"/>
      <c r="X414" s="234"/>
      <c r="Y414" s="234"/>
      <c r="Z414" s="234"/>
      <c r="AA414" s="234"/>
      <c r="AB414" s="234"/>
      <c r="AC414" s="234"/>
      <c r="AD414" s="234"/>
      <c r="AE414" s="234"/>
      <c r="AF414" s="234"/>
      <c r="AG414" s="234"/>
      <c r="AH414" s="234"/>
    </row>
    <row r="415" spans="2:34" ht="18" customHeight="1">
      <c r="B415" s="486" t="str">
        <f>IF(COUNTBLANK(E415:N415)&lt;10,"","w")</f>
        <v>w</v>
      </c>
      <c r="C415" s="3201" t="s">
        <v>652</v>
      </c>
      <c r="D415" s="3202"/>
      <c r="E415" s="728"/>
      <c r="F415" s="729"/>
      <c r="G415" s="729"/>
      <c r="H415" s="729"/>
      <c r="I415" s="729"/>
      <c r="J415" s="729"/>
      <c r="K415" s="729"/>
      <c r="L415" s="729"/>
      <c r="M415" s="729"/>
      <c r="N415" s="730"/>
      <c r="O415" s="3228">
        <f t="shared" si="2"/>
        <v>0</v>
      </c>
      <c r="P415" s="3229"/>
      <c r="Q415" s="257"/>
      <c r="S415" s="3487"/>
      <c r="T415" s="328"/>
      <c r="U415" s="234"/>
      <c r="V415" s="234"/>
      <c r="W415" s="234"/>
      <c r="X415" s="234"/>
      <c r="Y415" s="234"/>
      <c r="Z415" s="234"/>
      <c r="AA415" s="234"/>
      <c r="AB415" s="234"/>
      <c r="AC415" s="234"/>
      <c r="AD415" s="234"/>
      <c r="AE415" s="234"/>
      <c r="AF415" s="234"/>
      <c r="AG415" s="234"/>
      <c r="AH415" s="234"/>
    </row>
    <row r="416" spans="2:34" ht="18" customHeight="1">
      <c r="B416" s="486" t="str">
        <f>IF(COUNTBLANK(E416:N416)&lt;10,"","w")</f>
        <v>w</v>
      </c>
      <c r="C416" s="3266" t="s">
        <v>653</v>
      </c>
      <c r="D416" s="3267"/>
      <c r="E416" s="716"/>
      <c r="F416" s="717"/>
      <c r="G416" s="717"/>
      <c r="H416" s="717"/>
      <c r="I416" s="717"/>
      <c r="J416" s="717"/>
      <c r="K416" s="717"/>
      <c r="L416" s="717"/>
      <c r="M416" s="717"/>
      <c r="N416" s="718"/>
      <c r="O416" s="3268">
        <f t="shared" si="2"/>
        <v>0</v>
      </c>
      <c r="P416" s="3269"/>
      <c r="Q416" s="257"/>
      <c r="S416" s="3487"/>
    </row>
    <row r="417" spans="2:34" ht="18" customHeight="1">
      <c r="B417" s="486" t="str">
        <f>IF(COUNTBLANK(E417:N417)&lt;10,"","w")</f>
        <v>w</v>
      </c>
      <c r="C417" s="3205" t="s">
        <v>654</v>
      </c>
      <c r="D417" s="3206"/>
      <c r="E417" s="735"/>
      <c r="F417" s="736"/>
      <c r="G417" s="736"/>
      <c r="H417" s="736"/>
      <c r="I417" s="736"/>
      <c r="J417" s="736"/>
      <c r="K417" s="736"/>
      <c r="L417" s="736"/>
      <c r="M417" s="736"/>
      <c r="N417" s="737"/>
      <c r="O417" s="3224">
        <f t="shared" si="2"/>
        <v>0</v>
      </c>
      <c r="P417" s="3225"/>
      <c r="Q417" s="257"/>
      <c r="S417" s="3487"/>
    </row>
    <row r="418" spans="2:34" ht="18" customHeight="1" thickBot="1">
      <c r="B418" s="486" t="str">
        <f>IF(COUNTBLANK(E418:N418)&lt;10,"","w")</f>
        <v>w</v>
      </c>
      <c r="C418" s="3203" t="s">
        <v>655</v>
      </c>
      <c r="D418" s="3204"/>
      <c r="E418" s="752"/>
      <c r="F418" s="753"/>
      <c r="G418" s="753"/>
      <c r="H418" s="753"/>
      <c r="I418" s="753"/>
      <c r="J418" s="753"/>
      <c r="K418" s="753"/>
      <c r="L418" s="753"/>
      <c r="M418" s="753"/>
      <c r="N418" s="754"/>
      <c r="O418" s="3364">
        <f t="shared" si="2"/>
        <v>0</v>
      </c>
      <c r="P418" s="3365"/>
      <c r="Q418" s="257"/>
      <c r="S418" s="3487"/>
    </row>
    <row r="419" spans="2:34" ht="22.5" customHeight="1">
      <c r="B419" s="253"/>
      <c r="C419" s="1067" t="s">
        <v>102</v>
      </c>
      <c r="D419" s="734" t="s">
        <v>650</v>
      </c>
      <c r="E419" s="732">
        <f t="shared" ref="E419:N419" si="4">SUM(E420:E421)</f>
        <v>0</v>
      </c>
      <c r="F419" s="733">
        <f t="shared" si="4"/>
        <v>0</v>
      </c>
      <c r="G419" s="733">
        <f t="shared" si="4"/>
        <v>0</v>
      </c>
      <c r="H419" s="733">
        <f>SUM(H420:H421)</f>
        <v>0</v>
      </c>
      <c r="I419" s="733">
        <f t="shared" si="4"/>
        <v>0</v>
      </c>
      <c r="J419" s="733">
        <f t="shared" si="4"/>
        <v>0</v>
      </c>
      <c r="K419" s="733">
        <f t="shared" si="4"/>
        <v>0</v>
      </c>
      <c r="L419" s="733">
        <f t="shared" si="4"/>
        <v>0</v>
      </c>
      <c r="M419" s="733">
        <f t="shared" si="4"/>
        <v>0</v>
      </c>
      <c r="N419" s="733">
        <f t="shared" si="4"/>
        <v>0</v>
      </c>
      <c r="O419" s="3174">
        <f t="shared" si="2"/>
        <v>0</v>
      </c>
      <c r="P419" s="3175"/>
      <c r="Q419" s="257"/>
      <c r="S419" s="3487"/>
      <c r="T419" s="662"/>
      <c r="U419" s="326"/>
      <c r="V419" s="327"/>
      <c r="W419" s="327"/>
      <c r="X419" s="327"/>
      <c r="Y419" s="327"/>
      <c r="Z419" s="327"/>
      <c r="AA419" s="327"/>
      <c r="AB419" s="327"/>
      <c r="AC419" s="327"/>
      <c r="AD419" s="327"/>
      <c r="AE419" s="662"/>
      <c r="AF419" s="662"/>
      <c r="AG419" s="662"/>
      <c r="AH419" s="662"/>
    </row>
    <row r="420" spans="2:34" ht="18" customHeight="1">
      <c r="B420" s="486" t="str">
        <f>IF(COUNTBLANK(E420:N420)&lt;10,"","u")</f>
        <v>u</v>
      </c>
      <c r="C420" s="1140" t="s">
        <v>2287</v>
      </c>
      <c r="D420" s="352"/>
      <c r="E420" s="570"/>
      <c r="F420" s="571"/>
      <c r="G420" s="571"/>
      <c r="H420" s="571"/>
      <c r="I420" s="571"/>
      <c r="J420" s="571"/>
      <c r="K420" s="571"/>
      <c r="L420" s="571"/>
      <c r="M420" s="571"/>
      <c r="N420" s="571"/>
      <c r="O420" s="3289">
        <f t="shared" si="2"/>
        <v>0</v>
      </c>
      <c r="P420" s="3290"/>
      <c r="Q420" s="257"/>
      <c r="S420" s="3487"/>
      <c r="T420" s="328"/>
      <c r="U420" s="234"/>
      <c r="V420" s="234"/>
      <c r="W420" s="234"/>
      <c r="X420" s="234"/>
      <c r="Y420" s="234"/>
      <c r="Z420" s="234"/>
      <c r="AA420" s="234"/>
      <c r="AB420" s="234"/>
      <c r="AC420" s="234"/>
      <c r="AD420" s="234"/>
      <c r="AE420" s="234"/>
      <c r="AF420" s="234"/>
      <c r="AG420" s="234"/>
      <c r="AH420" s="234"/>
    </row>
    <row r="421" spans="2:34" ht="18" customHeight="1">
      <c r="B421" s="486" t="str">
        <f>IF(COUNTBLANK(E421:N421)&lt;10,"","u")</f>
        <v>u</v>
      </c>
      <c r="C421" s="1144" t="s">
        <v>651</v>
      </c>
      <c r="D421" s="974" t="s">
        <v>237</v>
      </c>
      <c r="E421" s="973"/>
      <c r="F421" s="722"/>
      <c r="G421" s="722"/>
      <c r="H421" s="722"/>
      <c r="I421" s="722"/>
      <c r="J421" s="722"/>
      <c r="K421" s="722"/>
      <c r="L421" s="722"/>
      <c r="M421" s="722"/>
      <c r="N421" s="722"/>
      <c r="O421" s="3366">
        <f>SUM(E421:N421)</f>
        <v>0</v>
      </c>
      <c r="P421" s="3367"/>
      <c r="Q421" s="257"/>
      <c r="S421" s="3487"/>
      <c r="T421" s="328"/>
      <c r="U421" s="234"/>
      <c r="V421" s="234"/>
      <c r="W421" s="234"/>
      <c r="X421" s="234"/>
      <c r="Y421" s="234"/>
      <c r="Z421" s="234"/>
      <c r="AA421" s="234"/>
      <c r="AB421" s="234"/>
      <c r="AC421" s="234"/>
      <c r="AD421" s="234"/>
      <c r="AE421" s="234"/>
      <c r="AF421" s="234"/>
      <c r="AG421" s="234"/>
      <c r="AH421" s="234"/>
    </row>
    <row r="422" spans="2:34" ht="18" customHeight="1">
      <c r="B422" s="486" t="str">
        <f>IF(COUNTBLANK(E422:N422)&lt;10,"","w")</f>
        <v>w</v>
      </c>
      <c r="C422" s="3282" t="s">
        <v>652</v>
      </c>
      <c r="D422" s="3283"/>
      <c r="E422" s="719"/>
      <c r="F422" s="720"/>
      <c r="G422" s="720"/>
      <c r="H422" s="720"/>
      <c r="I422" s="720"/>
      <c r="J422" s="720"/>
      <c r="K422" s="720"/>
      <c r="L422" s="720"/>
      <c r="M422" s="720"/>
      <c r="N422" s="721"/>
      <c r="O422" s="3246">
        <f t="shared" si="2"/>
        <v>0</v>
      </c>
      <c r="P422" s="3247"/>
      <c r="Q422" s="257"/>
      <c r="S422" s="3487"/>
      <c r="T422" s="328"/>
      <c r="U422" s="234"/>
      <c r="V422" s="234"/>
      <c r="W422" s="234"/>
      <c r="X422" s="234"/>
      <c r="Y422" s="234"/>
      <c r="Z422" s="234"/>
      <c r="AA422" s="234"/>
      <c r="AB422" s="234"/>
      <c r="AC422" s="234"/>
      <c r="AD422" s="234"/>
      <c r="AE422" s="234"/>
      <c r="AF422" s="234"/>
      <c r="AG422" s="234"/>
      <c r="AH422" s="234"/>
    </row>
    <row r="423" spans="2:34" ht="18" customHeight="1">
      <c r="B423" s="486" t="str">
        <f>IF(COUNTBLANK(E423:N423)&lt;10,"","w")</f>
        <v>w</v>
      </c>
      <c r="C423" s="3284" t="s">
        <v>653</v>
      </c>
      <c r="D423" s="3285"/>
      <c r="E423" s="716"/>
      <c r="F423" s="717"/>
      <c r="G423" s="717"/>
      <c r="H423" s="717"/>
      <c r="I423" s="717"/>
      <c r="J423" s="717"/>
      <c r="K423" s="717"/>
      <c r="L423" s="717"/>
      <c r="M423" s="717"/>
      <c r="N423" s="718"/>
      <c r="O423" s="3268">
        <f t="shared" si="2"/>
        <v>0</v>
      </c>
      <c r="P423" s="3269"/>
      <c r="Q423" s="257"/>
      <c r="S423" s="3487"/>
    </row>
    <row r="424" spans="2:34" ht="18" customHeight="1">
      <c r="B424" s="486" t="str">
        <f>IF(COUNTBLANK(E424:N424)&lt;10,"","w")</f>
        <v>w</v>
      </c>
      <c r="C424" s="3199" t="s">
        <v>654</v>
      </c>
      <c r="D424" s="3200"/>
      <c r="E424" s="735"/>
      <c r="F424" s="736"/>
      <c r="G424" s="736"/>
      <c r="H424" s="736"/>
      <c r="I424" s="736"/>
      <c r="J424" s="736"/>
      <c r="K424" s="736"/>
      <c r="L424" s="736"/>
      <c r="M424" s="736"/>
      <c r="N424" s="737"/>
      <c r="O424" s="3224">
        <f t="shared" si="2"/>
        <v>0</v>
      </c>
      <c r="P424" s="3225"/>
      <c r="Q424" s="257"/>
      <c r="S424" s="3487"/>
    </row>
    <row r="425" spans="2:34" ht="18" customHeight="1" thickBot="1">
      <c r="B425" s="486" t="str">
        <f>IF(COUNTBLANK(E425:N425)&lt;10,"","w")</f>
        <v>w</v>
      </c>
      <c r="C425" s="3199" t="s">
        <v>655</v>
      </c>
      <c r="D425" s="3200"/>
      <c r="E425" s="735"/>
      <c r="F425" s="736"/>
      <c r="G425" s="736"/>
      <c r="H425" s="736"/>
      <c r="I425" s="736"/>
      <c r="J425" s="736"/>
      <c r="K425" s="736"/>
      <c r="L425" s="736"/>
      <c r="M425" s="736"/>
      <c r="N425" s="737"/>
      <c r="O425" s="3224">
        <f>SUM(E425:N425)</f>
        <v>0</v>
      </c>
      <c r="P425" s="3225"/>
      <c r="Q425" s="257"/>
      <c r="S425" s="3487"/>
    </row>
    <row r="426" spans="2:34" ht="37.5" customHeight="1" thickBot="1">
      <c r="B426" s="253"/>
      <c r="C426" s="3209" t="s">
        <v>539</v>
      </c>
      <c r="D426" s="3210"/>
      <c r="E426" s="3217"/>
      <c r="F426" s="3218"/>
      <c r="G426" s="3218"/>
      <c r="H426" s="3218"/>
      <c r="I426" s="3218"/>
      <c r="J426" s="3218"/>
      <c r="K426" s="3218"/>
      <c r="L426" s="3218"/>
      <c r="M426" s="3218"/>
      <c r="N426" s="3218"/>
      <c r="O426" s="3218"/>
      <c r="P426" s="3219"/>
      <c r="Q426" s="257"/>
      <c r="S426" s="3487"/>
    </row>
    <row r="427" spans="2:34" ht="22.5" customHeight="1" thickBot="1">
      <c r="B427" s="473"/>
      <c r="C427" s="1142" t="s">
        <v>482</v>
      </c>
      <c r="D427" s="1143" t="s">
        <v>467</v>
      </c>
      <c r="E427" s="1071">
        <f t="shared" ref="E427:N427" si="5">E428+E430+E429</f>
        <v>0</v>
      </c>
      <c r="F427" s="1072">
        <f t="shared" si="5"/>
        <v>0</v>
      </c>
      <c r="G427" s="1072">
        <f t="shared" si="5"/>
        <v>0</v>
      </c>
      <c r="H427" s="1072">
        <f t="shared" si="5"/>
        <v>0</v>
      </c>
      <c r="I427" s="1072">
        <f t="shared" si="5"/>
        <v>0</v>
      </c>
      <c r="J427" s="1072">
        <f t="shared" si="5"/>
        <v>0</v>
      </c>
      <c r="K427" s="1072">
        <f t="shared" si="5"/>
        <v>0</v>
      </c>
      <c r="L427" s="1072">
        <f t="shared" si="5"/>
        <v>0</v>
      </c>
      <c r="M427" s="1072">
        <f t="shared" si="5"/>
        <v>0</v>
      </c>
      <c r="N427" s="1073">
        <f t="shared" si="5"/>
        <v>0</v>
      </c>
      <c r="O427" s="3278">
        <f t="shared" ref="O427:O433" si="6">SUM(E427:N427)</f>
        <v>0</v>
      </c>
      <c r="P427" s="3279"/>
      <c r="Q427" s="313"/>
      <c r="S427" s="3487"/>
      <c r="T427" s="328"/>
      <c r="U427" s="234"/>
      <c r="V427" s="234"/>
      <c r="W427" s="234"/>
      <c r="X427" s="234"/>
      <c r="Y427" s="234"/>
      <c r="Z427" s="234"/>
      <c r="AA427" s="234"/>
      <c r="AB427" s="234"/>
      <c r="AC427" s="234"/>
      <c r="AD427" s="234"/>
      <c r="AE427" s="234"/>
      <c r="AF427" s="234"/>
      <c r="AG427" s="234"/>
      <c r="AH427" s="234"/>
    </row>
    <row r="428" spans="2:34" ht="18" customHeight="1">
      <c r="B428" s="486" t="str">
        <f>IF(COUNTBLANK(E428:N428)&lt;10,"","u")</f>
        <v>u</v>
      </c>
      <c r="C428" s="3211" t="s">
        <v>2287</v>
      </c>
      <c r="D428" s="3212"/>
      <c r="E428" s="1082"/>
      <c r="F428" s="1083"/>
      <c r="G428" s="1083"/>
      <c r="H428" s="1083"/>
      <c r="I428" s="1083"/>
      <c r="J428" s="1083"/>
      <c r="K428" s="1083"/>
      <c r="L428" s="1083"/>
      <c r="M428" s="1083"/>
      <c r="N428" s="1084"/>
      <c r="O428" s="3292">
        <f t="shared" si="6"/>
        <v>0</v>
      </c>
      <c r="P428" s="3293"/>
      <c r="Q428" s="313"/>
      <c r="S428" s="3487"/>
      <c r="T428" s="328"/>
      <c r="U428" s="234"/>
      <c r="V428" s="234"/>
      <c r="W428" s="234"/>
      <c r="X428" s="234"/>
      <c r="Y428" s="234"/>
      <c r="Z428" s="234"/>
      <c r="AA428" s="234"/>
      <c r="AB428" s="234"/>
      <c r="AC428" s="234"/>
      <c r="AD428" s="234"/>
      <c r="AE428" s="234"/>
      <c r="AF428" s="234"/>
      <c r="AG428" s="234"/>
      <c r="AH428" s="234"/>
    </row>
    <row r="429" spans="2:34" ht="18" customHeight="1">
      <c r="B429" s="486" t="str">
        <f>IF(COUNTBLANK(E429:N429)&lt;10,"","u")</f>
        <v>u</v>
      </c>
      <c r="C429" s="1138" t="s">
        <v>656</v>
      </c>
      <c r="D429" s="1139"/>
      <c r="E429" s="570"/>
      <c r="F429" s="571"/>
      <c r="G429" s="571"/>
      <c r="H429" s="571"/>
      <c r="I429" s="571"/>
      <c r="J429" s="571"/>
      <c r="K429" s="571"/>
      <c r="L429" s="571"/>
      <c r="M429" s="571"/>
      <c r="N429" s="572"/>
      <c r="O429" s="3289">
        <f t="shared" si="6"/>
        <v>0</v>
      </c>
      <c r="P429" s="3290"/>
      <c r="Q429" s="313"/>
      <c r="S429" s="3487"/>
      <c r="T429" s="328"/>
      <c r="U429" s="234"/>
      <c r="V429" s="234"/>
      <c r="W429" s="234"/>
      <c r="X429" s="234"/>
      <c r="Y429" s="234"/>
      <c r="Z429" s="234"/>
      <c r="AA429" s="234"/>
      <c r="AB429" s="234"/>
      <c r="AC429" s="234"/>
      <c r="AD429" s="234"/>
      <c r="AE429" s="234"/>
      <c r="AF429" s="234"/>
      <c r="AG429" s="234"/>
      <c r="AH429" s="234"/>
    </row>
    <row r="430" spans="2:34" ht="18" customHeight="1">
      <c r="B430" s="486" t="str">
        <f>IF(COUNTBLANK(E430:N430)&lt;10,"","u")</f>
        <v>u</v>
      </c>
      <c r="C430" s="1145" t="s">
        <v>651</v>
      </c>
      <c r="D430" s="974" t="s">
        <v>237</v>
      </c>
      <c r="E430" s="1085"/>
      <c r="F430" s="1086"/>
      <c r="G430" s="1086"/>
      <c r="H430" s="1086"/>
      <c r="I430" s="1086"/>
      <c r="J430" s="1086"/>
      <c r="K430" s="1086"/>
      <c r="L430" s="1086"/>
      <c r="M430" s="1086"/>
      <c r="N430" s="1087"/>
      <c r="O430" s="3276">
        <f t="shared" si="6"/>
        <v>0</v>
      </c>
      <c r="P430" s="3277"/>
      <c r="Q430" s="257"/>
      <c r="S430" s="3487"/>
      <c r="T430" s="328"/>
      <c r="U430" s="234"/>
      <c r="V430" s="234"/>
      <c r="W430" s="234"/>
      <c r="X430" s="234"/>
      <c r="Y430" s="234"/>
      <c r="Z430" s="234"/>
      <c r="AA430" s="234"/>
      <c r="AB430" s="234"/>
      <c r="AC430" s="234"/>
      <c r="AD430" s="234"/>
      <c r="AE430" s="234"/>
      <c r="AF430" s="234"/>
      <c r="AG430" s="234"/>
      <c r="AH430" s="234"/>
    </row>
    <row r="431" spans="2:34" ht="18" customHeight="1">
      <c r="B431" s="486" t="str">
        <f>IF(COUNTBLANK(E431:N431)&lt;10,"","w")</f>
        <v>w</v>
      </c>
      <c r="C431" s="3201" t="s">
        <v>653</v>
      </c>
      <c r="D431" s="3202"/>
      <c r="E431" s="728"/>
      <c r="F431" s="729"/>
      <c r="G431" s="729"/>
      <c r="H431" s="729"/>
      <c r="I431" s="729"/>
      <c r="J431" s="729"/>
      <c r="K431" s="729"/>
      <c r="L431" s="729"/>
      <c r="M431" s="729"/>
      <c r="N431" s="730"/>
      <c r="O431" s="3228">
        <f t="shared" si="6"/>
        <v>0</v>
      </c>
      <c r="P431" s="3229"/>
      <c r="Q431" s="313"/>
      <c r="S431" s="3487"/>
    </row>
    <row r="432" spans="2:34" ht="18" customHeight="1">
      <c r="B432" s="486" t="str">
        <f>IF(COUNTBLANK(E432:N432)&lt;10,"","w")</f>
        <v>w</v>
      </c>
      <c r="C432" s="3205" t="s">
        <v>654</v>
      </c>
      <c r="D432" s="3206"/>
      <c r="E432" s="735"/>
      <c r="F432" s="736"/>
      <c r="G432" s="736"/>
      <c r="H432" s="736"/>
      <c r="I432" s="736"/>
      <c r="J432" s="736"/>
      <c r="K432" s="736"/>
      <c r="L432" s="736"/>
      <c r="M432" s="736"/>
      <c r="N432" s="737"/>
      <c r="O432" s="3224">
        <f t="shared" si="6"/>
        <v>0</v>
      </c>
      <c r="P432" s="3225"/>
      <c r="Q432" s="313"/>
      <c r="S432" s="3487"/>
    </row>
    <row r="433" spans="1:34" ht="18" customHeight="1" thickBot="1">
      <c r="B433" s="486" t="str">
        <f>IF(COUNTBLANK(E433:N433)&lt;10,"","w")</f>
        <v>w</v>
      </c>
      <c r="C433" s="3205" t="s">
        <v>655</v>
      </c>
      <c r="D433" s="3206"/>
      <c r="E433" s="735"/>
      <c r="F433" s="736"/>
      <c r="G433" s="736"/>
      <c r="H433" s="736"/>
      <c r="I433" s="736"/>
      <c r="J433" s="736"/>
      <c r="K433" s="736"/>
      <c r="L433" s="736"/>
      <c r="M433" s="736"/>
      <c r="N433" s="737"/>
      <c r="O433" s="3224">
        <f t="shared" si="6"/>
        <v>0</v>
      </c>
      <c r="P433" s="3225"/>
      <c r="Q433" s="313"/>
      <c r="S433" s="3487"/>
    </row>
    <row r="434" spans="1:34" ht="37.5" customHeight="1" thickBot="1">
      <c r="B434" s="253"/>
      <c r="C434" s="3209" t="s">
        <v>539</v>
      </c>
      <c r="D434" s="3210"/>
      <c r="E434" s="3217"/>
      <c r="F434" s="3218"/>
      <c r="G434" s="3218"/>
      <c r="H434" s="3218"/>
      <c r="I434" s="3218"/>
      <c r="J434" s="3218"/>
      <c r="K434" s="3218"/>
      <c r="L434" s="3218"/>
      <c r="M434" s="3218"/>
      <c r="N434" s="3218"/>
      <c r="O434" s="3218"/>
      <c r="P434" s="3219"/>
      <c r="Q434" s="257"/>
      <c r="S434" s="3487"/>
    </row>
    <row r="435" spans="1:34" ht="22.5" customHeight="1" thickBot="1">
      <c r="B435" s="253"/>
      <c r="C435" s="1142" t="s">
        <v>657</v>
      </c>
      <c r="D435" s="1143" t="s">
        <v>467</v>
      </c>
      <c r="E435" s="1071">
        <f t="shared" ref="E435:N435" si="7">E436+E442</f>
        <v>0</v>
      </c>
      <c r="F435" s="1072">
        <f t="shared" si="7"/>
        <v>0</v>
      </c>
      <c r="G435" s="1072">
        <f t="shared" si="7"/>
        <v>0</v>
      </c>
      <c r="H435" s="1072">
        <f t="shared" si="7"/>
        <v>0</v>
      </c>
      <c r="I435" s="1072">
        <f t="shared" si="7"/>
        <v>0</v>
      </c>
      <c r="J435" s="1072">
        <f t="shared" si="7"/>
        <v>0</v>
      </c>
      <c r="K435" s="1072">
        <f t="shared" si="7"/>
        <v>0</v>
      </c>
      <c r="L435" s="1072">
        <f t="shared" si="7"/>
        <v>0</v>
      </c>
      <c r="M435" s="1072">
        <f t="shared" si="7"/>
        <v>0</v>
      </c>
      <c r="N435" s="1073">
        <f t="shared" si="7"/>
        <v>0</v>
      </c>
      <c r="O435" s="3278">
        <f t="shared" ref="O435:O447" si="8">SUM(E435:N435)</f>
        <v>0</v>
      </c>
      <c r="P435" s="3279"/>
      <c r="Q435" s="257"/>
      <c r="S435" s="3487"/>
      <c r="T435" s="663"/>
      <c r="U435" s="11"/>
      <c r="V435" s="11"/>
      <c r="W435" s="11"/>
      <c r="X435" s="11"/>
      <c r="Y435" s="11"/>
      <c r="Z435" s="11"/>
      <c r="AA435" s="11"/>
      <c r="AB435" s="11"/>
      <c r="AC435" s="11"/>
      <c r="AD435" s="11"/>
      <c r="AE435" s="11"/>
    </row>
    <row r="436" spans="1:34" ht="22.5" customHeight="1">
      <c r="B436" s="253"/>
      <c r="C436" s="1069" t="s">
        <v>104</v>
      </c>
      <c r="D436" s="738" t="s">
        <v>650</v>
      </c>
      <c r="E436" s="739">
        <f t="shared" ref="E436:N436" si="9">SUM(E437:E438)</f>
        <v>0</v>
      </c>
      <c r="F436" s="740">
        <f t="shared" si="9"/>
        <v>0</v>
      </c>
      <c r="G436" s="740">
        <f t="shared" si="9"/>
        <v>0</v>
      </c>
      <c r="H436" s="740">
        <f t="shared" si="9"/>
        <v>0</v>
      </c>
      <c r="I436" s="740">
        <f t="shared" si="9"/>
        <v>0</v>
      </c>
      <c r="J436" s="740">
        <f t="shared" si="9"/>
        <v>0</v>
      </c>
      <c r="K436" s="740">
        <f t="shared" si="9"/>
        <v>0</v>
      </c>
      <c r="L436" s="740">
        <f t="shared" si="9"/>
        <v>0</v>
      </c>
      <c r="M436" s="740">
        <f t="shared" si="9"/>
        <v>0</v>
      </c>
      <c r="N436" s="740">
        <f t="shared" si="9"/>
        <v>0</v>
      </c>
      <c r="O436" s="3274">
        <f t="shared" si="8"/>
        <v>0</v>
      </c>
      <c r="P436" s="3275"/>
      <c r="Q436" s="257"/>
      <c r="S436" s="3487"/>
      <c r="T436" s="662"/>
      <c r="U436" s="326"/>
      <c r="V436" s="327"/>
      <c r="W436" s="327"/>
      <c r="X436" s="327"/>
      <c r="Y436" s="327"/>
      <c r="Z436" s="327"/>
      <c r="AA436" s="327"/>
      <c r="AB436" s="327"/>
      <c r="AC436" s="327"/>
      <c r="AD436" s="327"/>
      <c r="AE436" s="662"/>
      <c r="AF436" s="662"/>
      <c r="AG436" s="662"/>
      <c r="AH436" s="662"/>
    </row>
    <row r="437" spans="1:34" ht="18" customHeight="1">
      <c r="B437" s="486" t="str">
        <f>IF(COUNTBLANK(E437:N437)&lt;10,"","u")</f>
        <v>u</v>
      </c>
      <c r="C437" s="3211" t="s">
        <v>2287</v>
      </c>
      <c r="D437" s="3212"/>
      <c r="E437" s="570"/>
      <c r="F437" s="571"/>
      <c r="G437" s="571"/>
      <c r="H437" s="571"/>
      <c r="I437" s="571"/>
      <c r="J437" s="571"/>
      <c r="K437" s="571"/>
      <c r="L437" s="571"/>
      <c r="M437" s="571"/>
      <c r="N437" s="572"/>
      <c r="O437" s="3226">
        <f t="shared" si="8"/>
        <v>0</v>
      </c>
      <c r="P437" s="3227"/>
      <c r="Q437" s="257"/>
      <c r="S437" s="3487"/>
      <c r="T437" s="328"/>
      <c r="U437" s="234"/>
      <c r="V437" s="234"/>
      <c r="W437" s="234"/>
      <c r="X437" s="234"/>
      <c r="Y437" s="234"/>
      <c r="Z437" s="234"/>
      <c r="AA437" s="234"/>
      <c r="AB437" s="234"/>
      <c r="AC437" s="234"/>
      <c r="AD437" s="234"/>
      <c r="AE437" s="234"/>
      <c r="AF437" s="234"/>
      <c r="AG437" s="234"/>
      <c r="AH437" s="234"/>
    </row>
    <row r="438" spans="1:34" ht="18" customHeight="1">
      <c r="B438" s="486" t="str">
        <f>IF(COUNTBLANK(E438:N438)&lt;10,"","u")</f>
        <v>u</v>
      </c>
      <c r="C438" s="1068" t="s">
        <v>651</v>
      </c>
      <c r="D438" s="974" t="s">
        <v>237</v>
      </c>
      <c r="E438" s="1088"/>
      <c r="F438" s="722"/>
      <c r="G438" s="722"/>
      <c r="H438" s="722"/>
      <c r="I438" s="722"/>
      <c r="J438" s="722"/>
      <c r="K438" s="722"/>
      <c r="L438" s="722"/>
      <c r="M438" s="722"/>
      <c r="N438" s="723"/>
      <c r="O438" s="3226">
        <f t="shared" si="8"/>
        <v>0</v>
      </c>
      <c r="P438" s="3227"/>
      <c r="Q438" s="257"/>
      <c r="S438" s="3487"/>
      <c r="T438" s="328"/>
      <c r="U438" s="234"/>
      <c r="V438" s="234"/>
      <c r="W438" s="234"/>
      <c r="X438" s="234"/>
      <c r="Y438" s="234"/>
      <c r="Z438" s="234"/>
      <c r="AA438" s="234"/>
      <c r="AB438" s="234"/>
      <c r="AC438" s="234"/>
      <c r="AD438" s="234"/>
      <c r="AE438" s="234"/>
      <c r="AF438" s="234"/>
      <c r="AG438" s="234"/>
      <c r="AH438" s="234"/>
    </row>
    <row r="439" spans="1:34" ht="18" customHeight="1">
      <c r="B439" s="486" t="str">
        <f>IF(COUNTBLANK(E439:N439)&lt;10,"","w")</f>
        <v>w</v>
      </c>
      <c r="C439" s="3201" t="s">
        <v>653</v>
      </c>
      <c r="D439" s="3202"/>
      <c r="E439" s="731"/>
      <c r="F439" s="729"/>
      <c r="G439" s="729"/>
      <c r="H439" s="729"/>
      <c r="I439" s="729"/>
      <c r="J439" s="729"/>
      <c r="K439" s="729"/>
      <c r="L439" s="729"/>
      <c r="M439" s="729"/>
      <c r="N439" s="730"/>
      <c r="O439" s="3228">
        <f t="shared" si="8"/>
        <v>0</v>
      </c>
      <c r="P439" s="3229"/>
      <c r="Q439" s="257"/>
      <c r="S439" s="3487"/>
    </row>
    <row r="440" spans="1:34" ht="18" customHeight="1">
      <c r="A440" s="28" t="s">
        <v>552</v>
      </c>
      <c r="B440" s="486" t="str">
        <f>IF(COUNTBLANK(E440:N440)&lt;10,"","w")</f>
        <v>w</v>
      </c>
      <c r="C440" s="3205" t="s">
        <v>654</v>
      </c>
      <c r="D440" s="3206"/>
      <c r="E440" s="735"/>
      <c r="F440" s="736"/>
      <c r="G440" s="736"/>
      <c r="H440" s="736"/>
      <c r="I440" s="736"/>
      <c r="J440" s="736"/>
      <c r="K440" s="736"/>
      <c r="L440" s="736"/>
      <c r="M440" s="736"/>
      <c r="N440" s="737"/>
      <c r="O440" s="3224">
        <f t="shared" si="8"/>
        <v>0</v>
      </c>
      <c r="P440" s="3225"/>
      <c r="Q440" s="257"/>
      <c r="S440" s="3487"/>
    </row>
    <row r="441" spans="1:34" ht="18" customHeight="1" thickBot="1">
      <c r="B441" s="486" t="str">
        <f>IF(COUNTBLANK(E441:N441)&lt;10,"","w")</f>
        <v>w</v>
      </c>
      <c r="C441" s="3203" t="s">
        <v>655</v>
      </c>
      <c r="D441" s="3204"/>
      <c r="E441" s="752"/>
      <c r="F441" s="753"/>
      <c r="G441" s="753"/>
      <c r="H441" s="753"/>
      <c r="I441" s="753"/>
      <c r="J441" s="753"/>
      <c r="K441" s="753"/>
      <c r="L441" s="753"/>
      <c r="M441" s="753"/>
      <c r="N441" s="754"/>
      <c r="O441" s="3364">
        <f t="shared" si="8"/>
        <v>0</v>
      </c>
      <c r="P441" s="3365"/>
      <c r="Q441" s="257"/>
      <c r="S441" s="3487"/>
    </row>
    <row r="442" spans="1:34" ht="22.5" customHeight="1">
      <c r="B442" s="253"/>
      <c r="C442" s="1067" t="s">
        <v>105</v>
      </c>
      <c r="D442" s="734" t="s">
        <v>650</v>
      </c>
      <c r="E442" s="732">
        <f t="shared" ref="E442:N442" si="10">SUM(E443:E444)</f>
        <v>0</v>
      </c>
      <c r="F442" s="733">
        <f t="shared" si="10"/>
        <v>0</v>
      </c>
      <c r="G442" s="733">
        <f t="shared" si="10"/>
        <v>0</v>
      </c>
      <c r="H442" s="733">
        <f t="shared" si="10"/>
        <v>0</v>
      </c>
      <c r="I442" s="733">
        <f t="shared" si="10"/>
        <v>0</v>
      </c>
      <c r="J442" s="733">
        <f t="shared" si="10"/>
        <v>0</v>
      </c>
      <c r="K442" s="733">
        <f t="shared" si="10"/>
        <v>0</v>
      </c>
      <c r="L442" s="733">
        <f t="shared" si="10"/>
        <v>0</v>
      </c>
      <c r="M442" s="733">
        <f t="shared" si="10"/>
        <v>0</v>
      </c>
      <c r="N442" s="733">
        <f t="shared" si="10"/>
        <v>0</v>
      </c>
      <c r="O442" s="3174">
        <f t="shared" si="8"/>
        <v>0</v>
      </c>
      <c r="P442" s="3175"/>
      <c r="Q442" s="257"/>
      <c r="S442" s="3487"/>
      <c r="T442" s="662"/>
      <c r="U442" s="326"/>
      <c r="V442" s="327"/>
      <c r="W442" s="327"/>
      <c r="X442" s="327"/>
      <c r="Y442" s="327"/>
      <c r="Z442" s="327"/>
      <c r="AA442" s="327"/>
      <c r="AB442" s="327"/>
      <c r="AC442" s="327"/>
      <c r="AD442" s="327"/>
      <c r="AE442" s="662"/>
      <c r="AF442" s="662"/>
      <c r="AG442" s="662"/>
      <c r="AH442" s="662"/>
    </row>
    <row r="443" spans="1:34" ht="18" customHeight="1">
      <c r="B443" s="486" t="str">
        <f>IF(COUNTBLANK(E443:N443)&lt;10,"","u")</f>
        <v>u</v>
      </c>
      <c r="C443" s="3197" t="s">
        <v>2287</v>
      </c>
      <c r="D443" s="3198"/>
      <c r="E443" s="570"/>
      <c r="F443" s="571"/>
      <c r="G443" s="571"/>
      <c r="H443" s="571"/>
      <c r="I443" s="571"/>
      <c r="J443" s="571"/>
      <c r="K443" s="571"/>
      <c r="L443" s="571"/>
      <c r="M443" s="571"/>
      <c r="N443" s="572"/>
      <c r="O443" s="3226">
        <f t="shared" si="8"/>
        <v>0</v>
      </c>
      <c r="P443" s="3227"/>
      <c r="Q443" s="257"/>
      <c r="S443" s="3487"/>
      <c r="T443" s="328"/>
      <c r="U443" s="234"/>
      <c r="V443" s="234"/>
      <c r="W443" s="234"/>
      <c r="X443" s="234"/>
      <c r="Y443" s="234"/>
      <c r="Z443" s="234"/>
      <c r="AA443" s="234"/>
      <c r="AB443" s="234"/>
      <c r="AC443" s="234"/>
      <c r="AD443" s="234"/>
      <c r="AE443" s="234"/>
      <c r="AF443" s="234"/>
      <c r="AG443" s="234"/>
      <c r="AH443" s="234"/>
    </row>
    <row r="444" spans="1:34" ht="18" customHeight="1">
      <c r="B444" s="486" t="str">
        <f>IF(COUNTBLANK(E444:N444)&lt;10,"","u")</f>
        <v>u</v>
      </c>
      <c r="C444" s="1068" t="s">
        <v>651</v>
      </c>
      <c r="D444" s="974" t="s">
        <v>237</v>
      </c>
      <c r="E444" s="1088"/>
      <c r="F444" s="722"/>
      <c r="G444" s="722"/>
      <c r="H444" s="722"/>
      <c r="I444" s="722"/>
      <c r="J444" s="722"/>
      <c r="K444" s="722"/>
      <c r="L444" s="722"/>
      <c r="M444" s="722"/>
      <c r="N444" s="723"/>
      <c r="O444" s="3226">
        <f t="shared" si="8"/>
        <v>0</v>
      </c>
      <c r="P444" s="3227"/>
      <c r="Q444" s="257"/>
      <c r="S444" s="3487"/>
      <c r="T444" s="328"/>
      <c r="U444" s="234"/>
      <c r="V444" s="234"/>
      <c r="W444" s="234"/>
      <c r="X444" s="234"/>
      <c r="Y444" s="234"/>
      <c r="Z444" s="234"/>
      <c r="AA444" s="234"/>
      <c r="AB444" s="234"/>
      <c r="AC444" s="234"/>
      <c r="AD444" s="234"/>
      <c r="AE444" s="234"/>
      <c r="AF444" s="234"/>
      <c r="AG444" s="234"/>
      <c r="AH444" s="234"/>
    </row>
    <row r="445" spans="1:34" ht="18" customHeight="1">
      <c r="B445" s="486" t="str">
        <f>IF(COUNTBLANK(E445:N445)&lt;10,"","w")</f>
        <v>w</v>
      </c>
      <c r="C445" s="3201" t="s">
        <v>653</v>
      </c>
      <c r="D445" s="3202"/>
      <c r="E445" s="728"/>
      <c r="F445" s="729"/>
      <c r="G445" s="729"/>
      <c r="H445" s="729"/>
      <c r="I445" s="729"/>
      <c r="J445" s="729"/>
      <c r="K445" s="729"/>
      <c r="L445" s="729"/>
      <c r="M445" s="729"/>
      <c r="N445" s="730"/>
      <c r="O445" s="3228">
        <f t="shared" si="8"/>
        <v>0</v>
      </c>
      <c r="P445" s="3229"/>
      <c r="Q445" s="257"/>
      <c r="S445" s="3487"/>
    </row>
    <row r="446" spans="1:34" ht="18" customHeight="1">
      <c r="B446" s="486" t="str">
        <f>IF(COUNTBLANK(E446:N446)&lt;10,"","w")</f>
        <v>w</v>
      </c>
      <c r="C446" s="3205" t="s">
        <v>654</v>
      </c>
      <c r="D446" s="3206"/>
      <c r="E446" s="735"/>
      <c r="F446" s="736"/>
      <c r="G446" s="736"/>
      <c r="H446" s="736"/>
      <c r="I446" s="736"/>
      <c r="J446" s="736"/>
      <c r="K446" s="736"/>
      <c r="L446" s="736"/>
      <c r="M446" s="736"/>
      <c r="N446" s="737"/>
      <c r="O446" s="3224">
        <f t="shared" si="8"/>
        <v>0</v>
      </c>
      <c r="P446" s="3225"/>
      <c r="Q446" s="257"/>
      <c r="S446" s="3487"/>
    </row>
    <row r="447" spans="1:34" ht="18" customHeight="1" thickBot="1">
      <c r="B447" s="486" t="str">
        <f>IF(COUNTBLANK(E447:N447)&lt;10,"","w")</f>
        <v>w</v>
      </c>
      <c r="C447" s="3205" t="s">
        <v>655</v>
      </c>
      <c r="D447" s="3206"/>
      <c r="E447" s="735"/>
      <c r="F447" s="736"/>
      <c r="G447" s="736"/>
      <c r="H447" s="736"/>
      <c r="I447" s="736"/>
      <c r="J447" s="736"/>
      <c r="K447" s="736"/>
      <c r="L447" s="736"/>
      <c r="M447" s="736"/>
      <c r="N447" s="737"/>
      <c r="O447" s="3224">
        <f t="shared" si="8"/>
        <v>0</v>
      </c>
      <c r="P447" s="3225"/>
      <c r="Q447" s="257"/>
      <c r="S447" s="3487"/>
    </row>
    <row r="448" spans="1:34" ht="37.5" customHeight="1" thickBot="1">
      <c r="B448" s="253"/>
      <c r="C448" s="3209" t="s">
        <v>539</v>
      </c>
      <c r="D448" s="3210"/>
      <c r="E448" s="3217"/>
      <c r="F448" s="3218"/>
      <c r="G448" s="3218"/>
      <c r="H448" s="3218"/>
      <c r="I448" s="3218"/>
      <c r="J448" s="3218"/>
      <c r="K448" s="3218"/>
      <c r="L448" s="3218"/>
      <c r="M448" s="3218"/>
      <c r="N448" s="3218"/>
      <c r="O448" s="3218"/>
      <c r="P448" s="3219"/>
      <c r="Q448" s="257"/>
      <c r="S448" s="3487"/>
    </row>
    <row r="449" spans="2:34" ht="30" customHeight="1" thickBot="1">
      <c r="B449" s="253"/>
      <c r="C449" s="3220" t="s">
        <v>658</v>
      </c>
      <c r="D449" s="3221"/>
      <c r="E449" s="1146">
        <f t="shared" ref="E449:N449" si="11">E411+E427+E435</f>
        <v>0</v>
      </c>
      <c r="F449" s="1147">
        <f t="shared" si="11"/>
        <v>0</v>
      </c>
      <c r="G449" s="1147">
        <f t="shared" si="11"/>
        <v>0</v>
      </c>
      <c r="H449" s="1147">
        <f t="shared" si="11"/>
        <v>0</v>
      </c>
      <c r="I449" s="1147">
        <f t="shared" si="11"/>
        <v>0</v>
      </c>
      <c r="J449" s="1147">
        <f t="shared" si="11"/>
        <v>0</v>
      </c>
      <c r="K449" s="1147">
        <f t="shared" si="11"/>
        <v>0</v>
      </c>
      <c r="L449" s="1147">
        <f t="shared" si="11"/>
        <v>0</v>
      </c>
      <c r="M449" s="1147">
        <f t="shared" si="11"/>
        <v>0</v>
      </c>
      <c r="N449" s="1148">
        <f t="shared" si="11"/>
        <v>0</v>
      </c>
      <c r="O449" s="3243">
        <f>SUM(E449:N449)</f>
        <v>0</v>
      </c>
      <c r="P449" s="3244"/>
      <c r="Q449" s="257"/>
      <c r="S449" s="3487"/>
      <c r="T449" s="329"/>
      <c r="U449" s="11"/>
      <c r="V449" s="11"/>
      <c r="W449" s="11"/>
      <c r="X449" s="11"/>
      <c r="Y449" s="11"/>
      <c r="Z449" s="11"/>
      <c r="AA449" s="11"/>
      <c r="AB449" s="11"/>
      <c r="AC449" s="11"/>
      <c r="AD449" s="11"/>
      <c r="AE449" s="11"/>
    </row>
    <row r="450" spans="2:34">
      <c r="B450" s="253"/>
      <c r="C450" s="256"/>
      <c r="D450" s="256"/>
      <c r="E450" s="256"/>
      <c r="F450" s="314"/>
      <c r="G450" s="314"/>
      <c r="H450" s="256"/>
      <c r="I450" s="314"/>
      <c r="J450" s="314"/>
      <c r="K450" s="256"/>
      <c r="L450" s="314"/>
      <c r="M450" s="256"/>
      <c r="N450" s="314"/>
      <c r="O450" s="314"/>
      <c r="P450" s="314"/>
      <c r="Q450" s="257"/>
      <c r="S450" s="3487"/>
    </row>
    <row r="451" spans="2:34" ht="15" thickBot="1">
      <c r="B451" s="253"/>
      <c r="C451" s="256"/>
      <c r="D451" s="256"/>
      <c r="E451" s="256"/>
      <c r="F451" s="314"/>
      <c r="G451" s="314"/>
      <c r="H451" s="256"/>
      <c r="I451" s="314"/>
      <c r="J451" s="314"/>
      <c r="K451" s="256"/>
      <c r="L451" s="314"/>
      <c r="M451" s="256"/>
      <c r="N451" s="314"/>
      <c r="O451" s="314"/>
      <c r="P451" s="314"/>
      <c r="Q451" s="257"/>
      <c r="S451" s="1053"/>
    </row>
    <row r="452" spans="2:34" ht="30" customHeight="1">
      <c r="B452" s="253"/>
      <c r="C452" s="3214" t="s">
        <v>659</v>
      </c>
      <c r="D452" s="3215"/>
      <c r="E452" s="3215"/>
      <c r="F452" s="3216"/>
      <c r="G452" s="1061"/>
      <c r="H452" s="1061"/>
      <c r="I452" s="1061"/>
      <c r="J452" s="1061"/>
      <c r="K452" s="1061"/>
      <c r="L452" s="1061"/>
      <c r="M452" s="1061"/>
      <c r="N452" s="1061"/>
      <c r="O452" s="1062"/>
      <c r="P452" s="1061"/>
      <c r="Q452" s="257"/>
      <c r="S452" s="3487"/>
    </row>
    <row r="453" spans="2:34" ht="3" customHeight="1" thickBot="1">
      <c r="B453" s="253"/>
      <c r="C453" s="1064"/>
      <c r="D453" s="1063"/>
      <c r="E453" s="1063"/>
      <c r="F453" s="1065"/>
      <c r="G453" s="299"/>
      <c r="H453" s="299"/>
      <c r="I453" s="299"/>
      <c r="J453" s="299"/>
      <c r="K453" s="299"/>
      <c r="L453" s="299"/>
      <c r="M453" s="299"/>
      <c r="N453" s="299"/>
      <c r="O453" s="299"/>
      <c r="P453" s="299"/>
      <c r="Q453" s="257"/>
      <c r="S453" s="3487"/>
    </row>
    <row r="454" spans="2:34" ht="19.5" customHeight="1">
      <c r="B454" s="253"/>
      <c r="C454" s="3239" t="s">
        <v>647</v>
      </c>
      <c r="D454" s="3240"/>
      <c r="E454" s="3236" t="s">
        <v>660</v>
      </c>
      <c r="F454" s="3237"/>
      <c r="G454" s="3237"/>
      <c r="H454" s="3237"/>
      <c r="I454" s="3237"/>
      <c r="J454" s="3237"/>
      <c r="K454" s="3237"/>
      <c r="L454" s="3237"/>
      <c r="M454" s="3237"/>
      <c r="N454" s="3238"/>
      <c r="O454" s="3232" t="s">
        <v>649</v>
      </c>
      <c r="P454" s="3233"/>
      <c r="Q454" s="257"/>
      <c r="S454" s="3487"/>
    </row>
    <row r="455" spans="2:34" ht="19.5" customHeight="1" thickBot="1">
      <c r="B455" s="253"/>
      <c r="C455" s="3241"/>
      <c r="D455" s="3242"/>
      <c r="E455" s="741">
        <f>IF(E51="",0,E51)</f>
        <v>0</v>
      </c>
      <c r="F455" s="742">
        <f t="shared" ref="F455:N455" si="12">E455+1</f>
        <v>1</v>
      </c>
      <c r="G455" s="742">
        <f t="shared" si="12"/>
        <v>2</v>
      </c>
      <c r="H455" s="742">
        <f t="shared" si="12"/>
        <v>3</v>
      </c>
      <c r="I455" s="742">
        <f t="shared" si="12"/>
        <v>4</v>
      </c>
      <c r="J455" s="742">
        <f t="shared" si="12"/>
        <v>5</v>
      </c>
      <c r="K455" s="742">
        <f t="shared" si="12"/>
        <v>6</v>
      </c>
      <c r="L455" s="742">
        <f t="shared" si="12"/>
        <v>7</v>
      </c>
      <c r="M455" s="742">
        <f t="shared" si="12"/>
        <v>8</v>
      </c>
      <c r="N455" s="743">
        <f t="shared" si="12"/>
        <v>9</v>
      </c>
      <c r="O455" s="3234"/>
      <c r="P455" s="3235"/>
      <c r="Q455" s="257"/>
      <c r="S455" s="3487"/>
    </row>
    <row r="456" spans="2:34" ht="22.5" customHeight="1" thickBot="1">
      <c r="B456" s="253"/>
      <c r="C456" s="1066" t="s">
        <v>477</v>
      </c>
      <c r="D456" s="744" t="s">
        <v>467</v>
      </c>
      <c r="E456" s="745">
        <f t="shared" ref="E456:N456" si="13">E457+E464</f>
        <v>0</v>
      </c>
      <c r="F456" s="746">
        <f t="shared" si="13"/>
        <v>0</v>
      </c>
      <c r="G456" s="746">
        <f t="shared" si="13"/>
        <v>0</v>
      </c>
      <c r="H456" s="746">
        <f t="shared" si="13"/>
        <v>0</v>
      </c>
      <c r="I456" s="746">
        <f t="shared" si="13"/>
        <v>0</v>
      </c>
      <c r="J456" s="746">
        <f t="shared" si="13"/>
        <v>0</v>
      </c>
      <c r="K456" s="746">
        <f t="shared" si="13"/>
        <v>0</v>
      </c>
      <c r="L456" s="746">
        <f t="shared" si="13"/>
        <v>0</v>
      </c>
      <c r="M456" s="746">
        <f t="shared" si="13"/>
        <v>0</v>
      </c>
      <c r="N456" s="747">
        <f t="shared" si="13"/>
        <v>0</v>
      </c>
      <c r="O456" s="3230">
        <f t="shared" ref="O456:O470" si="14">SUM(E456:N456)</f>
        <v>0</v>
      </c>
      <c r="P456" s="3231"/>
      <c r="Q456" s="257"/>
      <c r="S456" s="3487"/>
      <c r="T456" s="662"/>
      <c r="U456" s="326"/>
      <c r="V456" s="327"/>
      <c r="W456" s="327"/>
      <c r="X456" s="327"/>
      <c r="Y456" s="327"/>
      <c r="Z456" s="327"/>
      <c r="AA456" s="327"/>
      <c r="AB456" s="327"/>
      <c r="AC456" s="327"/>
      <c r="AD456" s="327"/>
      <c r="AE456" s="662"/>
      <c r="AF456" s="662"/>
      <c r="AG456" s="662"/>
      <c r="AH456" s="662"/>
    </row>
    <row r="457" spans="2:34" ht="22.5" customHeight="1">
      <c r="B457" s="253"/>
      <c r="C457" s="1067" t="s">
        <v>101</v>
      </c>
      <c r="D457" s="734" t="s">
        <v>650</v>
      </c>
      <c r="E457" s="732">
        <f t="shared" ref="E457:N457" si="15">SUM(E458:E459)</f>
        <v>0</v>
      </c>
      <c r="F457" s="733">
        <f t="shared" si="15"/>
        <v>0</v>
      </c>
      <c r="G457" s="733">
        <f t="shared" si="15"/>
        <v>0</v>
      </c>
      <c r="H457" s="733">
        <f t="shared" si="15"/>
        <v>0</v>
      </c>
      <c r="I457" s="733">
        <f t="shared" si="15"/>
        <v>0</v>
      </c>
      <c r="J457" s="733">
        <f t="shared" si="15"/>
        <v>0</v>
      </c>
      <c r="K457" s="733">
        <f t="shared" si="15"/>
        <v>0</v>
      </c>
      <c r="L457" s="733">
        <f t="shared" si="15"/>
        <v>0</v>
      </c>
      <c r="M457" s="733">
        <f t="shared" si="15"/>
        <v>0</v>
      </c>
      <c r="N457" s="733">
        <f t="shared" si="15"/>
        <v>0</v>
      </c>
      <c r="O457" s="3174">
        <f t="shared" si="14"/>
        <v>0</v>
      </c>
      <c r="P457" s="3175"/>
      <c r="Q457" s="257"/>
      <c r="S457" s="3487"/>
      <c r="T457" s="662"/>
      <c r="U457" s="326"/>
      <c r="V457" s="327"/>
      <c r="W457" s="327"/>
      <c r="X457" s="327"/>
      <c r="Y457" s="327"/>
      <c r="Z457" s="327"/>
      <c r="AA457" s="327"/>
      <c r="AB457" s="327"/>
      <c r="AC457" s="327"/>
      <c r="AD457" s="327"/>
      <c r="AE457" s="662"/>
      <c r="AF457" s="662"/>
      <c r="AG457" s="662"/>
      <c r="AH457" s="662"/>
    </row>
    <row r="458" spans="2:34" ht="18" customHeight="1">
      <c r="B458" s="486" t="str">
        <f>IF(COUNTBLANK(E458:N458)&lt;10,"","u")</f>
        <v>u</v>
      </c>
      <c r="C458" s="3197" t="s">
        <v>2287</v>
      </c>
      <c r="D458" s="3198"/>
      <c r="E458" s="576"/>
      <c r="F458" s="577"/>
      <c r="G458" s="577"/>
      <c r="H458" s="577"/>
      <c r="I458" s="577"/>
      <c r="J458" s="577"/>
      <c r="K458" s="577"/>
      <c r="L458" s="577"/>
      <c r="M458" s="577"/>
      <c r="N458" s="578"/>
      <c r="O458" s="3226">
        <f t="shared" si="14"/>
        <v>0</v>
      </c>
      <c r="P458" s="3227"/>
      <c r="Q458" s="257"/>
      <c r="S458" s="3487"/>
    </row>
    <row r="459" spans="2:34" ht="18" customHeight="1">
      <c r="B459" s="486" t="str">
        <f>IF(COUNTBLANK(E459:N459)&lt;10,"","u")</f>
        <v>u</v>
      </c>
      <c r="C459" s="1068" t="s">
        <v>651</v>
      </c>
      <c r="D459" s="974" t="s">
        <v>237</v>
      </c>
      <c r="E459" s="725"/>
      <c r="F459" s="726"/>
      <c r="G459" s="726"/>
      <c r="H459" s="726"/>
      <c r="I459" s="726"/>
      <c r="J459" s="726"/>
      <c r="K459" s="726"/>
      <c r="L459" s="726"/>
      <c r="M459" s="726"/>
      <c r="N459" s="727"/>
      <c r="O459" s="3226">
        <f t="shared" si="14"/>
        <v>0</v>
      </c>
      <c r="P459" s="3227"/>
      <c r="Q459" s="257"/>
      <c r="S459" s="3487"/>
      <c r="T459" s="328"/>
      <c r="U459" s="234"/>
      <c r="V459" s="234"/>
      <c r="W459" s="234"/>
      <c r="X459" s="234"/>
      <c r="Y459" s="234"/>
      <c r="Z459" s="234"/>
      <c r="AA459" s="234"/>
      <c r="AB459" s="234"/>
      <c r="AC459" s="234"/>
      <c r="AD459" s="234"/>
      <c r="AE459" s="234"/>
      <c r="AF459" s="234"/>
      <c r="AG459" s="234"/>
      <c r="AH459" s="234"/>
    </row>
    <row r="460" spans="2:34" ht="18" customHeight="1">
      <c r="B460" s="486" t="str">
        <f>IF(COUNTBLANK(E460:N460)&lt;10,"","w")</f>
        <v>w</v>
      </c>
      <c r="C460" s="3201" t="s">
        <v>652</v>
      </c>
      <c r="D460" s="3202"/>
      <c r="E460" s="728"/>
      <c r="F460" s="729"/>
      <c r="G460" s="729"/>
      <c r="H460" s="729"/>
      <c r="I460" s="729"/>
      <c r="J460" s="729"/>
      <c r="K460" s="729"/>
      <c r="L460" s="729"/>
      <c r="M460" s="729"/>
      <c r="N460" s="730"/>
      <c r="O460" s="3228">
        <f t="shared" si="14"/>
        <v>0</v>
      </c>
      <c r="P460" s="3229"/>
      <c r="Q460" s="257"/>
      <c r="S460" s="3487"/>
      <c r="T460" s="328"/>
      <c r="U460" s="234"/>
      <c r="V460" s="234"/>
      <c r="W460" s="234"/>
      <c r="X460" s="234"/>
      <c r="Y460" s="234"/>
      <c r="Z460" s="234"/>
      <c r="AA460" s="234"/>
      <c r="AB460" s="234"/>
      <c r="AC460" s="234"/>
      <c r="AD460" s="234"/>
      <c r="AE460" s="234"/>
      <c r="AF460" s="234"/>
      <c r="AG460" s="234"/>
      <c r="AH460" s="234"/>
    </row>
    <row r="461" spans="2:34" ht="18" customHeight="1">
      <c r="B461" s="486" t="str">
        <f>IF(COUNTBLANK(E461:N461)&lt;10,"","w")</f>
        <v>w</v>
      </c>
      <c r="C461" s="3266" t="s">
        <v>653</v>
      </c>
      <c r="D461" s="3267"/>
      <c r="E461" s="716"/>
      <c r="F461" s="717"/>
      <c r="G461" s="717"/>
      <c r="H461" s="717"/>
      <c r="I461" s="717"/>
      <c r="J461" s="717"/>
      <c r="K461" s="717"/>
      <c r="L461" s="717"/>
      <c r="M461" s="717"/>
      <c r="N461" s="718"/>
      <c r="O461" s="3268">
        <f t="shared" si="14"/>
        <v>0</v>
      </c>
      <c r="P461" s="3269"/>
      <c r="Q461" s="257"/>
      <c r="S461" s="3487"/>
    </row>
    <row r="462" spans="2:34" ht="18" customHeight="1">
      <c r="B462" s="486" t="str">
        <f>IF(COUNTBLANK(E462:N462)&lt;10,"","w")</f>
        <v>w</v>
      </c>
      <c r="C462" s="3205" t="s">
        <v>654</v>
      </c>
      <c r="D462" s="3206"/>
      <c r="E462" s="735"/>
      <c r="F462" s="736"/>
      <c r="G462" s="736"/>
      <c r="H462" s="736"/>
      <c r="I462" s="736"/>
      <c r="J462" s="736"/>
      <c r="K462" s="736"/>
      <c r="L462" s="736"/>
      <c r="M462" s="736"/>
      <c r="N462" s="737"/>
      <c r="O462" s="3224">
        <f t="shared" si="14"/>
        <v>0</v>
      </c>
      <c r="P462" s="3225"/>
      <c r="Q462" s="257"/>
      <c r="S462" s="3487"/>
    </row>
    <row r="463" spans="2:34" ht="18" customHeight="1" thickBot="1">
      <c r="B463" s="486" t="str">
        <f>IF(COUNTBLANK(E463:N463)&lt;10,"","w")</f>
        <v>w</v>
      </c>
      <c r="C463" s="3266" t="s">
        <v>655</v>
      </c>
      <c r="D463" s="3267"/>
      <c r="E463" s="716"/>
      <c r="F463" s="717"/>
      <c r="G463" s="717"/>
      <c r="H463" s="717"/>
      <c r="I463" s="717"/>
      <c r="J463" s="717"/>
      <c r="K463" s="717"/>
      <c r="L463" s="717"/>
      <c r="M463" s="717"/>
      <c r="N463" s="718"/>
      <c r="O463" s="3268">
        <f t="shared" si="14"/>
        <v>0</v>
      </c>
      <c r="P463" s="3269"/>
      <c r="Q463" s="257"/>
      <c r="S463" s="3487"/>
    </row>
    <row r="464" spans="2:34" ht="22.5" customHeight="1">
      <c r="B464" s="253"/>
      <c r="C464" s="1069" t="s">
        <v>102</v>
      </c>
      <c r="D464" s="738" t="s">
        <v>650</v>
      </c>
      <c r="E464" s="739">
        <f t="shared" ref="E464:N464" si="16">SUM(E465:E466)</f>
        <v>0</v>
      </c>
      <c r="F464" s="740">
        <f t="shared" si="16"/>
        <v>0</v>
      </c>
      <c r="G464" s="740">
        <f t="shared" si="16"/>
        <v>0</v>
      </c>
      <c r="H464" s="740">
        <f t="shared" si="16"/>
        <v>0</v>
      </c>
      <c r="I464" s="740">
        <f t="shared" si="16"/>
        <v>0</v>
      </c>
      <c r="J464" s="740">
        <f t="shared" si="16"/>
        <v>0</v>
      </c>
      <c r="K464" s="740">
        <f t="shared" si="16"/>
        <v>0</v>
      </c>
      <c r="L464" s="740">
        <f t="shared" si="16"/>
        <v>0</v>
      </c>
      <c r="M464" s="740">
        <f t="shared" si="16"/>
        <v>0</v>
      </c>
      <c r="N464" s="740">
        <f t="shared" si="16"/>
        <v>0</v>
      </c>
      <c r="O464" s="3274">
        <f t="shared" si="14"/>
        <v>0</v>
      </c>
      <c r="P464" s="3275"/>
      <c r="Q464" s="257"/>
      <c r="S464" s="3487"/>
      <c r="T464" s="662"/>
      <c r="U464" s="326"/>
      <c r="V464" s="327"/>
      <c r="W464" s="327"/>
      <c r="X464" s="327"/>
      <c r="Y464" s="327"/>
      <c r="Z464" s="327"/>
      <c r="AA464" s="327"/>
      <c r="AB464" s="327"/>
      <c r="AC464" s="327"/>
      <c r="AD464" s="327"/>
      <c r="AE464" s="662"/>
      <c r="AF464" s="662"/>
      <c r="AG464" s="662"/>
      <c r="AH464" s="662"/>
    </row>
    <row r="465" spans="2:34" ht="18" customHeight="1">
      <c r="B465" s="486" t="str">
        <f>IF(COUNTBLANK(E465:N465)&lt;10,"","u")</f>
        <v>u</v>
      </c>
      <c r="C465" s="3197" t="s">
        <v>2287</v>
      </c>
      <c r="D465" s="3198"/>
      <c r="E465" s="576"/>
      <c r="F465" s="577"/>
      <c r="G465" s="577"/>
      <c r="H465" s="577"/>
      <c r="I465" s="577"/>
      <c r="J465" s="577"/>
      <c r="K465" s="577"/>
      <c r="L465" s="577"/>
      <c r="M465" s="577"/>
      <c r="N465" s="578"/>
      <c r="O465" s="3226">
        <f t="shared" si="14"/>
        <v>0</v>
      </c>
      <c r="P465" s="3227"/>
      <c r="Q465" s="257"/>
      <c r="S465" s="3487"/>
    </row>
    <row r="466" spans="2:34" ht="18" customHeight="1">
      <c r="B466" s="486" t="str">
        <f>IF(COUNTBLANK(E466:N466)&lt;10,"","u")</f>
        <v>u</v>
      </c>
      <c r="C466" s="1068" t="s">
        <v>651</v>
      </c>
      <c r="D466" s="974" t="s">
        <v>237</v>
      </c>
      <c r="E466" s="725"/>
      <c r="F466" s="726"/>
      <c r="G466" s="726"/>
      <c r="H466" s="726"/>
      <c r="I466" s="726"/>
      <c r="J466" s="726"/>
      <c r="K466" s="726"/>
      <c r="L466" s="726"/>
      <c r="M466" s="726"/>
      <c r="N466" s="727"/>
      <c r="O466" s="3226">
        <f t="shared" si="14"/>
        <v>0</v>
      </c>
      <c r="P466" s="3227"/>
      <c r="Q466" s="257"/>
      <c r="S466" s="3487"/>
      <c r="T466" s="328"/>
      <c r="U466" s="234"/>
      <c r="V466" s="234"/>
      <c r="W466" s="234"/>
      <c r="X466" s="234"/>
      <c r="Y466" s="234"/>
      <c r="Z466" s="234"/>
      <c r="AA466" s="234"/>
      <c r="AB466" s="234"/>
      <c r="AC466" s="234"/>
      <c r="AD466" s="234"/>
      <c r="AE466" s="234"/>
      <c r="AF466" s="234"/>
      <c r="AG466" s="234"/>
      <c r="AH466" s="234"/>
    </row>
    <row r="467" spans="2:34" ht="18" customHeight="1">
      <c r="B467" s="486" t="str">
        <f>IF(COUNTBLANK(E467:N467)&lt;10,"","w")</f>
        <v>w</v>
      </c>
      <c r="C467" s="3201" t="s">
        <v>652</v>
      </c>
      <c r="D467" s="3202"/>
      <c r="E467" s="728"/>
      <c r="F467" s="729"/>
      <c r="G467" s="729"/>
      <c r="H467" s="729"/>
      <c r="I467" s="729"/>
      <c r="J467" s="729"/>
      <c r="K467" s="729"/>
      <c r="L467" s="729"/>
      <c r="M467" s="729"/>
      <c r="N467" s="730"/>
      <c r="O467" s="3228">
        <f t="shared" si="14"/>
        <v>0</v>
      </c>
      <c r="P467" s="3229"/>
      <c r="Q467" s="257"/>
      <c r="S467" s="3487"/>
      <c r="T467" s="328"/>
      <c r="U467" s="234"/>
      <c r="V467" s="234"/>
      <c r="W467" s="234"/>
      <c r="X467" s="234"/>
      <c r="Y467" s="234"/>
      <c r="Z467" s="234"/>
      <c r="AA467" s="234"/>
      <c r="AB467" s="234"/>
      <c r="AC467" s="234"/>
      <c r="AD467" s="234"/>
      <c r="AE467" s="234"/>
      <c r="AF467" s="234"/>
      <c r="AG467" s="234"/>
      <c r="AH467" s="234"/>
    </row>
    <row r="468" spans="2:34" ht="18" customHeight="1">
      <c r="B468" s="486" t="str">
        <f>IF(COUNTBLANK(E468:N468)&lt;10,"","w")</f>
        <v>w</v>
      </c>
      <c r="C468" s="3266" t="s">
        <v>653</v>
      </c>
      <c r="D468" s="3267"/>
      <c r="E468" s="716"/>
      <c r="F468" s="717"/>
      <c r="G468" s="717"/>
      <c r="H468" s="717"/>
      <c r="I468" s="717"/>
      <c r="J468" s="717"/>
      <c r="K468" s="717"/>
      <c r="L468" s="717"/>
      <c r="M468" s="717"/>
      <c r="N468" s="718"/>
      <c r="O468" s="3268">
        <f t="shared" si="14"/>
        <v>0</v>
      </c>
      <c r="P468" s="3269"/>
      <c r="Q468" s="257"/>
      <c r="S468" s="3487"/>
    </row>
    <row r="469" spans="2:34" ht="18" customHeight="1">
      <c r="B469" s="486" t="str">
        <f>IF(COUNTBLANK(E469:N469)&lt;10,"","w")</f>
        <v>w</v>
      </c>
      <c r="C469" s="3205" t="s">
        <v>654</v>
      </c>
      <c r="D469" s="3206"/>
      <c r="E469" s="735"/>
      <c r="F469" s="736"/>
      <c r="G469" s="736"/>
      <c r="H469" s="736"/>
      <c r="I469" s="736"/>
      <c r="J469" s="736"/>
      <c r="K469" s="736"/>
      <c r="L469" s="736"/>
      <c r="M469" s="736"/>
      <c r="N469" s="737"/>
      <c r="O469" s="3224">
        <f t="shared" si="14"/>
        <v>0</v>
      </c>
      <c r="P469" s="3225"/>
      <c r="Q469" s="257"/>
      <c r="S469" s="3487"/>
    </row>
    <row r="470" spans="2:34" ht="18" customHeight="1" thickBot="1">
      <c r="B470" s="486" t="str">
        <f>IF(COUNTBLANK(E470:N470)&lt;10,"","w")</f>
        <v>w</v>
      </c>
      <c r="C470" s="3266" t="s">
        <v>655</v>
      </c>
      <c r="D470" s="3267"/>
      <c r="E470" s="716"/>
      <c r="F470" s="717"/>
      <c r="G470" s="717"/>
      <c r="H470" s="717"/>
      <c r="I470" s="717"/>
      <c r="J470" s="717"/>
      <c r="K470" s="717"/>
      <c r="L470" s="717"/>
      <c r="M470" s="717"/>
      <c r="N470" s="718"/>
      <c r="O470" s="3268">
        <f t="shared" si="14"/>
        <v>0</v>
      </c>
      <c r="P470" s="3269"/>
      <c r="Q470" s="257"/>
      <c r="S470" s="3487"/>
    </row>
    <row r="471" spans="2:34" ht="37.5" customHeight="1" thickBot="1">
      <c r="B471" s="253"/>
      <c r="C471" s="3209" t="s">
        <v>539</v>
      </c>
      <c r="D471" s="3210"/>
      <c r="E471" s="3217"/>
      <c r="F471" s="3218"/>
      <c r="G471" s="3218"/>
      <c r="H471" s="3218"/>
      <c r="I471" s="3218"/>
      <c r="J471" s="3218"/>
      <c r="K471" s="3218"/>
      <c r="L471" s="3218"/>
      <c r="M471" s="3218"/>
      <c r="N471" s="3218"/>
      <c r="O471" s="3218"/>
      <c r="P471" s="3219"/>
      <c r="Q471" s="257"/>
      <c r="S471" s="3487"/>
    </row>
    <row r="472" spans="2:34" ht="22.5" customHeight="1" thickBot="1">
      <c r="B472" s="486"/>
      <c r="C472" s="1066" t="s">
        <v>482</v>
      </c>
      <c r="D472" s="744" t="s">
        <v>467</v>
      </c>
      <c r="E472" s="745">
        <f t="shared" ref="E472:N472" si="17">E473+E475+E474</f>
        <v>0</v>
      </c>
      <c r="F472" s="746">
        <f t="shared" si="17"/>
        <v>0</v>
      </c>
      <c r="G472" s="746">
        <f t="shared" si="17"/>
        <v>0</v>
      </c>
      <c r="H472" s="746">
        <f t="shared" si="17"/>
        <v>0</v>
      </c>
      <c r="I472" s="746">
        <f t="shared" si="17"/>
        <v>0</v>
      </c>
      <c r="J472" s="746">
        <f t="shared" si="17"/>
        <v>0</v>
      </c>
      <c r="K472" s="746">
        <f t="shared" si="17"/>
        <v>0</v>
      </c>
      <c r="L472" s="746">
        <f t="shared" si="17"/>
        <v>0</v>
      </c>
      <c r="M472" s="746">
        <f t="shared" si="17"/>
        <v>0</v>
      </c>
      <c r="N472" s="747">
        <f t="shared" si="17"/>
        <v>0</v>
      </c>
      <c r="O472" s="3230">
        <f t="shared" ref="O472:O478" si="18">SUM(E472:N472)</f>
        <v>0</v>
      </c>
      <c r="P472" s="3231"/>
      <c r="Q472" s="313"/>
      <c r="S472" s="3487"/>
    </row>
    <row r="473" spans="2:34" ht="18" customHeight="1">
      <c r="B473" s="486" t="str">
        <f>IF(COUNTBLANK(E473:N473)&lt;10,"","u")</f>
        <v>u</v>
      </c>
      <c r="C473" s="3211" t="s">
        <v>2287</v>
      </c>
      <c r="D473" s="3212"/>
      <c r="E473" s="576"/>
      <c r="F473" s="577"/>
      <c r="G473" s="577"/>
      <c r="H473" s="577"/>
      <c r="I473" s="577"/>
      <c r="J473" s="577"/>
      <c r="K473" s="577"/>
      <c r="L473" s="577"/>
      <c r="M473" s="577"/>
      <c r="N473" s="578"/>
      <c r="O473" s="3272">
        <f t="shared" si="18"/>
        <v>0</v>
      </c>
      <c r="P473" s="3273"/>
      <c r="Q473" s="313"/>
      <c r="S473" s="3487"/>
    </row>
    <row r="474" spans="2:34" ht="18" customHeight="1">
      <c r="B474" s="486" t="str">
        <f>IF(COUNTBLANK(E474:N474)&lt;10,"","u")</f>
        <v>u</v>
      </c>
      <c r="C474" s="3432" t="s">
        <v>656</v>
      </c>
      <c r="D474" s="3433"/>
      <c r="E474" s="725"/>
      <c r="F474" s="726"/>
      <c r="G474" s="726"/>
      <c r="H474" s="726"/>
      <c r="I474" s="726"/>
      <c r="J474" s="726"/>
      <c r="K474" s="577"/>
      <c r="L474" s="726"/>
      <c r="M474" s="577"/>
      <c r="N474" s="727"/>
      <c r="O474" s="3226">
        <f t="shared" si="18"/>
        <v>0</v>
      </c>
      <c r="P474" s="3227"/>
      <c r="Q474" s="313"/>
      <c r="S474" s="3487"/>
    </row>
    <row r="475" spans="2:34" ht="18" customHeight="1">
      <c r="B475" s="486" t="str">
        <f>IF(COUNTBLANK(E475:N475)&lt;10,"","u")</f>
        <v>u</v>
      </c>
      <c r="C475" s="1068" t="s">
        <v>651</v>
      </c>
      <c r="D475" s="974" t="s">
        <v>237</v>
      </c>
      <c r="E475" s="725"/>
      <c r="F475" s="726"/>
      <c r="G475" s="726"/>
      <c r="H475" s="726"/>
      <c r="I475" s="726"/>
      <c r="J475" s="726"/>
      <c r="K475" s="577"/>
      <c r="L475" s="726"/>
      <c r="M475" s="577"/>
      <c r="N475" s="727"/>
      <c r="O475" s="3226">
        <f t="shared" si="18"/>
        <v>0</v>
      </c>
      <c r="P475" s="3227"/>
      <c r="Q475" s="257"/>
      <c r="S475" s="3487"/>
      <c r="T475" s="328"/>
      <c r="U475" s="234"/>
      <c r="V475" s="234"/>
      <c r="W475" s="234"/>
      <c r="X475" s="234"/>
      <c r="Y475" s="234"/>
      <c r="Z475" s="234"/>
      <c r="AA475" s="234"/>
      <c r="AB475" s="234"/>
      <c r="AC475" s="234"/>
      <c r="AD475" s="234"/>
      <c r="AE475" s="234"/>
      <c r="AF475" s="234"/>
      <c r="AG475" s="234"/>
      <c r="AH475" s="234"/>
    </row>
    <row r="476" spans="2:34" ht="18" customHeight="1">
      <c r="B476" s="486" t="str">
        <f>IF(COUNTBLANK(E476:N476)&lt;10,"","w")</f>
        <v>w</v>
      </c>
      <c r="C476" s="3201" t="s">
        <v>653</v>
      </c>
      <c r="D476" s="3202"/>
      <c r="E476" s="728"/>
      <c r="F476" s="729"/>
      <c r="G476" s="729"/>
      <c r="H476" s="729"/>
      <c r="I476" s="729"/>
      <c r="J476" s="729"/>
      <c r="K476" s="729"/>
      <c r="L476" s="729"/>
      <c r="M476" s="729"/>
      <c r="N476" s="730"/>
      <c r="O476" s="3228">
        <f t="shared" si="18"/>
        <v>0</v>
      </c>
      <c r="P476" s="3229"/>
      <c r="Q476" s="313"/>
      <c r="S476" s="3487"/>
    </row>
    <row r="477" spans="2:34" ht="18" customHeight="1">
      <c r="B477" s="486" t="str">
        <f>IF(COUNTBLANK(E477:N477)&lt;10,"","w")</f>
        <v>w</v>
      </c>
      <c r="C477" s="3205" t="s">
        <v>654</v>
      </c>
      <c r="D477" s="3206"/>
      <c r="E477" s="735"/>
      <c r="F477" s="736"/>
      <c r="G477" s="736"/>
      <c r="H477" s="736"/>
      <c r="I477" s="736"/>
      <c r="J477" s="736"/>
      <c r="K477" s="736"/>
      <c r="L477" s="736"/>
      <c r="M477" s="736"/>
      <c r="N477" s="737"/>
      <c r="O477" s="3224">
        <f t="shared" si="18"/>
        <v>0</v>
      </c>
      <c r="P477" s="3225"/>
      <c r="Q477" s="313"/>
      <c r="S477" s="3487"/>
    </row>
    <row r="478" spans="2:34" ht="18" customHeight="1" thickBot="1">
      <c r="B478" s="486" t="str">
        <f>IF(COUNTBLANK(E478:N478)&lt;10,"","w")</f>
        <v>w</v>
      </c>
      <c r="C478" s="3266" t="s">
        <v>655</v>
      </c>
      <c r="D478" s="3267"/>
      <c r="E478" s="752"/>
      <c r="F478" s="753"/>
      <c r="G478" s="753"/>
      <c r="H478" s="753"/>
      <c r="I478" s="753"/>
      <c r="J478" s="753"/>
      <c r="K478" s="753"/>
      <c r="L478" s="753"/>
      <c r="M478" s="753"/>
      <c r="N478" s="754"/>
      <c r="O478" s="3268">
        <f t="shared" si="18"/>
        <v>0</v>
      </c>
      <c r="P478" s="3269"/>
      <c r="Q478" s="313"/>
      <c r="S478" s="3487"/>
    </row>
    <row r="479" spans="2:34" ht="37.5" customHeight="1" thickBot="1">
      <c r="B479" s="253"/>
      <c r="C479" s="3209" t="s">
        <v>539</v>
      </c>
      <c r="D479" s="3210"/>
      <c r="E479" s="3217"/>
      <c r="F479" s="3218"/>
      <c r="G479" s="3218"/>
      <c r="H479" s="3218"/>
      <c r="I479" s="3218"/>
      <c r="J479" s="3218"/>
      <c r="K479" s="3218"/>
      <c r="L479" s="3218"/>
      <c r="M479" s="3218"/>
      <c r="N479" s="3218"/>
      <c r="O479" s="3218"/>
      <c r="P479" s="3219"/>
      <c r="Q479" s="257"/>
      <c r="S479" s="3487"/>
    </row>
    <row r="480" spans="2:34" ht="22.5" customHeight="1" thickBot="1">
      <c r="B480" s="253"/>
      <c r="C480" s="1070" t="s">
        <v>657</v>
      </c>
      <c r="D480" s="748" t="s">
        <v>467</v>
      </c>
      <c r="E480" s="749">
        <f t="shared" ref="E480:N480" si="19">E481+E487</f>
        <v>0</v>
      </c>
      <c r="F480" s="750">
        <f t="shared" si="19"/>
        <v>0</v>
      </c>
      <c r="G480" s="750">
        <f t="shared" si="19"/>
        <v>0</v>
      </c>
      <c r="H480" s="750">
        <f t="shared" si="19"/>
        <v>0</v>
      </c>
      <c r="I480" s="750">
        <f t="shared" si="19"/>
        <v>0</v>
      </c>
      <c r="J480" s="750">
        <f t="shared" si="19"/>
        <v>0</v>
      </c>
      <c r="K480" s="750">
        <f t="shared" si="19"/>
        <v>0</v>
      </c>
      <c r="L480" s="750">
        <f t="shared" si="19"/>
        <v>0</v>
      </c>
      <c r="M480" s="750">
        <f t="shared" si="19"/>
        <v>0</v>
      </c>
      <c r="N480" s="751">
        <f t="shared" si="19"/>
        <v>0</v>
      </c>
      <c r="O480" s="3434">
        <f t="shared" ref="O480:O492" si="20">SUM(E480:N480)</f>
        <v>0</v>
      </c>
      <c r="P480" s="3435"/>
      <c r="Q480" s="257"/>
      <c r="S480" s="3487"/>
      <c r="T480" s="663"/>
      <c r="U480" s="11"/>
      <c r="V480" s="11"/>
      <c r="W480" s="11"/>
      <c r="X480" s="11"/>
      <c r="Y480" s="11"/>
      <c r="Z480" s="11"/>
      <c r="AA480" s="11"/>
      <c r="AB480" s="11"/>
      <c r="AC480" s="11"/>
      <c r="AD480" s="11"/>
      <c r="AE480" s="11"/>
    </row>
    <row r="481" spans="2:34" ht="22.5" customHeight="1">
      <c r="B481" s="253"/>
      <c r="C481" s="1069" t="s">
        <v>104</v>
      </c>
      <c r="D481" s="738" t="s">
        <v>650</v>
      </c>
      <c r="E481" s="739">
        <f t="shared" ref="E481:N481" si="21">SUM(E482:E483)</f>
        <v>0</v>
      </c>
      <c r="F481" s="740">
        <f t="shared" si="21"/>
        <v>0</v>
      </c>
      <c r="G481" s="740">
        <f t="shared" si="21"/>
        <v>0</v>
      </c>
      <c r="H481" s="740">
        <f t="shared" si="21"/>
        <v>0</v>
      </c>
      <c r="I481" s="740">
        <f t="shared" si="21"/>
        <v>0</v>
      </c>
      <c r="J481" s="740">
        <f t="shared" si="21"/>
        <v>0</v>
      </c>
      <c r="K481" s="740">
        <f t="shared" si="21"/>
        <v>0</v>
      </c>
      <c r="L481" s="740">
        <f t="shared" si="21"/>
        <v>0</v>
      </c>
      <c r="M481" s="740">
        <f t="shared" si="21"/>
        <v>0</v>
      </c>
      <c r="N481" s="740">
        <f t="shared" si="21"/>
        <v>0</v>
      </c>
      <c r="O481" s="3274">
        <f t="shared" si="20"/>
        <v>0</v>
      </c>
      <c r="P481" s="3275"/>
      <c r="Q481" s="257"/>
      <c r="S481" s="3487"/>
      <c r="T481" s="662"/>
      <c r="U481" s="326"/>
      <c r="V481" s="327"/>
      <c r="W481" s="327"/>
      <c r="X481" s="327"/>
      <c r="Y481" s="327"/>
      <c r="Z481" s="327"/>
      <c r="AA481" s="327"/>
      <c r="AB481" s="327"/>
      <c r="AC481" s="327"/>
      <c r="AD481" s="327"/>
      <c r="AE481" s="662"/>
      <c r="AF481" s="662"/>
      <c r="AG481" s="662"/>
      <c r="AH481" s="662"/>
    </row>
    <row r="482" spans="2:34" ht="18" customHeight="1">
      <c r="B482" s="486" t="str">
        <f>IF(COUNTBLANK(E482:N482)&lt;10,"","u")</f>
        <v>u</v>
      </c>
      <c r="C482" s="3211" t="s">
        <v>2287</v>
      </c>
      <c r="D482" s="3212"/>
      <c r="E482" s="576"/>
      <c r="F482" s="576"/>
      <c r="G482" s="576"/>
      <c r="H482" s="576"/>
      <c r="I482" s="576"/>
      <c r="J482" s="576"/>
      <c r="K482" s="576"/>
      <c r="L482" s="576"/>
      <c r="M482" s="576"/>
      <c r="N482" s="576"/>
      <c r="O482" s="3226">
        <f t="shared" si="20"/>
        <v>0</v>
      </c>
      <c r="P482" s="3227"/>
      <c r="Q482" s="257"/>
      <c r="S482" s="3487"/>
    </row>
    <row r="483" spans="2:34" ht="18" customHeight="1">
      <c r="B483" s="486" t="str">
        <f>IF(COUNTBLANK(E483:N483)&lt;10,"","u")</f>
        <v>u</v>
      </c>
      <c r="C483" s="1068" t="s">
        <v>651</v>
      </c>
      <c r="D483" s="974" t="s">
        <v>237</v>
      </c>
      <c r="E483" s="725"/>
      <c r="F483" s="725"/>
      <c r="G483" s="725"/>
      <c r="H483" s="725"/>
      <c r="I483" s="725"/>
      <c r="J483" s="725"/>
      <c r="K483" s="725"/>
      <c r="L483" s="725"/>
      <c r="M483" s="725"/>
      <c r="N483" s="725"/>
      <c r="O483" s="3226">
        <f t="shared" si="20"/>
        <v>0</v>
      </c>
      <c r="P483" s="3227"/>
      <c r="Q483" s="257"/>
      <c r="S483" s="3487"/>
      <c r="T483" s="328"/>
      <c r="U483" s="234"/>
      <c r="V483" s="234"/>
      <c r="W483" s="234"/>
      <c r="X483" s="234"/>
      <c r="Y483" s="234"/>
      <c r="Z483" s="234"/>
      <c r="AA483" s="234"/>
      <c r="AB483" s="234"/>
      <c r="AC483" s="234"/>
      <c r="AD483" s="234"/>
      <c r="AE483" s="234"/>
      <c r="AF483" s="234"/>
      <c r="AG483" s="234"/>
      <c r="AH483" s="234"/>
    </row>
    <row r="484" spans="2:34" ht="18" customHeight="1">
      <c r="B484" s="486" t="str">
        <f>IF(COUNTBLANK(E484:N484)&lt;10,"","w")</f>
        <v>w</v>
      </c>
      <c r="C484" s="3201" t="s">
        <v>653</v>
      </c>
      <c r="D484" s="3202"/>
      <c r="E484" s="728"/>
      <c r="F484" s="729"/>
      <c r="G484" s="729"/>
      <c r="H484" s="729"/>
      <c r="I484" s="729"/>
      <c r="J484" s="729"/>
      <c r="K484" s="729"/>
      <c r="L484" s="729"/>
      <c r="M484" s="729"/>
      <c r="N484" s="730"/>
      <c r="O484" s="3228">
        <f t="shared" si="20"/>
        <v>0</v>
      </c>
      <c r="P484" s="3229"/>
      <c r="Q484" s="257"/>
      <c r="S484" s="3487"/>
    </row>
    <row r="485" spans="2:34" ht="18" customHeight="1">
      <c r="B485" s="486" t="str">
        <f>IF(COUNTBLANK(E485:N485)&lt;10,"","w")</f>
        <v>w</v>
      </c>
      <c r="C485" s="3205" t="s">
        <v>654</v>
      </c>
      <c r="D485" s="3206"/>
      <c r="E485" s="735"/>
      <c r="F485" s="736"/>
      <c r="G485" s="736"/>
      <c r="H485" s="736"/>
      <c r="I485" s="736"/>
      <c r="J485" s="736"/>
      <c r="K485" s="736"/>
      <c r="L485" s="736"/>
      <c r="M485" s="736"/>
      <c r="N485" s="737"/>
      <c r="O485" s="3224">
        <f t="shared" si="20"/>
        <v>0</v>
      </c>
      <c r="P485" s="3225"/>
      <c r="Q485" s="257"/>
      <c r="S485" s="3487"/>
    </row>
    <row r="486" spans="2:34" ht="18" customHeight="1" thickBot="1">
      <c r="B486" s="486" t="str">
        <f>IF(COUNTBLANK(E486:N486)&lt;10,"","w")</f>
        <v>w</v>
      </c>
      <c r="C486" s="3203" t="s">
        <v>655</v>
      </c>
      <c r="D486" s="3204"/>
      <c r="E486" s="752"/>
      <c r="F486" s="753"/>
      <c r="G486" s="753"/>
      <c r="H486" s="753"/>
      <c r="I486" s="753"/>
      <c r="J486" s="753"/>
      <c r="K486" s="753"/>
      <c r="L486" s="753"/>
      <c r="M486" s="753"/>
      <c r="N486" s="754"/>
      <c r="O486" s="3364">
        <f t="shared" si="20"/>
        <v>0</v>
      </c>
      <c r="P486" s="3365"/>
      <c r="Q486" s="257"/>
      <c r="S486" s="3487"/>
    </row>
    <row r="487" spans="2:34" ht="22.5" customHeight="1">
      <c r="B487" s="253"/>
      <c r="C487" s="1067" t="s">
        <v>105</v>
      </c>
      <c r="D487" s="734" t="s">
        <v>650</v>
      </c>
      <c r="E487" s="732">
        <f t="shared" ref="E487:N487" si="22">SUM(E488:E489)</f>
        <v>0</v>
      </c>
      <c r="F487" s="733">
        <f t="shared" si="22"/>
        <v>0</v>
      </c>
      <c r="G487" s="733">
        <f t="shared" si="22"/>
        <v>0</v>
      </c>
      <c r="H487" s="733">
        <f t="shared" si="22"/>
        <v>0</v>
      </c>
      <c r="I487" s="733">
        <f t="shared" si="22"/>
        <v>0</v>
      </c>
      <c r="J487" s="733">
        <f t="shared" si="22"/>
        <v>0</v>
      </c>
      <c r="K487" s="733">
        <f t="shared" si="22"/>
        <v>0</v>
      </c>
      <c r="L487" s="733">
        <f t="shared" si="22"/>
        <v>0</v>
      </c>
      <c r="M487" s="733">
        <f t="shared" si="22"/>
        <v>0</v>
      </c>
      <c r="N487" s="733">
        <f t="shared" si="22"/>
        <v>0</v>
      </c>
      <c r="O487" s="3174">
        <f t="shared" si="20"/>
        <v>0</v>
      </c>
      <c r="P487" s="3175"/>
      <c r="Q487" s="257"/>
      <c r="S487" s="3487"/>
      <c r="T487" s="662"/>
      <c r="U487" s="326"/>
      <c r="V487" s="327"/>
      <c r="W487" s="327"/>
      <c r="X487" s="327"/>
      <c r="Y487" s="327"/>
      <c r="Z487" s="327"/>
      <c r="AA487" s="327"/>
      <c r="AB487" s="327"/>
      <c r="AC487" s="327"/>
      <c r="AD487" s="327"/>
      <c r="AE487" s="662"/>
      <c r="AF487" s="662"/>
      <c r="AG487" s="662"/>
      <c r="AH487" s="662"/>
    </row>
    <row r="488" spans="2:34" ht="18" customHeight="1">
      <c r="B488" s="486" t="str">
        <f>IF(COUNTBLANK(E488:N488)&lt;10,"","u")</f>
        <v>u</v>
      </c>
      <c r="C488" s="3211" t="s">
        <v>2287</v>
      </c>
      <c r="D488" s="3212"/>
      <c r="E488" s="576"/>
      <c r="F488" s="576"/>
      <c r="G488" s="576"/>
      <c r="H488" s="576"/>
      <c r="I488" s="576"/>
      <c r="J488" s="576"/>
      <c r="K488" s="576"/>
      <c r="L488" s="576"/>
      <c r="M488" s="576"/>
      <c r="N488" s="576"/>
      <c r="O488" s="3226">
        <f t="shared" si="20"/>
        <v>0</v>
      </c>
      <c r="P488" s="3227"/>
      <c r="Q488" s="257"/>
      <c r="S488" s="3487"/>
    </row>
    <row r="489" spans="2:34" ht="18" customHeight="1">
      <c r="B489" s="486" t="str">
        <f>IF(COUNTBLANK(E489:N489)&lt;10,"","u")</f>
        <v>u</v>
      </c>
      <c r="C489" s="1068" t="s">
        <v>651</v>
      </c>
      <c r="D489" s="974" t="s">
        <v>237</v>
      </c>
      <c r="E489" s="725"/>
      <c r="F489" s="725"/>
      <c r="G489" s="725"/>
      <c r="H489" s="725"/>
      <c r="I489" s="725"/>
      <c r="J489" s="725"/>
      <c r="K489" s="725"/>
      <c r="L489" s="725"/>
      <c r="M489" s="725"/>
      <c r="N489" s="725"/>
      <c r="O489" s="3226">
        <f t="shared" si="20"/>
        <v>0</v>
      </c>
      <c r="P489" s="3227"/>
      <c r="Q489" s="257"/>
      <c r="S489" s="3487"/>
      <c r="T489" s="328"/>
      <c r="U489" s="234"/>
      <c r="V489" s="234"/>
      <c r="W489" s="234"/>
      <c r="X489" s="234"/>
      <c r="Y489" s="234"/>
      <c r="Z489" s="234"/>
      <c r="AA489" s="234"/>
      <c r="AB489" s="234"/>
      <c r="AC489" s="234"/>
      <c r="AD489" s="234"/>
      <c r="AE489" s="234"/>
      <c r="AF489" s="234"/>
      <c r="AG489" s="234"/>
      <c r="AH489" s="234"/>
    </row>
    <row r="490" spans="2:34" ht="18" customHeight="1">
      <c r="B490" s="486" t="str">
        <f>IF(COUNTBLANK(E490:N490)&lt;10,"","w")</f>
        <v>w</v>
      </c>
      <c r="C490" s="3201" t="s">
        <v>653</v>
      </c>
      <c r="D490" s="3202"/>
      <c r="E490" s="728"/>
      <c r="F490" s="729"/>
      <c r="G490" s="729"/>
      <c r="H490" s="729"/>
      <c r="I490" s="729"/>
      <c r="J490" s="729"/>
      <c r="K490" s="729"/>
      <c r="L490" s="729"/>
      <c r="M490" s="729"/>
      <c r="N490" s="730"/>
      <c r="O490" s="3228">
        <f t="shared" si="20"/>
        <v>0</v>
      </c>
      <c r="P490" s="3229"/>
      <c r="Q490" s="257"/>
      <c r="S490" s="3487"/>
    </row>
    <row r="491" spans="2:34" ht="18" customHeight="1">
      <c r="B491" s="486" t="str">
        <f>IF(COUNTBLANK(E491:N491)&lt;10,"","w")</f>
        <v>w</v>
      </c>
      <c r="C491" s="3205" t="s">
        <v>654</v>
      </c>
      <c r="D491" s="3206"/>
      <c r="E491" s="735"/>
      <c r="F491" s="736"/>
      <c r="G491" s="736"/>
      <c r="H491" s="736"/>
      <c r="I491" s="736"/>
      <c r="J491" s="736"/>
      <c r="K491" s="736"/>
      <c r="L491" s="736"/>
      <c r="M491" s="736"/>
      <c r="N491" s="737"/>
      <c r="O491" s="3224">
        <f t="shared" si="20"/>
        <v>0</v>
      </c>
      <c r="P491" s="3225"/>
      <c r="Q491" s="257"/>
      <c r="S491" s="3487"/>
    </row>
    <row r="492" spans="2:34" ht="18" customHeight="1" thickBot="1">
      <c r="B492" s="486" t="str">
        <f>IF(COUNTBLANK(E492:N492)&lt;10,"","w")</f>
        <v>w</v>
      </c>
      <c r="C492" s="3205" t="s">
        <v>655</v>
      </c>
      <c r="D492" s="3206"/>
      <c r="E492" s="716"/>
      <c r="F492" s="717"/>
      <c r="G492" s="717"/>
      <c r="H492" s="717"/>
      <c r="I492" s="717"/>
      <c r="J492" s="717"/>
      <c r="K492" s="717"/>
      <c r="L492" s="717"/>
      <c r="M492" s="717"/>
      <c r="N492" s="718"/>
      <c r="O492" s="3268">
        <f t="shared" si="20"/>
        <v>0</v>
      </c>
      <c r="P492" s="3269"/>
      <c r="Q492" s="257"/>
      <c r="S492" s="3487"/>
    </row>
    <row r="493" spans="2:34" ht="37.5" customHeight="1" thickBot="1">
      <c r="B493" s="253"/>
      <c r="C493" s="3209" t="s">
        <v>539</v>
      </c>
      <c r="D493" s="3210"/>
      <c r="E493" s="3217"/>
      <c r="F493" s="3218"/>
      <c r="G493" s="3218"/>
      <c r="H493" s="3218"/>
      <c r="I493" s="3218"/>
      <c r="J493" s="3218"/>
      <c r="K493" s="3218"/>
      <c r="L493" s="3218"/>
      <c r="M493" s="3218"/>
      <c r="N493" s="3218"/>
      <c r="O493" s="3218"/>
      <c r="P493" s="3219"/>
      <c r="Q493" s="257"/>
      <c r="S493" s="3487"/>
    </row>
    <row r="494" spans="2:34" ht="30" customHeight="1" thickBot="1">
      <c r="B494" s="253"/>
      <c r="C494" s="3220" t="s">
        <v>661</v>
      </c>
      <c r="D494" s="3221"/>
      <c r="E494" s="1146">
        <f t="shared" ref="E494:N494" si="23">E456+E472+E480</f>
        <v>0</v>
      </c>
      <c r="F494" s="1147">
        <f t="shared" si="23"/>
        <v>0</v>
      </c>
      <c r="G494" s="1147">
        <f t="shared" si="23"/>
        <v>0</v>
      </c>
      <c r="H494" s="1147">
        <f t="shared" si="23"/>
        <v>0</v>
      </c>
      <c r="I494" s="1147">
        <f t="shared" si="23"/>
        <v>0</v>
      </c>
      <c r="J494" s="1147">
        <f t="shared" si="23"/>
        <v>0</v>
      </c>
      <c r="K494" s="1147">
        <f t="shared" si="23"/>
        <v>0</v>
      </c>
      <c r="L494" s="1147">
        <f t="shared" si="23"/>
        <v>0</v>
      </c>
      <c r="M494" s="1147">
        <f t="shared" si="23"/>
        <v>0</v>
      </c>
      <c r="N494" s="1148">
        <f t="shared" si="23"/>
        <v>0</v>
      </c>
      <c r="O494" s="3243">
        <f>SUM(E494:N494)</f>
        <v>0</v>
      </c>
      <c r="P494" s="3244"/>
      <c r="Q494" s="257"/>
      <c r="S494" s="3487"/>
    </row>
    <row r="495" spans="2:34" ht="16.5" customHeight="1">
      <c r="B495" s="253"/>
      <c r="C495" s="366"/>
      <c r="D495" s="256"/>
      <c r="E495" s="256"/>
      <c r="F495" s="256"/>
      <c r="G495" s="256"/>
      <c r="H495" s="256"/>
      <c r="I495" s="256"/>
      <c r="J495" s="256"/>
      <c r="K495" s="256"/>
      <c r="L495" s="256"/>
      <c r="M495" s="256"/>
      <c r="N495" s="256"/>
      <c r="O495" s="256"/>
      <c r="P495" s="256"/>
      <c r="Q495" s="257"/>
      <c r="S495" s="3487"/>
    </row>
    <row r="496" spans="2:34" ht="17.25" customHeight="1">
      <c r="B496" s="253"/>
      <c r="C496" s="668" t="s">
        <v>567</v>
      </c>
      <c r="D496" s="256"/>
      <c r="E496" s="256"/>
      <c r="F496" s="256"/>
      <c r="G496" s="256"/>
      <c r="H496" s="256"/>
      <c r="I496" s="256"/>
      <c r="J496" s="256"/>
      <c r="K496" s="256"/>
      <c r="L496" s="256"/>
      <c r="M496" s="256"/>
      <c r="N496" s="256"/>
      <c r="O496" s="256"/>
      <c r="P496" s="256"/>
      <c r="Q496" s="257"/>
      <c r="S496" s="3487"/>
    </row>
    <row r="497" spans="1:19" ht="18" customHeight="1">
      <c r="B497" s="253"/>
      <c r="C497" s="160"/>
      <c r="D497" s="650"/>
      <c r="E497" s="3270" t="s">
        <v>568</v>
      </c>
      <c r="F497" s="3270"/>
      <c r="G497" s="3270"/>
      <c r="H497" s="3271"/>
      <c r="I497" s="353" t="str">
        <f>IF((OR(ISBLANK(F626),ISBLANK(F627),ISBLANK(F631),ISBLANK(#REF!),ISBLANK(K626),ISBLANK(K627),ISBLANK(K631),ISBLANK(#REF!))=FALSE),"Complété","À compléter")</f>
        <v>À compléter</v>
      </c>
      <c r="J497" s="3265" t="s">
        <v>3454</v>
      </c>
      <c r="K497" s="3265"/>
      <c r="L497" s="3265"/>
      <c r="M497" s="3265"/>
      <c r="N497" s="3265"/>
      <c r="O497" s="3265"/>
      <c r="P497" s="3265"/>
      <c r="Q497" s="257"/>
      <c r="S497" s="3487"/>
    </row>
    <row r="498" spans="1:19" ht="6.75" customHeight="1">
      <c r="B498" s="253"/>
      <c r="C498" s="256"/>
      <c r="D498" s="650"/>
      <c r="E498" s="650"/>
      <c r="F498" s="650"/>
      <c r="G498" s="650"/>
      <c r="H498" s="650"/>
      <c r="I498" s="256"/>
      <c r="J498" s="355"/>
      <c r="K498" s="355"/>
      <c r="L498" s="355"/>
      <c r="M498" s="355"/>
      <c r="N498" s="355"/>
      <c r="O498" s="355"/>
      <c r="P498" s="355"/>
      <c r="Q498" s="257"/>
      <c r="S498" s="3487"/>
    </row>
    <row r="499" spans="1:19" ht="18" customHeight="1">
      <c r="B499" s="253"/>
      <c r="C499" s="256"/>
      <c r="D499" s="3270" t="s">
        <v>569</v>
      </c>
      <c r="E499" s="3270"/>
      <c r="F499" s="3270"/>
      <c r="G499" s="3270"/>
      <c r="H499" s="3271"/>
      <c r="I499" s="353" t="str">
        <f>IF((OR(ISBLANK(F686),ISBLANK(F690),ISBLANK(K686),ISBLANK(K690))=FALSE),"Complété","À compléter")</f>
        <v>À compléter</v>
      </c>
      <c r="J499" s="3265" t="s">
        <v>3455</v>
      </c>
      <c r="K499" s="3265"/>
      <c r="L499" s="3265"/>
      <c r="M499" s="3265"/>
      <c r="N499" s="3265"/>
      <c r="O499" s="3265"/>
      <c r="P499" s="3265"/>
      <c r="Q499" s="257"/>
      <c r="S499" s="3487"/>
    </row>
    <row r="500" spans="1:19" ht="17.25" customHeight="1">
      <c r="B500" s="253"/>
      <c r="C500" s="256"/>
      <c r="D500" s="459"/>
      <c r="E500" s="459"/>
      <c r="F500" s="459"/>
      <c r="G500" s="459"/>
      <c r="H500" s="459"/>
      <c r="I500" s="461"/>
      <c r="J500" s="649"/>
      <c r="K500" s="649"/>
      <c r="L500" s="649"/>
      <c r="M500" s="649"/>
      <c r="N500" s="649"/>
      <c r="O500" s="649"/>
      <c r="P500" s="649"/>
      <c r="Q500" s="257"/>
      <c r="S500" s="3487"/>
    </row>
    <row r="501" spans="1:19" ht="18" customHeight="1">
      <c r="B501" s="253"/>
      <c r="C501" s="667" t="s">
        <v>570</v>
      </c>
      <c r="D501" s="459"/>
      <c r="E501" s="459"/>
      <c r="F501" s="459"/>
      <c r="G501" s="160"/>
      <c r="H501" s="3265" t="s">
        <v>662</v>
      </c>
      <c r="I501" s="3265"/>
      <c r="J501" s="160"/>
      <c r="K501" s="160"/>
      <c r="L501" s="649"/>
      <c r="M501" s="649"/>
      <c r="N501" s="649"/>
      <c r="O501" s="649"/>
      <c r="P501" s="649"/>
      <c r="Q501" s="257"/>
      <c r="S501" s="3487"/>
    </row>
    <row r="502" spans="1:19" ht="15" thickBot="1">
      <c r="B502" s="298"/>
      <c r="C502" s="299"/>
      <c r="D502" s="299"/>
      <c r="E502" s="299"/>
      <c r="F502" s="330"/>
      <c r="G502" s="330"/>
      <c r="H502" s="299"/>
      <c r="I502" s="330"/>
      <c r="J502" s="330"/>
      <c r="K502" s="299"/>
      <c r="L502" s="330"/>
      <c r="M502" s="299"/>
      <c r="N502" s="330"/>
      <c r="O502" s="330"/>
      <c r="P502" s="330"/>
      <c r="Q502" s="300"/>
      <c r="S502" s="3488"/>
    </row>
    <row r="503" spans="1:19" ht="15" thickBot="1">
      <c r="B503" s="683"/>
      <c r="S503" s="614"/>
    </row>
    <row r="504" spans="1:19" ht="22.5" customHeight="1" thickBot="1">
      <c r="A504" s="1187"/>
      <c r="B504" s="237" t="s">
        <v>663</v>
      </c>
      <c r="C504" s="237"/>
      <c r="D504" s="237"/>
      <c r="E504" s="237"/>
      <c r="F504" s="237"/>
      <c r="G504" s="237"/>
      <c r="H504" s="237"/>
      <c r="I504" s="237"/>
      <c r="J504" s="237"/>
      <c r="K504" s="237"/>
      <c r="L504" s="238"/>
      <c r="M504" s="238"/>
      <c r="N504" s="238"/>
      <c r="O504" s="3173" t="s">
        <v>155</v>
      </c>
      <c r="P504" s="3173"/>
      <c r="Q504" s="3173"/>
      <c r="S504" s="615" t="s">
        <v>521</v>
      </c>
    </row>
    <row r="505" spans="1:19" ht="9.75" customHeight="1" thickBot="1">
      <c r="S505" s="616"/>
    </row>
    <row r="506" spans="1:19" ht="8.25" customHeight="1">
      <c r="B506" s="241"/>
      <c r="C506" s="242"/>
      <c r="D506" s="242"/>
      <c r="E506" s="243"/>
      <c r="F506" s="244"/>
      <c r="G506" s="244"/>
      <c r="H506" s="244"/>
      <c r="I506" s="244"/>
      <c r="J506" s="244"/>
      <c r="K506" s="244"/>
      <c r="L506" s="244"/>
      <c r="M506" s="244"/>
      <c r="N506" s="244"/>
      <c r="O506" s="244"/>
      <c r="P506" s="244"/>
      <c r="Q506" s="245"/>
      <c r="S506" s="3486"/>
    </row>
    <row r="507" spans="1:19" ht="18" customHeight="1">
      <c r="B507" s="284"/>
      <c r="C507" s="247" t="s">
        <v>664</v>
      </c>
      <c r="D507" s="247"/>
      <c r="E507" s="286"/>
      <c r="F507" s="287"/>
      <c r="G507" s="287"/>
      <c r="H507" s="287"/>
      <c r="I507" s="287"/>
      <c r="J507" s="287"/>
      <c r="K507" s="287"/>
      <c r="L507" s="287"/>
      <c r="M507" s="287"/>
      <c r="N507" s="249" t="s">
        <v>219</v>
      </c>
      <c r="O507" s="353" t="str">
        <f>IF((COUNTBLANK(B515:B567)=ROWS(B515:B567)),"Complété","À compléter")</f>
        <v>À compléter</v>
      </c>
      <c r="P507" s="287"/>
      <c r="Q507" s="288"/>
      <c r="S507" s="3487"/>
    </row>
    <row r="508" spans="1:19" ht="6.75" customHeight="1">
      <c r="B508" s="284"/>
      <c r="C508" s="286"/>
      <c r="D508" s="286"/>
      <c r="E508" s="286"/>
      <c r="F508" s="287"/>
      <c r="G508" s="287"/>
      <c r="H508" s="287"/>
      <c r="I508" s="287"/>
      <c r="J508" s="287"/>
      <c r="K508" s="287"/>
      <c r="L508" s="287"/>
      <c r="M508" s="287"/>
      <c r="N508" s="287"/>
      <c r="O508" s="287"/>
      <c r="P508" s="287"/>
      <c r="Q508" s="288"/>
      <c r="S508" s="3487"/>
    </row>
    <row r="509" spans="1:19" ht="17.25" customHeight="1">
      <c r="B509" s="251"/>
      <c r="C509" s="3182" t="s">
        <v>531</v>
      </c>
      <c r="D509" s="3182"/>
      <c r="E509" s="3182"/>
      <c r="F509" s="3182"/>
      <c r="G509" s="3182"/>
      <c r="H509" s="3182"/>
      <c r="I509" s="3182"/>
      <c r="J509" s="3182"/>
      <c r="K509" s="3182"/>
      <c r="L509" s="3182"/>
      <c r="M509" s="3182"/>
      <c r="N509" s="160"/>
      <c r="O509" s="160"/>
      <c r="P509" s="160"/>
      <c r="Q509" s="250"/>
      <c r="S509" s="3487"/>
    </row>
    <row r="510" spans="1:19" ht="15" customHeight="1">
      <c r="B510" s="251"/>
      <c r="C510" s="252"/>
      <c r="D510" s="252"/>
      <c r="E510" s="252"/>
      <c r="F510" s="160"/>
      <c r="G510" s="160"/>
      <c r="H510" s="160"/>
      <c r="I510" s="160"/>
      <c r="J510" s="160"/>
      <c r="K510" s="160"/>
      <c r="L510" s="160"/>
      <c r="M510" s="160"/>
      <c r="N510" s="160"/>
      <c r="O510" s="160"/>
      <c r="P510" s="160"/>
      <c r="Q510" s="250"/>
      <c r="S510" s="3487"/>
    </row>
    <row r="511" spans="1:19" ht="17.25" customHeight="1">
      <c r="B511" s="253"/>
      <c r="C511" s="252" t="s">
        <v>665</v>
      </c>
      <c r="D511" s="255"/>
      <c r="E511" s="256"/>
      <c r="F511" s="256"/>
      <c r="G511" s="256"/>
      <c r="H511" s="256"/>
      <c r="I511" s="256"/>
      <c r="J511" s="256"/>
      <c r="K511" s="256"/>
      <c r="L511" s="256"/>
      <c r="M511" s="256"/>
      <c r="N511" s="256"/>
      <c r="O511" s="256"/>
      <c r="P511" s="256"/>
      <c r="Q511" s="257"/>
      <c r="S511" s="3487"/>
    </row>
    <row r="512" spans="1:19" ht="23.25" customHeight="1">
      <c r="B512" s="253"/>
      <c r="C512" s="611" t="s">
        <v>666</v>
      </c>
      <c r="D512" s="255"/>
      <c r="E512" s="256"/>
      <c r="F512" s="256"/>
      <c r="G512" s="256"/>
      <c r="H512" s="256"/>
      <c r="I512" s="256"/>
      <c r="J512" s="256"/>
      <c r="K512" s="256"/>
      <c r="L512" s="256"/>
      <c r="M512" s="256"/>
      <c r="N512" s="256"/>
      <c r="O512" s="256"/>
      <c r="P512" s="256"/>
      <c r="Q512" s="257"/>
      <c r="S512" s="3487"/>
    </row>
    <row r="513" spans="2:19" ht="16.5" customHeight="1">
      <c r="B513" s="253"/>
      <c r="C513" s="597" t="s">
        <v>667</v>
      </c>
      <c r="D513" s="316"/>
      <c r="E513" s="256"/>
      <c r="F513" s="256"/>
      <c r="G513" s="256"/>
      <c r="H513" s="256"/>
      <c r="I513" s="256"/>
      <c r="J513" s="256"/>
      <c r="K513" s="256"/>
      <c r="L513" s="256"/>
      <c r="M513" s="256"/>
      <c r="N513" s="256"/>
      <c r="O513" s="256"/>
      <c r="P513" s="256"/>
      <c r="Q513" s="257"/>
      <c r="S513" s="3487"/>
    </row>
    <row r="514" spans="2:19" ht="16.5" customHeight="1" thickBot="1">
      <c r="B514" s="253"/>
      <c r="C514" s="255"/>
      <c r="D514" s="255"/>
      <c r="E514" s="256"/>
      <c r="F514" s="256"/>
      <c r="G514" s="256"/>
      <c r="H514" s="256"/>
      <c r="I514" s="256"/>
      <c r="J514" s="256"/>
      <c r="K514" s="256"/>
      <c r="L514" s="256"/>
      <c r="M514" s="256"/>
      <c r="N514" s="256"/>
      <c r="O514" s="256"/>
      <c r="P514" s="256"/>
      <c r="Q514" s="257"/>
      <c r="S514" s="3487"/>
    </row>
    <row r="515" spans="2:19" ht="30" customHeight="1">
      <c r="B515" s="253"/>
      <c r="C515" s="3214" t="s">
        <v>646</v>
      </c>
      <c r="D515" s="3215"/>
      <c r="E515" s="3215"/>
      <c r="F515" s="3216"/>
      <c r="G515" s="1061"/>
      <c r="H515" s="1061"/>
      <c r="I515" s="1061"/>
      <c r="J515" s="1061"/>
      <c r="K515" s="1061"/>
      <c r="L515" s="1061"/>
      <c r="M515" s="1061"/>
      <c r="N515" s="1061"/>
      <c r="O515" s="1062"/>
      <c r="P515" s="1061"/>
      <c r="Q515" s="257"/>
      <c r="S515" s="3487"/>
    </row>
    <row r="516" spans="2:19" ht="3" customHeight="1" thickBot="1">
      <c r="B516" s="253"/>
      <c r="C516" s="1064"/>
      <c r="D516" s="1063"/>
      <c r="E516" s="1063"/>
      <c r="F516" s="1065"/>
      <c r="G516" s="299"/>
      <c r="H516" s="299"/>
      <c r="I516" s="299"/>
      <c r="J516" s="299"/>
      <c r="K516" s="299"/>
      <c r="L516" s="299"/>
      <c r="M516" s="299"/>
      <c r="N516" s="299"/>
      <c r="O516" s="299"/>
      <c r="P516" s="299"/>
      <c r="Q516" s="257"/>
      <c r="S516" s="3487"/>
    </row>
    <row r="517" spans="2:19" ht="19.5" customHeight="1">
      <c r="B517" s="253"/>
      <c r="C517" s="3239" t="s">
        <v>668</v>
      </c>
      <c r="D517" s="3240"/>
      <c r="E517" s="3236" t="s">
        <v>669</v>
      </c>
      <c r="F517" s="3237"/>
      <c r="G517" s="3237"/>
      <c r="H517" s="3237"/>
      <c r="I517" s="3237"/>
      <c r="J517" s="3237"/>
      <c r="K517" s="3237"/>
      <c r="L517" s="3237"/>
      <c r="M517" s="3237"/>
      <c r="N517" s="3237"/>
      <c r="O517" s="3232" t="s">
        <v>649</v>
      </c>
      <c r="P517" s="3233"/>
      <c r="Q517" s="257"/>
      <c r="S517" s="3487"/>
    </row>
    <row r="518" spans="2:19" ht="19.5" customHeight="1" thickBot="1">
      <c r="B518" s="253"/>
      <c r="C518" s="3241"/>
      <c r="D518" s="3242"/>
      <c r="E518" s="741">
        <f>IF(E51="",0,E51)</f>
        <v>0</v>
      </c>
      <c r="F518" s="742">
        <f t="shared" ref="F518:N518" si="24">E518+1</f>
        <v>1</v>
      </c>
      <c r="G518" s="742">
        <f t="shared" si="24"/>
        <v>2</v>
      </c>
      <c r="H518" s="742">
        <f t="shared" si="24"/>
        <v>3</v>
      </c>
      <c r="I518" s="742">
        <f t="shared" si="24"/>
        <v>4</v>
      </c>
      <c r="J518" s="742">
        <f t="shared" si="24"/>
        <v>5</v>
      </c>
      <c r="K518" s="742">
        <f t="shared" si="24"/>
        <v>6</v>
      </c>
      <c r="L518" s="742">
        <f t="shared" si="24"/>
        <v>7</v>
      </c>
      <c r="M518" s="742">
        <f t="shared" si="24"/>
        <v>8</v>
      </c>
      <c r="N518" s="1149">
        <f t="shared" si="24"/>
        <v>9</v>
      </c>
      <c r="O518" s="3234"/>
      <c r="P518" s="3235"/>
      <c r="Q518" s="257"/>
      <c r="S518" s="3487"/>
    </row>
    <row r="519" spans="2:19" ht="18" customHeight="1" thickBot="1">
      <c r="B519" s="284"/>
      <c r="C519" s="1066" t="s">
        <v>477</v>
      </c>
      <c r="D519" s="1150"/>
      <c r="E519" s="1150"/>
      <c r="F519" s="1150"/>
      <c r="G519" s="1150"/>
      <c r="H519" s="1150"/>
      <c r="I519" s="1150"/>
      <c r="J519" s="1150"/>
      <c r="K519" s="1150"/>
      <c r="L519" s="1150"/>
      <c r="M519" s="1150"/>
      <c r="N519" s="1150"/>
      <c r="O519" s="1150"/>
      <c r="P519" s="1151"/>
      <c r="Q519" s="257"/>
      <c r="S519" s="3487"/>
    </row>
    <row r="520" spans="2:19" ht="18" customHeight="1">
      <c r="B520" s="284"/>
      <c r="C520" s="3436" t="s">
        <v>79</v>
      </c>
      <c r="D520" s="3437"/>
      <c r="E520" s="699">
        <f t="shared" ref="E520:N520" si="25">E411</f>
        <v>0</v>
      </c>
      <c r="F520" s="700">
        <f t="shared" si="25"/>
        <v>0</v>
      </c>
      <c r="G520" s="700">
        <f t="shared" si="25"/>
        <v>0</v>
      </c>
      <c r="H520" s="700">
        <f t="shared" si="25"/>
        <v>0</v>
      </c>
      <c r="I520" s="700">
        <f t="shared" si="25"/>
        <v>0</v>
      </c>
      <c r="J520" s="700">
        <f t="shared" si="25"/>
        <v>0</v>
      </c>
      <c r="K520" s="700">
        <f t="shared" si="25"/>
        <v>0</v>
      </c>
      <c r="L520" s="700">
        <f t="shared" si="25"/>
        <v>0</v>
      </c>
      <c r="M520" s="700">
        <f t="shared" si="25"/>
        <v>0</v>
      </c>
      <c r="N520" s="701">
        <f t="shared" si="25"/>
        <v>0</v>
      </c>
      <c r="O520" s="3421">
        <f>SUM(E520:N520)</f>
        <v>0</v>
      </c>
      <c r="P520" s="3422"/>
      <c r="Q520" s="257"/>
      <c r="S520" s="3487"/>
    </row>
    <row r="521" spans="2:19" ht="18" customHeight="1">
      <c r="B521" s="486" t="str">
        <f>IF(COUNTBLANK(E521:N521)&lt;10,"","u")</f>
        <v>u</v>
      </c>
      <c r="C521" s="3392" t="s">
        <v>80</v>
      </c>
      <c r="D521" s="3393"/>
      <c r="E521" s="573"/>
      <c r="F521" s="574"/>
      <c r="G521" s="574"/>
      <c r="H521" s="574"/>
      <c r="I521" s="574"/>
      <c r="J521" s="574"/>
      <c r="K521" s="574"/>
      <c r="L521" s="574"/>
      <c r="M521" s="574"/>
      <c r="N521" s="575"/>
      <c r="O521" s="3394">
        <f>SUM(E521:N521)</f>
        <v>0</v>
      </c>
      <c r="P521" s="3395"/>
      <c r="Q521" s="257"/>
      <c r="S521" s="3487"/>
    </row>
    <row r="522" spans="2:19" ht="18" customHeight="1">
      <c r="B522" s="486" t="str">
        <f>IF(COUNTBLANK(E522:N522)&lt;10,"","u")</f>
        <v>u</v>
      </c>
      <c r="C522" s="3428" t="s">
        <v>3468</v>
      </c>
      <c r="D522" s="3429"/>
      <c r="E522" s="607"/>
      <c r="F522" s="608"/>
      <c r="G522" s="608"/>
      <c r="H522" s="608"/>
      <c r="I522" s="608"/>
      <c r="J522" s="608"/>
      <c r="K522" s="608"/>
      <c r="L522" s="608"/>
      <c r="M522" s="608"/>
      <c r="N522" s="609"/>
      <c r="O522" s="3272">
        <f>SUM(E522:N522)</f>
        <v>0</v>
      </c>
      <c r="P522" s="3273"/>
      <c r="Q522" s="257"/>
      <c r="S522" s="3487"/>
    </row>
    <row r="523" spans="2:19" ht="18" customHeight="1">
      <c r="B523" s="486"/>
      <c r="C523" s="1160" t="s">
        <v>3469</v>
      </c>
      <c r="D523" s="603"/>
      <c r="E523" s="687">
        <f>E521+E522</f>
        <v>0</v>
      </c>
      <c r="F523" s="688">
        <f t="shared" ref="F523:N523" si="26">F521+F522</f>
        <v>0</v>
      </c>
      <c r="G523" s="688">
        <f t="shared" si="26"/>
        <v>0</v>
      </c>
      <c r="H523" s="688">
        <f t="shared" si="26"/>
        <v>0</v>
      </c>
      <c r="I523" s="688">
        <f t="shared" si="26"/>
        <v>0</v>
      </c>
      <c r="J523" s="688">
        <f t="shared" si="26"/>
        <v>0</v>
      </c>
      <c r="K523" s="688">
        <f t="shared" si="26"/>
        <v>0</v>
      </c>
      <c r="L523" s="688">
        <f t="shared" si="26"/>
        <v>0</v>
      </c>
      <c r="M523" s="688">
        <f t="shared" si="26"/>
        <v>0</v>
      </c>
      <c r="N523" s="689">
        <f t="shared" si="26"/>
        <v>0</v>
      </c>
      <c r="O523" s="3430">
        <f>SUM(E523:N523)</f>
        <v>0</v>
      </c>
      <c r="P523" s="3431"/>
      <c r="Q523" s="257"/>
      <c r="S523" s="3487"/>
    </row>
    <row r="524" spans="2:19" ht="18" customHeight="1" thickBot="1">
      <c r="B524" s="487"/>
      <c r="C524" s="3191" t="s">
        <v>83</v>
      </c>
      <c r="D524" s="3192"/>
      <c r="E524" s="690">
        <f t="shared" ref="E524:N524" si="27">IF((E520-E521-E522)&lt;0,0,(E520-E521-E522))</f>
        <v>0</v>
      </c>
      <c r="F524" s="691">
        <f t="shared" si="27"/>
        <v>0</v>
      </c>
      <c r="G524" s="691">
        <f t="shared" si="27"/>
        <v>0</v>
      </c>
      <c r="H524" s="691">
        <f t="shared" si="27"/>
        <v>0</v>
      </c>
      <c r="I524" s="691">
        <f t="shared" si="27"/>
        <v>0</v>
      </c>
      <c r="J524" s="691">
        <f t="shared" si="27"/>
        <v>0</v>
      </c>
      <c r="K524" s="691">
        <f t="shared" si="27"/>
        <v>0</v>
      </c>
      <c r="L524" s="691">
        <f t="shared" si="27"/>
        <v>0</v>
      </c>
      <c r="M524" s="691">
        <f t="shared" si="27"/>
        <v>0</v>
      </c>
      <c r="N524" s="692">
        <f t="shared" si="27"/>
        <v>0</v>
      </c>
      <c r="O524" s="3406">
        <f>SUM(E524:N524)</f>
        <v>0</v>
      </c>
      <c r="P524" s="3407"/>
      <c r="Q524" s="313"/>
      <c r="S524" s="3487"/>
    </row>
    <row r="525" spans="2:19" ht="32.25" customHeight="1" thickBot="1">
      <c r="B525" s="487"/>
      <c r="C525" s="3209" t="s">
        <v>539</v>
      </c>
      <c r="D525" s="3210"/>
      <c r="E525" s="3387"/>
      <c r="F525" s="3388"/>
      <c r="G525" s="3388"/>
      <c r="H525" s="3388"/>
      <c r="I525" s="3388"/>
      <c r="J525" s="3388"/>
      <c r="K525" s="3388"/>
      <c r="L525" s="3388"/>
      <c r="M525" s="3388"/>
      <c r="N525" s="3388"/>
      <c r="O525" s="3388"/>
      <c r="P525" s="3389"/>
      <c r="Q525" s="313"/>
      <c r="S525" s="3487"/>
    </row>
    <row r="526" spans="2:19" ht="18" customHeight="1" thickBot="1">
      <c r="B526" s="487"/>
      <c r="C526" s="1066" t="s">
        <v>482</v>
      </c>
      <c r="D526" s="1150"/>
      <c r="E526" s="1150"/>
      <c r="F526" s="1150"/>
      <c r="G526" s="1150"/>
      <c r="H526" s="1150"/>
      <c r="I526" s="1150"/>
      <c r="J526" s="1150"/>
      <c r="K526" s="1150"/>
      <c r="L526" s="1150"/>
      <c r="M526" s="1150"/>
      <c r="N526" s="1150"/>
      <c r="O526" s="1150"/>
      <c r="P526" s="1151"/>
      <c r="Q526" s="257"/>
      <c r="S526" s="3487"/>
    </row>
    <row r="527" spans="2:19" ht="18" customHeight="1">
      <c r="B527" s="487"/>
      <c r="C527" s="3413" t="s">
        <v>79</v>
      </c>
      <c r="D527" s="3414"/>
      <c r="E527" s="693">
        <f t="shared" ref="E527:N527" si="28">E427</f>
        <v>0</v>
      </c>
      <c r="F527" s="694">
        <f t="shared" si="28"/>
        <v>0</v>
      </c>
      <c r="G527" s="694">
        <f t="shared" si="28"/>
        <v>0</v>
      </c>
      <c r="H527" s="694">
        <f t="shared" si="28"/>
        <v>0</v>
      </c>
      <c r="I527" s="694">
        <f t="shared" si="28"/>
        <v>0</v>
      </c>
      <c r="J527" s="694">
        <f t="shared" si="28"/>
        <v>0</v>
      </c>
      <c r="K527" s="694">
        <f t="shared" si="28"/>
        <v>0</v>
      </c>
      <c r="L527" s="694">
        <f t="shared" si="28"/>
        <v>0</v>
      </c>
      <c r="M527" s="694">
        <f t="shared" si="28"/>
        <v>0</v>
      </c>
      <c r="N527" s="695">
        <f t="shared" si="28"/>
        <v>0</v>
      </c>
      <c r="O527" s="3408">
        <f t="shared" ref="O527:O532" si="29">SUM(E527:N527)</f>
        <v>0</v>
      </c>
      <c r="P527" s="3409"/>
      <c r="Q527" s="257"/>
      <c r="S527" s="3487"/>
    </row>
    <row r="528" spans="2:19" ht="18" customHeight="1">
      <c r="B528" s="331"/>
      <c r="C528" s="1152" t="s">
        <v>84</v>
      </c>
      <c r="D528" s="531"/>
      <c r="E528" s="696">
        <f t="shared" ref="E528:N528" si="30">IF((E520-E521-E522)&lt;0,-(E520-E521-E522),0)</f>
        <v>0</v>
      </c>
      <c r="F528" s="697">
        <f t="shared" si="30"/>
        <v>0</v>
      </c>
      <c r="G528" s="697">
        <f t="shared" si="30"/>
        <v>0</v>
      </c>
      <c r="H528" s="697">
        <f t="shared" si="30"/>
        <v>0</v>
      </c>
      <c r="I528" s="697">
        <f t="shared" si="30"/>
        <v>0</v>
      </c>
      <c r="J528" s="697">
        <f t="shared" si="30"/>
        <v>0</v>
      </c>
      <c r="K528" s="697">
        <f t="shared" si="30"/>
        <v>0</v>
      </c>
      <c r="L528" s="697">
        <f t="shared" si="30"/>
        <v>0</v>
      </c>
      <c r="M528" s="697">
        <f t="shared" si="30"/>
        <v>0</v>
      </c>
      <c r="N528" s="698">
        <f t="shared" si="30"/>
        <v>0</v>
      </c>
      <c r="O528" s="3438">
        <f t="shared" si="29"/>
        <v>0</v>
      </c>
      <c r="P528" s="3439"/>
      <c r="Q528" s="257"/>
      <c r="S528" s="3487"/>
    </row>
    <row r="529" spans="2:19" ht="18" customHeight="1">
      <c r="B529" s="486" t="str">
        <f>IF(COUNTBLANK(E529:N529)&lt;10,"","u")</f>
        <v>u</v>
      </c>
      <c r="C529" s="3368" t="s">
        <v>85</v>
      </c>
      <c r="D529" s="3369"/>
      <c r="E529" s="576"/>
      <c r="F529" s="577"/>
      <c r="G529" s="577"/>
      <c r="H529" s="577"/>
      <c r="I529" s="577"/>
      <c r="J529" s="577"/>
      <c r="K529" s="577"/>
      <c r="L529" s="577"/>
      <c r="M529" s="577"/>
      <c r="N529" s="578"/>
      <c r="O529" s="3272">
        <f t="shared" si="29"/>
        <v>0</v>
      </c>
      <c r="P529" s="3273"/>
      <c r="Q529" s="257"/>
      <c r="S529" s="3487"/>
    </row>
    <row r="530" spans="2:19" ht="18" customHeight="1">
      <c r="B530" s="486" t="str">
        <f>IF(COUNTBLANK(E530:N530)&lt;10,"","u")</f>
        <v>u</v>
      </c>
      <c r="C530" s="3370" t="s">
        <v>86</v>
      </c>
      <c r="D530" s="3371"/>
      <c r="E530" s="570"/>
      <c r="F530" s="571"/>
      <c r="G530" s="571"/>
      <c r="H530" s="571"/>
      <c r="I530" s="571"/>
      <c r="J530" s="571"/>
      <c r="K530" s="571"/>
      <c r="L530" s="571"/>
      <c r="M530" s="571"/>
      <c r="N530" s="572"/>
      <c r="O530" s="3289">
        <f t="shared" si="29"/>
        <v>0</v>
      </c>
      <c r="P530" s="3290"/>
      <c r="Q530" s="257"/>
      <c r="S530" s="3487"/>
    </row>
    <row r="531" spans="2:19" ht="18" customHeight="1">
      <c r="B531" s="486"/>
      <c r="C531" s="1152" t="s">
        <v>3469</v>
      </c>
      <c r="D531" s="531"/>
      <c r="E531" s="699">
        <f t="shared" ref="E531:N531" si="31">E529+E530</f>
        <v>0</v>
      </c>
      <c r="F531" s="700">
        <f>F529+F530</f>
        <v>0</v>
      </c>
      <c r="G531" s="700">
        <f t="shared" si="31"/>
        <v>0</v>
      </c>
      <c r="H531" s="700">
        <f t="shared" si="31"/>
        <v>0</v>
      </c>
      <c r="I531" s="700">
        <f t="shared" si="31"/>
        <v>0</v>
      </c>
      <c r="J531" s="700">
        <f t="shared" si="31"/>
        <v>0</v>
      </c>
      <c r="K531" s="700">
        <f t="shared" si="31"/>
        <v>0</v>
      </c>
      <c r="L531" s="700">
        <f t="shared" si="31"/>
        <v>0</v>
      </c>
      <c r="M531" s="700">
        <f t="shared" si="31"/>
        <v>0</v>
      </c>
      <c r="N531" s="701">
        <f t="shared" si="31"/>
        <v>0</v>
      </c>
      <c r="O531" s="3421">
        <f t="shared" si="29"/>
        <v>0</v>
      </c>
      <c r="P531" s="3422"/>
      <c r="Q531" s="257"/>
      <c r="S531" s="3487"/>
    </row>
    <row r="532" spans="2:19" ht="18" customHeight="1" thickBot="1">
      <c r="B532" s="284"/>
      <c r="C532" s="3191" t="s">
        <v>83</v>
      </c>
      <c r="D532" s="3192"/>
      <c r="E532" s="702">
        <f t="shared" ref="E532:N532" si="32">E527-E528-E529-E530</f>
        <v>0</v>
      </c>
      <c r="F532" s="703">
        <f t="shared" si="32"/>
        <v>0</v>
      </c>
      <c r="G532" s="703">
        <f t="shared" si="32"/>
        <v>0</v>
      </c>
      <c r="H532" s="703">
        <f t="shared" si="32"/>
        <v>0</v>
      </c>
      <c r="I532" s="703">
        <f t="shared" si="32"/>
        <v>0</v>
      </c>
      <c r="J532" s="703">
        <f t="shared" si="32"/>
        <v>0</v>
      </c>
      <c r="K532" s="703">
        <f t="shared" si="32"/>
        <v>0</v>
      </c>
      <c r="L532" s="703">
        <f t="shared" si="32"/>
        <v>0</v>
      </c>
      <c r="M532" s="703">
        <f t="shared" si="32"/>
        <v>0</v>
      </c>
      <c r="N532" s="704">
        <f t="shared" si="32"/>
        <v>0</v>
      </c>
      <c r="O532" s="3406">
        <f t="shared" si="29"/>
        <v>0</v>
      </c>
      <c r="P532" s="3407"/>
      <c r="Q532" s="313"/>
      <c r="S532" s="3487"/>
    </row>
    <row r="533" spans="2:19" ht="32.25" customHeight="1" thickBot="1">
      <c r="B533" s="284"/>
      <c r="C533" s="3209" t="s">
        <v>539</v>
      </c>
      <c r="D533" s="3210"/>
      <c r="E533" s="3387"/>
      <c r="F533" s="3388"/>
      <c r="G533" s="3388"/>
      <c r="H533" s="3388"/>
      <c r="I533" s="3388"/>
      <c r="J533" s="3388"/>
      <c r="K533" s="3388"/>
      <c r="L533" s="3388"/>
      <c r="M533" s="3388"/>
      <c r="N533" s="3388"/>
      <c r="O533" s="3388"/>
      <c r="P533" s="3389"/>
      <c r="Q533" s="313"/>
      <c r="S533" s="3487"/>
    </row>
    <row r="534" spans="2:19" ht="18" customHeight="1" thickBot="1">
      <c r="B534" s="284"/>
      <c r="C534" s="1066" t="s">
        <v>657</v>
      </c>
      <c r="D534" s="1150"/>
      <c r="E534" s="1150"/>
      <c r="F534" s="1150"/>
      <c r="G534" s="1150"/>
      <c r="H534" s="1150"/>
      <c r="I534" s="1150"/>
      <c r="J534" s="1150"/>
      <c r="K534" s="1150"/>
      <c r="L534" s="1150"/>
      <c r="M534" s="1150"/>
      <c r="N534" s="1150"/>
      <c r="O534" s="1150"/>
      <c r="P534" s="1151"/>
      <c r="Q534" s="257"/>
      <c r="S534" s="3487"/>
    </row>
    <row r="535" spans="2:19" ht="18" customHeight="1">
      <c r="B535" s="284"/>
      <c r="C535" s="3396" t="s">
        <v>79</v>
      </c>
      <c r="D535" s="3397"/>
      <c r="E535" s="684">
        <f t="shared" ref="E535:N535" si="33">E435</f>
        <v>0</v>
      </c>
      <c r="F535" s="685">
        <f t="shared" si="33"/>
        <v>0</v>
      </c>
      <c r="G535" s="685">
        <f t="shared" si="33"/>
        <v>0</v>
      </c>
      <c r="H535" s="685">
        <f t="shared" si="33"/>
        <v>0</v>
      </c>
      <c r="I535" s="685">
        <f t="shared" si="33"/>
        <v>0</v>
      </c>
      <c r="J535" s="685">
        <f t="shared" si="33"/>
        <v>0</v>
      </c>
      <c r="K535" s="685">
        <f t="shared" si="33"/>
        <v>0</v>
      </c>
      <c r="L535" s="685">
        <f t="shared" si="33"/>
        <v>0</v>
      </c>
      <c r="M535" s="685">
        <f t="shared" si="33"/>
        <v>0</v>
      </c>
      <c r="N535" s="686">
        <f t="shared" si="33"/>
        <v>0</v>
      </c>
      <c r="O535" s="3400">
        <f>SUM(E535:N535)</f>
        <v>0</v>
      </c>
      <c r="P535" s="3401"/>
      <c r="Q535" s="257"/>
      <c r="S535" s="3487"/>
    </row>
    <row r="536" spans="2:19" ht="18" customHeight="1">
      <c r="B536" s="486" t="str">
        <f>IF(COUNTBLANK(E536:N536)&lt;10,"","u")</f>
        <v>u</v>
      </c>
      <c r="C536" s="3368" t="s">
        <v>85</v>
      </c>
      <c r="D536" s="3369"/>
      <c r="E536" s="576"/>
      <c r="F536" s="577"/>
      <c r="G536" s="577"/>
      <c r="H536" s="577"/>
      <c r="I536" s="577"/>
      <c r="J536" s="577"/>
      <c r="K536" s="577"/>
      <c r="L536" s="577"/>
      <c r="M536" s="577"/>
      <c r="N536" s="578"/>
      <c r="O536" s="3272">
        <f>SUM(E536:N536)</f>
        <v>0</v>
      </c>
      <c r="P536" s="3273"/>
      <c r="Q536" s="257"/>
      <c r="S536" s="3487"/>
    </row>
    <row r="537" spans="2:19" ht="18" customHeight="1">
      <c r="B537" s="486" t="str">
        <f>IF(COUNTBLANK(E537:N537)&lt;10,"","u")</f>
        <v>u</v>
      </c>
      <c r="C537" s="3370" t="s">
        <v>86</v>
      </c>
      <c r="D537" s="3371"/>
      <c r="E537" s="570"/>
      <c r="F537" s="571"/>
      <c r="G537" s="571"/>
      <c r="H537" s="571"/>
      <c r="I537" s="571"/>
      <c r="J537" s="571"/>
      <c r="K537" s="571"/>
      <c r="L537" s="571"/>
      <c r="M537" s="571"/>
      <c r="N537" s="572"/>
      <c r="O537" s="3404">
        <f>SUM(E537:N537)</f>
        <v>0</v>
      </c>
      <c r="P537" s="3405"/>
      <c r="Q537" s="257"/>
      <c r="S537" s="3487"/>
    </row>
    <row r="538" spans="2:19" ht="18" customHeight="1">
      <c r="B538" s="486"/>
      <c r="C538" s="1152" t="s">
        <v>3469</v>
      </c>
      <c r="D538" s="531"/>
      <c r="E538" s="699">
        <f t="shared" ref="E538:N538" si="34">E536+E537</f>
        <v>0</v>
      </c>
      <c r="F538" s="700">
        <f t="shared" si="34"/>
        <v>0</v>
      </c>
      <c r="G538" s="700">
        <f t="shared" si="34"/>
        <v>0</v>
      </c>
      <c r="H538" s="700">
        <f t="shared" si="34"/>
        <v>0</v>
      </c>
      <c r="I538" s="700">
        <f t="shared" si="34"/>
        <v>0</v>
      </c>
      <c r="J538" s="700">
        <f t="shared" si="34"/>
        <v>0</v>
      </c>
      <c r="K538" s="700">
        <f t="shared" si="34"/>
        <v>0</v>
      </c>
      <c r="L538" s="700">
        <f t="shared" si="34"/>
        <v>0</v>
      </c>
      <c r="M538" s="700">
        <f t="shared" si="34"/>
        <v>0</v>
      </c>
      <c r="N538" s="701">
        <f t="shared" si="34"/>
        <v>0</v>
      </c>
      <c r="O538" s="3421">
        <f>SUM(E538:N538)</f>
        <v>0</v>
      </c>
      <c r="P538" s="3422"/>
      <c r="Q538" s="257"/>
      <c r="S538" s="3487"/>
    </row>
    <row r="539" spans="2:19" ht="18" customHeight="1" thickBot="1">
      <c r="B539" s="284"/>
      <c r="C539" s="3191" t="s">
        <v>83</v>
      </c>
      <c r="D539" s="3192"/>
      <c r="E539" s="684">
        <f t="shared" ref="E539:N539" si="35">E535-E536-E537</f>
        <v>0</v>
      </c>
      <c r="F539" s="685">
        <f t="shared" si="35"/>
        <v>0</v>
      </c>
      <c r="G539" s="685">
        <f t="shared" si="35"/>
        <v>0</v>
      </c>
      <c r="H539" s="685">
        <f t="shared" si="35"/>
        <v>0</v>
      </c>
      <c r="I539" s="685">
        <f t="shared" si="35"/>
        <v>0</v>
      </c>
      <c r="J539" s="685">
        <f t="shared" si="35"/>
        <v>0</v>
      </c>
      <c r="K539" s="685">
        <f t="shared" si="35"/>
        <v>0</v>
      </c>
      <c r="L539" s="685">
        <f t="shared" si="35"/>
        <v>0</v>
      </c>
      <c r="M539" s="685">
        <f t="shared" si="35"/>
        <v>0</v>
      </c>
      <c r="N539" s="685">
        <f t="shared" si="35"/>
        <v>0</v>
      </c>
      <c r="O539" s="3406">
        <f>SUM(E539:N539)</f>
        <v>0</v>
      </c>
      <c r="P539" s="3407"/>
      <c r="Q539" s="313"/>
      <c r="S539" s="3487"/>
    </row>
    <row r="540" spans="2:19" ht="32.25" customHeight="1" thickBot="1">
      <c r="B540" s="284"/>
      <c r="C540" s="3209" t="s">
        <v>539</v>
      </c>
      <c r="D540" s="3210"/>
      <c r="E540" s="3387"/>
      <c r="F540" s="3388"/>
      <c r="G540" s="3388"/>
      <c r="H540" s="3388"/>
      <c r="I540" s="3388"/>
      <c r="J540" s="3388"/>
      <c r="K540" s="3388"/>
      <c r="L540" s="3388"/>
      <c r="M540" s="3388"/>
      <c r="N540" s="3388"/>
      <c r="O540" s="3388"/>
      <c r="P540" s="3389"/>
      <c r="Q540" s="313"/>
      <c r="S540" s="3487"/>
    </row>
    <row r="541" spans="2:19" ht="18.75" customHeight="1" thickBot="1">
      <c r="B541" s="253"/>
      <c r="C541" s="255"/>
      <c r="D541" s="255"/>
      <c r="E541" s="256"/>
      <c r="F541" s="256"/>
      <c r="G541" s="256"/>
      <c r="H541" s="256"/>
      <c r="I541" s="256"/>
      <c r="J541" s="256"/>
      <c r="K541" s="256"/>
      <c r="L541" s="256"/>
      <c r="M541" s="256"/>
      <c r="N541" s="256"/>
      <c r="O541" s="256"/>
      <c r="P541" s="256"/>
      <c r="Q541" s="257"/>
      <c r="S541" s="3487"/>
    </row>
    <row r="542" spans="2:19" ht="30" customHeight="1">
      <c r="B542" s="253"/>
      <c r="C542" s="3214" t="s">
        <v>659</v>
      </c>
      <c r="D542" s="3215"/>
      <c r="E542" s="3215"/>
      <c r="F542" s="3216"/>
      <c r="G542" s="1061"/>
      <c r="H542" s="1061"/>
      <c r="I542" s="1061"/>
      <c r="J542" s="1061"/>
      <c r="K542" s="1061"/>
      <c r="L542" s="1061"/>
      <c r="M542" s="1061"/>
      <c r="N542" s="1061"/>
      <c r="O542" s="1062"/>
      <c r="P542" s="1061"/>
      <c r="Q542" s="257"/>
      <c r="S542" s="3487"/>
    </row>
    <row r="543" spans="2:19" ht="3" customHeight="1" thickBot="1">
      <c r="B543" s="253"/>
      <c r="C543" s="1064"/>
      <c r="D543" s="1063"/>
      <c r="E543" s="1063"/>
      <c r="F543" s="1065"/>
      <c r="G543" s="299"/>
      <c r="H543" s="299"/>
      <c r="I543" s="299"/>
      <c r="J543" s="299"/>
      <c r="K543" s="299"/>
      <c r="L543" s="299"/>
      <c r="M543" s="299"/>
      <c r="N543" s="299"/>
      <c r="O543" s="299"/>
      <c r="P543" s="299"/>
      <c r="Q543" s="257"/>
      <c r="S543" s="3487"/>
    </row>
    <row r="544" spans="2:19" ht="19.5" customHeight="1">
      <c r="B544" s="253"/>
      <c r="C544" s="3239" t="s">
        <v>668</v>
      </c>
      <c r="D544" s="3240"/>
      <c r="E544" s="3236" t="s">
        <v>669</v>
      </c>
      <c r="F544" s="3237"/>
      <c r="G544" s="3237"/>
      <c r="H544" s="3237"/>
      <c r="I544" s="3237"/>
      <c r="J544" s="3237"/>
      <c r="K544" s="3237"/>
      <c r="L544" s="3237"/>
      <c r="M544" s="3237"/>
      <c r="N544" s="3237"/>
      <c r="O544" s="3232" t="s">
        <v>649</v>
      </c>
      <c r="P544" s="3233"/>
      <c r="Q544" s="257"/>
      <c r="S544" s="3487"/>
    </row>
    <row r="545" spans="2:19" ht="19.5" customHeight="1" thickBot="1">
      <c r="B545" s="253"/>
      <c r="C545" s="3402"/>
      <c r="D545" s="3403"/>
      <c r="E545" s="1155">
        <f>IF(E51="",0,E51)</f>
        <v>0</v>
      </c>
      <c r="F545" s="1156">
        <f t="shared" ref="F545:N545" si="36">E545+1</f>
        <v>1</v>
      </c>
      <c r="G545" s="1156">
        <f t="shared" si="36"/>
        <v>2</v>
      </c>
      <c r="H545" s="1156">
        <f t="shared" si="36"/>
        <v>3</v>
      </c>
      <c r="I545" s="1156">
        <f t="shared" si="36"/>
        <v>4</v>
      </c>
      <c r="J545" s="1156">
        <f t="shared" si="36"/>
        <v>5</v>
      </c>
      <c r="K545" s="1156">
        <f t="shared" si="36"/>
        <v>6</v>
      </c>
      <c r="L545" s="1156">
        <f t="shared" si="36"/>
        <v>7</v>
      </c>
      <c r="M545" s="1156">
        <f t="shared" si="36"/>
        <v>8</v>
      </c>
      <c r="N545" s="1157">
        <f t="shared" si="36"/>
        <v>9</v>
      </c>
      <c r="O545" s="3398"/>
      <c r="P545" s="3399"/>
      <c r="Q545" s="257"/>
      <c r="S545" s="3487"/>
    </row>
    <row r="546" spans="2:19" ht="18.75" customHeight="1" thickBot="1">
      <c r="B546" s="284"/>
      <c r="C546" s="1142" t="s">
        <v>477</v>
      </c>
      <c r="D546" s="1153"/>
      <c r="E546" s="1153"/>
      <c r="F546" s="1153"/>
      <c r="G546" s="1153"/>
      <c r="H546" s="1153"/>
      <c r="I546" s="1153"/>
      <c r="J546" s="1153"/>
      <c r="K546" s="1153"/>
      <c r="L546" s="1153"/>
      <c r="M546" s="1153"/>
      <c r="N546" s="1153"/>
      <c r="O546" s="1153"/>
      <c r="P546" s="1154"/>
      <c r="Q546" s="257"/>
      <c r="S546" s="3487"/>
    </row>
    <row r="547" spans="2:19" ht="18.75" customHeight="1">
      <c r="B547" s="284"/>
      <c r="C547" s="3396" t="s">
        <v>79</v>
      </c>
      <c r="D547" s="3397"/>
      <c r="E547" s="684">
        <f t="shared" ref="E547:N547" si="37">E456</f>
        <v>0</v>
      </c>
      <c r="F547" s="685">
        <f t="shared" si="37"/>
        <v>0</v>
      </c>
      <c r="G547" s="685">
        <f t="shared" si="37"/>
        <v>0</v>
      </c>
      <c r="H547" s="685">
        <f t="shared" si="37"/>
        <v>0</v>
      </c>
      <c r="I547" s="685">
        <f t="shared" si="37"/>
        <v>0</v>
      </c>
      <c r="J547" s="685">
        <f t="shared" si="37"/>
        <v>0</v>
      </c>
      <c r="K547" s="685">
        <f t="shared" si="37"/>
        <v>0</v>
      </c>
      <c r="L547" s="685">
        <f t="shared" si="37"/>
        <v>0</v>
      </c>
      <c r="M547" s="685">
        <f t="shared" si="37"/>
        <v>0</v>
      </c>
      <c r="N547" s="686">
        <f t="shared" si="37"/>
        <v>0</v>
      </c>
      <c r="O547" s="3400">
        <f>SUM(E547:N547)</f>
        <v>0</v>
      </c>
      <c r="P547" s="3401"/>
      <c r="Q547" s="257"/>
      <c r="S547" s="3487"/>
    </row>
    <row r="548" spans="2:19" ht="18.75" customHeight="1">
      <c r="B548" s="486" t="str">
        <f>IF(COUNTBLANK(E548:N548)&lt;10,"","u")</f>
        <v>u</v>
      </c>
      <c r="C548" s="3392" t="s">
        <v>80</v>
      </c>
      <c r="D548" s="3393"/>
      <c r="E548" s="573"/>
      <c r="F548" s="574"/>
      <c r="G548" s="574"/>
      <c r="H548" s="574"/>
      <c r="I548" s="574"/>
      <c r="J548" s="574"/>
      <c r="K548" s="574"/>
      <c r="L548" s="574"/>
      <c r="M548" s="574"/>
      <c r="N548" s="579"/>
      <c r="O548" s="3394">
        <f>SUM(E548:N548)</f>
        <v>0</v>
      </c>
      <c r="P548" s="3395"/>
      <c r="Q548" s="257"/>
      <c r="S548" s="3487"/>
    </row>
    <row r="549" spans="2:19" ht="18" customHeight="1">
      <c r="B549" s="486" t="str">
        <f>IF(COUNTBLANK(E549:N549)&lt;10,"","u")</f>
        <v>u</v>
      </c>
      <c r="C549" s="3428" t="s">
        <v>3468</v>
      </c>
      <c r="D549" s="3429"/>
      <c r="E549" s="607"/>
      <c r="F549" s="608"/>
      <c r="G549" s="608"/>
      <c r="H549" s="608"/>
      <c r="I549" s="608"/>
      <c r="J549" s="608"/>
      <c r="K549" s="608"/>
      <c r="L549" s="608"/>
      <c r="M549" s="608"/>
      <c r="N549" s="609"/>
      <c r="O549" s="3272">
        <f>SUM(E549:N549)</f>
        <v>0</v>
      </c>
      <c r="P549" s="3273"/>
      <c r="Q549" s="257"/>
      <c r="S549" s="3487"/>
    </row>
    <row r="550" spans="2:19" ht="18" customHeight="1">
      <c r="B550" s="486"/>
      <c r="C550" s="1152" t="s">
        <v>3469</v>
      </c>
      <c r="D550" s="531"/>
      <c r="E550" s="699">
        <f t="shared" ref="E550:N550" si="38">E548+E549</f>
        <v>0</v>
      </c>
      <c r="F550" s="700">
        <f t="shared" si="38"/>
        <v>0</v>
      </c>
      <c r="G550" s="700">
        <f t="shared" si="38"/>
        <v>0</v>
      </c>
      <c r="H550" s="700">
        <f t="shared" si="38"/>
        <v>0</v>
      </c>
      <c r="I550" s="700">
        <f t="shared" si="38"/>
        <v>0</v>
      </c>
      <c r="J550" s="700">
        <f t="shared" si="38"/>
        <v>0</v>
      </c>
      <c r="K550" s="700">
        <f t="shared" si="38"/>
        <v>0</v>
      </c>
      <c r="L550" s="700">
        <f t="shared" si="38"/>
        <v>0</v>
      </c>
      <c r="M550" s="700">
        <f t="shared" si="38"/>
        <v>0</v>
      </c>
      <c r="N550" s="701">
        <f t="shared" si="38"/>
        <v>0</v>
      </c>
      <c r="O550" s="3421">
        <f>SUM(E550:N550)</f>
        <v>0</v>
      </c>
      <c r="P550" s="3422"/>
      <c r="Q550" s="257"/>
      <c r="S550" s="3487"/>
    </row>
    <row r="551" spans="2:19" ht="18" customHeight="1" thickBot="1">
      <c r="B551" s="284"/>
      <c r="C551" s="3426" t="s">
        <v>83</v>
      </c>
      <c r="D551" s="3427"/>
      <c r="E551" s="1158">
        <f t="shared" ref="E551:N551" si="39">IF((E547-E548-E549)&lt;0,0,(E547-E548-E549))</f>
        <v>0</v>
      </c>
      <c r="F551" s="1159">
        <f t="shared" si="39"/>
        <v>0</v>
      </c>
      <c r="G551" s="1159">
        <f t="shared" si="39"/>
        <v>0</v>
      </c>
      <c r="H551" s="1159">
        <f t="shared" si="39"/>
        <v>0</v>
      </c>
      <c r="I551" s="1159">
        <f t="shared" si="39"/>
        <v>0</v>
      </c>
      <c r="J551" s="1159">
        <f t="shared" si="39"/>
        <v>0</v>
      </c>
      <c r="K551" s="1159">
        <f t="shared" si="39"/>
        <v>0</v>
      </c>
      <c r="L551" s="1159">
        <f t="shared" si="39"/>
        <v>0</v>
      </c>
      <c r="M551" s="1159">
        <f t="shared" si="39"/>
        <v>0</v>
      </c>
      <c r="N551" s="1159">
        <f t="shared" si="39"/>
        <v>0</v>
      </c>
      <c r="O551" s="3390">
        <f>SUM(E551:N551)</f>
        <v>0</v>
      </c>
      <c r="P551" s="3391"/>
      <c r="Q551" s="313"/>
      <c r="S551" s="3487"/>
    </row>
    <row r="552" spans="2:19" ht="32.25" customHeight="1" thickBot="1">
      <c r="B552" s="284"/>
      <c r="C552" s="3209" t="s">
        <v>539</v>
      </c>
      <c r="D552" s="3210"/>
      <c r="E552" s="3387"/>
      <c r="F552" s="3388"/>
      <c r="G552" s="3388"/>
      <c r="H552" s="3388"/>
      <c r="I552" s="3388"/>
      <c r="J552" s="3388"/>
      <c r="K552" s="3388"/>
      <c r="L552" s="3388"/>
      <c r="M552" s="3388"/>
      <c r="N552" s="3388"/>
      <c r="O552" s="3388"/>
      <c r="P552" s="3389"/>
      <c r="Q552" s="313"/>
      <c r="S552" s="3487"/>
    </row>
    <row r="553" spans="2:19" ht="18" customHeight="1" thickBot="1">
      <c r="B553" s="284"/>
      <c r="C553" s="1142" t="s">
        <v>482</v>
      </c>
      <c r="D553" s="1153"/>
      <c r="E553" s="1153"/>
      <c r="F553" s="1153"/>
      <c r="G553" s="1153"/>
      <c r="H553" s="1153"/>
      <c r="I553" s="1153"/>
      <c r="J553" s="1153"/>
      <c r="K553" s="1153"/>
      <c r="L553" s="1153"/>
      <c r="M553" s="1153"/>
      <c r="N553" s="1153"/>
      <c r="O553" s="1153"/>
      <c r="P553" s="1154"/>
      <c r="Q553" s="257"/>
      <c r="S553" s="3487"/>
    </row>
    <row r="554" spans="2:19" ht="18" customHeight="1">
      <c r="B554" s="284"/>
      <c r="C554" s="3413" t="s">
        <v>79</v>
      </c>
      <c r="D554" s="3414"/>
      <c r="E554" s="705">
        <f t="shared" ref="E554:N554" si="40">E472</f>
        <v>0</v>
      </c>
      <c r="F554" s="706">
        <f t="shared" si="40"/>
        <v>0</v>
      </c>
      <c r="G554" s="706">
        <f t="shared" si="40"/>
        <v>0</v>
      </c>
      <c r="H554" s="706">
        <f t="shared" si="40"/>
        <v>0</v>
      </c>
      <c r="I554" s="706">
        <f t="shared" si="40"/>
        <v>0</v>
      </c>
      <c r="J554" s="706">
        <f t="shared" si="40"/>
        <v>0</v>
      </c>
      <c r="K554" s="706">
        <f t="shared" si="40"/>
        <v>0</v>
      </c>
      <c r="L554" s="706">
        <f t="shared" si="40"/>
        <v>0</v>
      </c>
      <c r="M554" s="706">
        <f t="shared" si="40"/>
        <v>0</v>
      </c>
      <c r="N554" s="707">
        <f t="shared" si="40"/>
        <v>0</v>
      </c>
      <c r="O554" s="3442">
        <f t="shared" ref="O554:O559" si="41">SUM(E554:N554)</f>
        <v>0</v>
      </c>
      <c r="P554" s="3443"/>
      <c r="Q554" s="257"/>
      <c r="S554" s="3487"/>
    </row>
    <row r="555" spans="2:19" ht="18" customHeight="1">
      <c r="B555" s="331"/>
      <c r="C555" s="1152" t="s">
        <v>84</v>
      </c>
      <c r="D555" s="531"/>
      <c r="E555" s="708">
        <f t="shared" ref="E555:N555" si="42">IF((E547-E548-E549)&lt;0,-(E547-E548-E549),0)</f>
        <v>0</v>
      </c>
      <c r="F555" s="709">
        <f t="shared" si="42"/>
        <v>0</v>
      </c>
      <c r="G555" s="709">
        <f t="shared" si="42"/>
        <v>0</v>
      </c>
      <c r="H555" s="709">
        <f t="shared" si="42"/>
        <v>0</v>
      </c>
      <c r="I555" s="709">
        <f t="shared" si="42"/>
        <v>0</v>
      </c>
      <c r="J555" s="709">
        <f t="shared" si="42"/>
        <v>0</v>
      </c>
      <c r="K555" s="709">
        <f t="shared" si="42"/>
        <v>0</v>
      </c>
      <c r="L555" s="709">
        <f t="shared" si="42"/>
        <v>0</v>
      </c>
      <c r="M555" s="709">
        <f t="shared" si="42"/>
        <v>0</v>
      </c>
      <c r="N555" s="710">
        <f t="shared" si="42"/>
        <v>0</v>
      </c>
      <c r="O555" s="3440">
        <f t="shared" si="41"/>
        <v>0</v>
      </c>
      <c r="P555" s="3441"/>
      <c r="Q555" s="257"/>
      <c r="S555" s="3487"/>
    </row>
    <row r="556" spans="2:19" ht="18" customHeight="1">
      <c r="B556" s="486" t="str">
        <f>IF(COUNTBLANK(E556:N556)&lt;10,"","u")</f>
        <v>u</v>
      </c>
      <c r="C556" s="3368" t="s">
        <v>85</v>
      </c>
      <c r="D556" s="3369"/>
      <c r="E556" s="576"/>
      <c r="F556" s="577"/>
      <c r="G556" s="577"/>
      <c r="H556" s="577"/>
      <c r="I556" s="577"/>
      <c r="J556" s="577"/>
      <c r="K556" s="577"/>
      <c r="L556" s="577"/>
      <c r="M556" s="577"/>
      <c r="N556" s="578"/>
      <c r="O556" s="3272">
        <f t="shared" si="41"/>
        <v>0</v>
      </c>
      <c r="P556" s="3273"/>
      <c r="Q556" s="257"/>
      <c r="S556" s="3487"/>
    </row>
    <row r="557" spans="2:19" ht="18" customHeight="1">
      <c r="B557" s="486" t="str">
        <f>IF(COUNTBLANK(E557:N557)&lt;10,"","u")</f>
        <v>u</v>
      </c>
      <c r="C557" s="3370" t="s">
        <v>86</v>
      </c>
      <c r="D557" s="3371"/>
      <c r="E557" s="576"/>
      <c r="F557" s="577"/>
      <c r="G557" s="577"/>
      <c r="H557" s="577"/>
      <c r="I557" s="577"/>
      <c r="J557" s="577"/>
      <c r="K557" s="577"/>
      <c r="L557" s="577"/>
      <c r="M557" s="577"/>
      <c r="N557" s="578"/>
      <c r="O557" s="3272">
        <f t="shared" si="41"/>
        <v>0</v>
      </c>
      <c r="P557" s="3273"/>
      <c r="Q557" s="257"/>
      <c r="S557" s="3487"/>
    </row>
    <row r="558" spans="2:19" ht="18" customHeight="1">
      <c r="B558" s="486"/>
      <c r="C558" s="1152" t="s">
        <v>3469</v>
      </c>
      <c r="D558" s="531"/>
      <c r="E558" s="699">
        <f t="shared" ref="E558:N558" si="43">E556+E557</f>
        <v>0</v>
      </c>
      <c r="F558" s="700">
        <f t="shared" si="43"/>
        <v>0</v>
      </c>
      <c r="G558" s="700">
        <f t="shared" si="43"/>
        <v>0</v>
      </c>
      <c r="H558" s="700">
        <f t="shared" si="43"/>
        <v>0</v>
      </c>
      <c r="I558" s="700">
        <f t="shared" si="43"/>
        <v>0</v>
      </c>
      <c r="J558" s="700">
        <f t="shared" si="43"/>
        <v>0</v>
      </c>
      <c r="K558" s="700">
        <f t="shared" si="43"/>
        <v>0</v>
      </c>
      <c r="L558" s="700">
        <f t="shared" si="43"/>
        <v>0</v>
      </c>
      <c r="M558" s="700">
        <f t="shared" si="43"/>
        <v>0</v>
      </c>
      <c r="N558" s="701">
        <f t="shared" si="43"/>
        <v>0</v>
      </c>
      <c r="O558" s="3421">
        <f t="shared" si="41"/>
        <v>0</v>
      </c>
      <c r="P558" s="3422"/>
      <c r="Q558" s="257"/>
      <c r="S558" s="3487"/>
    </row>
    <row r="559" spans="2:19" ht="18" customHeight="1" thickBot="1">
      <c r="B559" s="284"/>
      <c r="C559" s="3426" t="s">
        <v>83</v>
      </c>
      <c r="D559" s="3427"/>
      <c r="E559" s="1158">
        <f>E554-E555-E556-E557</f>
        <v>0</v>
      </c>
      <c r="F559" s="1159">
        <f t="shared" ref="F559:N559" si="44">F554-F555-F556-F557</f>
        <v>0</v>
      </c>
      <c r="G559" s="1159">
        <f t="shared" si="44"/>
        <v>0</v>
      </c>
      <c r="H559" s="1159">
        <f t="shared" si="44"/>
        <v>0</v>
      </c>
      <c r="I559" s="1159">
        <f t="shared" si="44"/>
        <v>0</v>
      </c>
      <c r="J559" s="1159">
        <f t="shared" si="44"/>
        <v>0</v>
      </c>
      <c r="K559" s="1159">
        <f t="shared" si="44"/>
        <v>0</v>
      </c>
      <c r="L559" s="1159">
        <f t="shared" si="44"/>
        <v>0</v>
      </c>
      <c r="M559" s="1159">
        <f t="shared" si="44"/>
        <v>0</v>
      </c>
      <c r="N559" s="1159">
        <f t="shared" si="44"/>
        <v>0</v>
      </c>
      <c r="O559" s="3390">
        <f t="shared" si="41"/>
        <v>0</v>
      </c>
      <c r="P559" s="3391"/>
      <c r="Q559" s="313"/>
      <c r="S559" s="3487"/>
    </row>
    <row r="560" spans="2:19" ht="32.25" customHeight="1" thickBot="1">
      <c r="B560" s="284"/>
      <c r="C560" s="3209" t="s">
        <v>539</v>
      </c>
      <c r="D560" s="3210"/>
      <c r="E560" s="3387"/>
      <c r="F560" s="3388"/>
      <c r="G560" s="3388"/>
      <c r="H560" s="3388"/>
      <c r="I560" s="3388"/>
      <c r="J560" s="3388"/>
      <c r="K560" s="3388"/>
      <c r="L560" s="3388"/>
      <c r="M560" s="3388"/>
      <c r="N560" s="3388"/>
      <c r="O560" s="3388"/>
      <c r="P560" s="3389"/>
      <c r="Q560" s="313"/>
      <c r="S560" s="3487"/>
    </row>
    <row r="561" spans="2:19" ht="18" customHeight="1" thickBot="1">
      <c r="B561" s="284"/>
      <c r="C561" s="1142" t="s">
        <v>657</v>
      </c>
      <c r="D561" s="1153"/>
      <c r="E561" s="1153"/>
      <c r="F561" s="1153"/>
      <c r="G561" s="1153"/>
      <c r="H561" s="1153"/>
      <c r="I561" s="1153"/>
      <c r="J561" s="1153"/>
      <c r="K561" s="1153"/>
      <c r="L561" s="1153"/>
      <c r="M561" s="1153"/>
      <c r="N561" s="1153"/>
      <c r="O561" s="1153"/>
      <c r="P561" s="1154"/>
      <c r="Q561" s="257"/>
      <c r="S561" s="3487"/>
    </row>
    <row r="562" spans="2:19" ht="18" customHeight="1">
      <c r="B562" s="284"/>
      <c r="C562" s="3396" t="s">
        <v>79</v>
      </c>
      <c r="D562" s="3397"/>
      <c r="E562" s="684">
        <f t="shared" ref="E562:N562" si="45">E480</f>
        <v>0</v>
      </c>
      <c r="F562" s="685">
        <f t="shared" si="45"/>
        <v>0</v>
      </c>
      <c r="G562" s="685">
        <f t="shared" si="45"/>
        <v>0</v>
      </c>
      <c r="H562" s="685">
        <f t="shared" si="45"/>
        <v>0</v>
      </c>
      <c r="I562" s="685">
        <f t="shared" si="45"/>
        <v>0</v>
      </c>
      <c r="J562" s="685">
        <f t="shared" si="45"/>
        <v>0</v>
      </c>
      <c r="K562" s="685">
        <f t="shared" si="45"/>
        <v>0</v>
      </c>
      <c r="L562" s="685">
        <f t="shared" si="45"/>
        <v>0</v>
      </c>
      <c r="M562" s="685">
        <f t="shared" si="45"/>
        <v>0</v>
      </c>
      <c r="N562" s="686">
        <f t="shared" si="45"/>
        <v>0</v>
      </c>
      <c r="O562" s="3400">
        <f>SUM(E562:N562)</f>
        <v>0</v>
      </c>
      <c r="P562" s="3401"/>
      <c r="Q562" s="257"/>
      <c r="S562" s="3487"/>
    </row>
    <row r="563" spans="2:19" ht="18" customHeight="1">
      <c r="B563" s="486" t="str">
        <f>IF(COUNTBLANK(E563:N563)&lt;10,"","u")</f>
        <v>u</v>
      </c>
      <c r="C563" s="3368" t="s">
        <v>85</v>
      </c>
      <c r="D563" s="3369"/>
      <c r="E563" s="576"/>
      <c r="F563" s="577"/>
      <c r="G563" s="577"/>
      <c r="H563" s="577"/>
      <c r="I563" s="577"/>
      <c r="J563" s="577"/>
      <c r="K563" s="577"/>
      <c r="L563" s="577"/>
      <c r="M563" s="577"/>
      <c r="N563" s="578"/>
      <c r="O563" s="3272">
        <f>SUM(E563:N563)</f>
        <v>0</v>
      </c>
      <c r="P563" s="3273"/>
      <c r="Q563" s="257"/>
      <c r="S563" s="3487"/>
    </row>
    <row r="564" spans="2:19" ht="18" customHeight="1">
      <c r="B564" s="486" t="str">
        <f>IF(COUNTBLANK(E564:N564)&lt;10,"","u")</f>
        <v>u</v>
      </c>
      <c r="C564" s="3370" t="s">
        <v>86</v>
      </c>
      <c r="D564" s="3371"/>
      <c r="E564" s="576"/>
      <c r="F564" s="577"/>
      <c r="G564" s="577"/>
      <c r="H564" s="577"/>
      <c r="I564" s="577"/>
      <c r="J564" s="577"/>
      <c r="K564" s="577"/>
      <c r="L564" s="577"/>
      <c r="M564" s="577"/>
      <c r="N564" s="578"/>
      <c r="O564" s="3404">
        <f>SUM(E564:N564)</f>
        <v>0</v>
      </c>
      <c r="P564" s="3405"/>
      <c r="Q564" s="257"/>
      <c r="S564" s="3487"/>
    </row>
    <row r="565" spans="2:19" ht="18" customHeight="1">
      <c r="B565" s="486"/>
      <c r="C565" s="1152" t="s">
        <v>3469</v>
      </c>
      <c r="D565" s="531"/>
      <c r="E565" s="699">
        <f t="shared" ref="E565:N565" si="46">E563+E564</f>
        <v>0</v>
      </c>
      <c r="F565" s="700">
        <f t="shared" si="46"/>
        <v>0</v>
      </c>
      <c r="G565" s="700">
        <f t="shared" si="46"/>
        <v>0</v>
      </c>
      <c r="H565" s="700">
        <f t="shared" si="46"/>
        <v>0</v>
      </c>
      <c r="I565" s="700">
        <f t="shared" si="46"/>
        <v>0</v>
      </c>
      <c r="J565" s="700">
        <f t="shared" si="46"/>
        <v>0</v>
      </c>
      <c r="K565" s="700">
        <f t="shared" si="46"/>
        <v>0</v>
      </c>
      <c r="L565" s="700">
        <f t="shared" si="46"/>
        <v>0</v>
      </c>
      <c r="M565" s="700">
        <f t="shared" si="46"/>
        <v>0</v>
      </c>
      <c r="N565" s="701">
        <f t="shared" si="46"/>
        <v>0</v>
      </c>
      <c r="O565" s="3421">
        <f>SUM(E565:N565)</f>
        <v>0</v>
      </c>
      <c r="P565" s="3422"/>
      <c r="Q565" s="257"/>
      <c r="S565" s="3487"/>
    </row>
    <row r="566" spans="2:19" ht="18" customHeight="1" thickBot="1">
      <c r="B566" s="284"/>
      <c r="C566" s="3426" t="s">
        <v>83</v>
      </c>
      <c r="D566" s="3427"/>
      <c r="E566" s="1158">
        <f t="shared" ref="E566:N566" si="47">E562-E563-E564</f>
        <v>0</v>
      </c>
      <c r="F566" s="1159">
        <f t="shared" si="47"/>
        <v>0</v>
      </c>
      <c r="G566" s="1159">
        <f t="shared" si="47"/>
        <v>0</v>
      </c>
      <c r="H566" s="1159">
        <f t="shared" si="47"/>
        <v>0</v>
      </c>
      <c r="I566" s="1159">
        <f t="shared" si="47"/>
        <v>0</v>
      </c>
      <c r="J566" s="1159">
        <f t="shared" si="47"/>
        <v>0</v>
      </c>
      <c r="K566" s="1159">
        <f t="shared" si="47"/>
        <v>0</v>
      </c>
      <c r="L566" s="1159">
        <f t="shared" si="47"/>
        <v>0</v>
      </c>
      <c r="M566" s="1159">
        <f t="shared" si="47"/>
        <v>0</v>
      </c>
      <c r="N566" s="1159">
        <f t="shared" si="47"/>
        <v>0</v>
      </c>
      <c r="O566" s="3390">
        <f>SUM(E566:N566)</f>
        <v>0</v>
      </c>
      <c r="P566" s="3391"/>
      <c r="Q566" s="313"/>
      <c r="S566" s="3487"/>
    </row>
    <row r="567" spans="2:19" ht="32.25" customHeight="1" thickBot="1">
      <c r="B567" s="284"/>
      <c r="C567" s="3209" t="s">
        <v>539</v>
      </c>
      <c r="D567" s="3210"/>
      <c r="E567" s="3387"/>
      <c r="F567" s="3388"/>
      <c r="G567" s="3388"/>
      <c r="H567" s="3388"/>
      <c r="I567" s="3388"/>
      <c r="J567" s="3388"/>
      <c r="K567" s="3388"/>
      <c r="L567" s="3388"/>
      <c r="M567" s="3388"/>
      <c r="N567" s="3388"/>
      <c r="O567" s="3388"/>
      <c r="P567" s="3389"/>
      <c r="Q567" s="313"/>
      <c r="S567" s="3487"/>
    </row>
    <row r="568" spans="2:19" ht="16.5" customHeight="1">
      <c r="B568" s="253"/>
      <c r="C568" s="366"/>
      <c r="D568" s="256"/>
      <c r="E568" s="256"/>
      <c r="F568" s="256"/>
      <c r="G568" s="256"/>
      <c r="H568" s="256"/>
      <c r="I568" s="256"/>
      <c r="J568" s="256"/>
      <c r="K568" s="256"/>
      <c r="L568" s="256"/>
      <c r="M568" s="256"/>
      <c r="N568" s="256"/>
      <c r="O568" s="256"/>
      <c r="P568" s="256"/>
      <c r="Q568" s="257"/>
      <c r="S568" s="3487"/>
    </row>
    <row r="569" spans="2:19" ht="17.25" customHeight="1">
      <c r="B569" s="253"/>
      <c r="C569" s="668" t="s">
        <v>567</v>
      </c>
      <c r="D569" s="256"/>
      <c r="E569" s="256"/>
      <c r="F569" s="256"/>
      <c r="G569" s="256"/>
      <c r="H569" s="256"/>
      <c r="I569" s="256"/>
      <c r="J569" s="256"/>
      <c r="K569" s="256"/>
      <c r="L569" s="256"/>
      <c r="M569" s="256"/>
      <c r="N569" s="256"/>
      <c r="O569" s="256"/>
      <c r="P569" s="256"/>
      <c r="Q569" s="257"/>
      <c r="S569" s="3487"/>
    </row>
    <row r="570" spans="2:19" ht="18" customHeight="1">
      <c r="B570" s="253"/>
      <c r="C570" s="160"/>
      <c r="D570" s="650"/>
      <c r="E570" s="3270" t="s">
        <v>568</v>
      </c>
      <c r="F570" s="3270"/>
      <c r="G570" s="3270"/>
      <c r="H570" s="3271"/>
      <c r="I570" s="353" t="str">
        <f>IF((OR(ISBLANK(F634),ISBLANK(F635),ISBLANK(F636),ISBLANK(K634),ISBLANK(K635),ISBLANK(K636))=FALSE),"Complété","À compléter")</f>
        <v>À compléter</v>
      </c>
      <c r="J570" s="3265" t="s">
        <v>3454</v>
      </c>
      <c r="K570" s="3265"/>
      <c r="L570" s="3265"/>
      <c r="M570" s="3265"/>
      <c r="N570" s="3265"/>
      <c r="O570" s="3265"/>
      <c r="P570" s="3265"/>
      <c r="Q570" s="257"/>
      <c r="S570" s="3487"/>
    </row>
    <row r="571" spans="2:19" ht="6.75" customHeight="1">
      <c r="B571" s="253"/>
      <c r="C571" s="256"/>
      <c r="D571" s="650"/>
      <c r="E571" s="650"/>
      <c r="F571" s="650"/>
      <c r="G571" s="650"/>
      <c r="H571" s="650"/>
      <c r="I571" s="256"/>
      <c r="J571" s="355"/>
      <c r="K571" s="355"/>
      <c r="L571" s="355"/>
      <c r="M571" s="355"/>
      <c r="N571" s="355"/>
      <c r="O571" s="355"/>
      <c r="P571" s="355"/>
      <c r="Q571" s="257"/>
      <c r="S571" s="3487"/>
    </row>
    <row r="572" spans="2:19" ht="18" customHeight="1">
      <c r="B572" s="253"/>
      <c r="C572" s="256"/>
      <c r="D572" s="3270" t="s">
        <v>569</v>
      </c>
      <c r="E572" s="3270"/>
      <c r="F572" s="3270"/>
      <c r="G572" s="3270"/>
      <c r="H572" s="3271"/>
      <c r="I572" s="353" t="str">
        <f>IF((OR(ISBLANK(F693),ISBLANK(F694),ISBLANK(F695),ISBLANK(K693),ISBLANK(K694),ISBLANK(K695))=FALSE),"Complété","À compléter")</f>
        <v>À compléter</v>
      </c>
      <c r="J572" s="3265" t="s">
        <v>3455</v>
      </c>
      <c r="K572" s="3265"/>
      <c r="L572" s="3265"/>
      <c r="M572" s="3265"/>
      <c r="N572" s="3265"/>
      <c r="O572" s="3265"/>
      <c r="P572" s="3265"/>
      <c r="Q572" s="257"/>
      <c r="S572" s="3487"/>
    </row>
    <row r="573" spans="2:19" ht="22.5" customHeight="1">
      <c r="B573" s="253"/>
      <c r="C573" s="256"/>
      <c r="D573" s="459"/>
      <c r="E573" s="459"/>
      <c r="F573" s="459"/>
      <c r="G573" s="459"/>
      <c r="H573" s="459"/>
      <c r="I573" s="461"/>
      <c r="J573" s="649"/>
      <c r="K573" s="649"/>
      <c r="L573" s="649"/>
      <c r="M573" s="649"/>
      <c r="N573" s="649"/>
      <c r="O573" s="649"/>
      <c r="P573" s="649"/>
      <c r="Q573" s="257"/>
      <c r="S573" s="3487"/>
    </row>
    <row r="574" spans="2:19" ht="18" customHeight="1">
      <c r="B574" s="253"/>
      <c r="C574" s="667" t="s">
        <v>570</v>
      </c>
      <c r="D574" s="459"/>
      <c r="E574" s="459"/>
      <c r="F574" s="459"/>
      <c r="G574" s="160"/>
      <c r="H574" s="3265" t="s">
        <v>670</v>
      </c>
      <c r="I574" s="3265"/>
      <c r="J574" s="160"/>
      <c r="K574" s="160"/>
      <c r="L574" s="649"/>
      <c r="M574" s="649"/>
      <c r="N574" s="649"/>
      <c r="O574" s="649"/>
      <c r="P574" s="649"/>
      <c r="Q574" s="257"/>
      <c r="S574" s="3487"/>
    </row>
    <row r="575" spans="2:19" ht="15" thickBot="1">
      <c r="B575" s="298"/>
      <c r="C575" s="299"/>
      <c r="D575" s="299"/>
      <c r="E575" s="299"/>
      <c r="F575" s="330"/>
      <c r="G575" s="330"/>
      <c r="H575" s="299"/>
      <c r="I575" s="330"/>
      <c r="J575" s="330"/>
      <c r="K575" s="299"/>
      <c r="L575" s="330"/>
      <c r="M575" s="299"/>
      <c r="N575" s="330"/>
      <c r="O575" s="330"/>
      <c r="P575" s="330"/>
      <c r="Q575" s="300"/>
      <c r="S575" s="3488"/>
    </row>
    <row r="576" spans="2:19" ht="15" thickBot="1">
      <c r="S576" s="614"/>
    </row>
    <row r="577" spans="1:19" ht="22.5" customHeight="1" thickBot="1">
      <c r="A577" s="1187"/>
      <c r="B577" s="237" t="s">
        <v>671</v>
      </c>
      <c r="C577" s="237"/>
      <c r="D577" s="237"/>
      <c r="E577" s="237"/>
      <c r="F577" s="237"/>
      <c r="G577" s="237"/>
      <c r="H577" s="237"/>
      <c r="I577" s="237"/>
      <c r="J577" s="237"/>
      <c r="K577" s="237"/>
      <c r="L577" s="238"/>
      <c r="M577" s="238"/>
      <c r="N577" s="238"/>
      <c r="O577" s="3173" t="s">
        <v>155</v>
      </c>
      <c r="P577" s="3173"/>
      <c r="Q577" s="3173"/>
      <c r="S577" s="615" t="s">
        <v>521</v>
      </c>
    </row>
    <row r="578" spans="1:19" ht="9.75" customHeight="1" thickBot="1">
      <c r="S578" s="616"/>
    </row>
    <row r="579" spans="1:19" ht="8.25" customHeight="1">
      <c r="B579" s="241"/>
      <c r="C579" s="242"/>
      <c r="D579" s="242"/>
      <c r="E579" s="243"/>
      <c r="F579" s="244"/>
      <c r="G579" s="244"/>
      <c r="H579" s="244"/>
      <c r="I579" s="244"/>
      <c r="J579" s="244"/>
      <c r="K579" s="244"/>
      <c r="L579" s="244"/>
      <c r="M579" s="244"/>
      <c r="N579" s="244"/>
      <c r="O579" s="244"/>
      <c r="P579" s="244"/>
      <c r="Q579" s="245"/>
      <c r="S579" s="3486"/>
    </row>
    <row r="580" spans="1:19" ht="18" customHeight="1">
      <c r="B580" s="284"/>
      <c r="C580" s="247" t="s">
        <v>672</v>
      </c>
      <c r="D580" s="247"/>
      <c r="E580" s="286"/>
      <c r="F580" s="287"/>
      <c r="G580" s="287"/>
      <c r="H580" s="287"/>
      <c r="I580" s="287"/>
      <c r="J580" s="287"/>
      <c r="K580" s="287"/>
      <c r="L580" s="287"/>
      <c r="M580" s="287"/>
      <c r="N580" s="249" t="s">
        <v>219</v>
      </c>
      <c r="O580" s="353" t="str">
        <f>IF((COUNTBLANK(B602:B638)=ROWS(B602:B638)),"Complété","À compléter")</f>
        <v>À compléter</v>
      </c>
      <c r="P580" s="287"/>
      <c r="Q580" s="288"/>
      <c r="S580" s="3487"/>
    </row>
    <row r="581" spans="1:19" ht="9.75" customHeight="1">
      <c r="B581" s="284"/>
      <c r="C581" s="286"/>
      <c r="D581" s="286"/>
      <c r="E581" s="286"/>
      <c r="F581" s="287"/>
      <c r="G581" s="287"/>
      <c r="H581" s="287"/>
      <c r="I581" s="287"/>
      <c r="J581" s="287"/>
      <c r="K581" s="287"/>
      <c r="L581" s="287"/>
      <c r="M581" s="287"/>
      <c r="N581" s="287"/>
      <c r="O581" s="287"/>
      <c r="P581" s="287"/>
      <c r="Q581" s="288"/>
      <c r="S581" s="3487"/>
    </row>
    <row r="582" spans="1:19" ht="17.25" customHeight="1">
      <c r="B582" s="251"/>
      <c r="C582" s="3182" t="s">
        <v>531</v>
      </c>
      <c r="D582" s="3182"/>
      <c r="E582" s="3182"/>
      <c r="F582" s="3182"/>
      <c r="G582" s="3182"/>
      <c r="H582" s="3182"/>
      <c r="I582" s="3182"/>
      <c r="J582" s="3182"/>
      <c r="K582" s="3182"/>
      <c r="L582" s="3182"/>
      <c r="M582" s="3182"/>
      <c r="N582" s="160"/>
      <c r="O582" s="160"/>
      <c r="P582" s="160"/>
      <c r="Q582" s="250"/>
      <c r="S582" s="3487"/>
    </row>
    <row r="583" spans="1:19" ht="15" customHeight="1">
      <c r="B583" s="251"/>
      <c r="C583" s="252"/>
      <c r="D583" s="252"/>
      <c r="E583" s="252"/>
      <c r="F583" s="160"/>
      <c r="G583" s="160"/>
      <c r="H583" s="160"/>
      <c r="I583" s="160"/>
      <c r="J583" s="160"/>
      <c r="K583" s="160"/>
      <c r="L583" s="160"/>
      <c r="M583" s="160"/>
      <c r="N583" s="160"/>
      <c r="O583" s="160"/>
      <c r="P583" s="160"/>
      <c r="Q583" s="250"/>
      <c r="S583" s="3487"/>
    </row>
    <row r="584" spans="1:19">
      <c r="B584" s="253"/>
      <c r="C584" s="477" t="s">
        <v>673</v>
      </c>
      <c r="D584" s="255"/>
      <c r="E584" s="256"/>
      <c r="F584" s="256"/>
      <c r="G584" s="256"/>
      <c r="H584" s="256"/>
      <c r="I584" s="256"/>
      <c r="J584" s="256"/>
      <c r="K584" s="256"/>
      <c r="L584" s="256"/>
      <c r="M584" s="256"/>
      <c r="N584" s="256"/>
      <c r="O584" s="256"/>
      <c r="P584" s="256"/>
      <c r="Q584" s="257"/>
      <c r="S584" s="3487"/>
    </row>
    <row r="585" spans="1:19" ht="9" customHeight="1">
      <c r="B585" s="253"/>
      <c r="C585" s="255"/>
      <c r="D585" s="255"/>
      <c r="E585" s="256"/>
      <c r="F585" s="256"/>
      <c r="G585" s="256"/>
      <c r="H585" s="256"/>
      <c r="I585" s="256"/>
      <c r="J585" s="256"/>
      <c r="K585" s="256"/>
      <c r="L585" s="256"/>
      <c r="M585" s="256"/>
      <c r="N585" s="256"/>
      <c r="O585" s="256"/>
      <c r="P585" s="256"/>
      <c r="Q585" s="257"/>
      <c r="S585" s="3487"/>
    </row>
    <row r="586" spans="1:19" ht="9" customHeight="1">
      <c r="B586" s="253"/>
      <c r="C586" s="258"/>
      <c r="D586" s="259"/>
      <c r="E586" s="260"/>
      <c r="F586" s="260"/>
      <c r="G586" s="260"/>
      <c r="H586" s="260"/>
      <c r="I586" s="260"/>
      <c r="J586" s="260"/>
      <c r="K586" s="260"/>
      <c r="L586" s="260"/>
      <c r="M586" s="260"/>
      <c r="N586" s="260"/>
      <c r="O586" s="260"/>
      <c r="P586" s="261"/>
      <c r="Q586" s="257"/>
      <c r="S586" s="3487"/>
    </row>
    <row r="587" spans="1:19" ht="16.5" customHeight="1">
      <c r="B587" s="253"/>
      <c r="C587" s="3383" t="s">
        <v>186</v>
      </c>
      <c r="D587" s="3384"/>
      <c r="E587" s="332" t="s">
        <v>187</v>
      </c>
      <c r="F587" s="333" t="s">
        <v>188</v>
      </c>
      <c r="G587" s="334"/>
      <c r="H587" s="335"/>
      <c r="I587" s="335"/>
      <c r="J587" s="335"/>
      <c r="K587" s="335"/>
      <c r="L587" s="335"/>
      <c r="M587" s="335"/>
      <c r="N587" s="335"/>
      <c r="O587" s="335"/>
      <c r="P587" s="266"/>
      <c r="Q587" s="257"/>
      <c r="S587" s="3487"/>
    </row>
    <row r="588" spans="1:19" ht="16.5" customHeight="1">
      <c r="B588" s="253"/>
      <c r="C588" s="3385" t="s">
        <v>189</v>
      </c>
      <c r="D588" s="3386"/>
      <c r="E588" s="199" t="s">
        <v>190</v>
      </c>
      <c r="F588" s="336" t="s">
        <v>191</v>
      </c>
      <c r="G588" s="337"/>
      <c r="H588" s="338"/>
      <c r="I588" s="338"/>
      <c r="J588" s="338"/>
      <c r="K588" s="338"/>
      <c r="L588" s="338"/>
      <c r="M588" s="338"/>
      <c r="N588" s="338"/>
      <c r="O588" s="338"/>
      <c r="P588" s="266"/>
      <c r="Q588" s="257"/>
      <c r="S588" s="3487"/>
    </row>
    <row r="589" spans="1:19" ht="16.5" customHeight="1">
      <c r="B589" s="253"/>
      <c r="C589" s="302"/>
      <c r="D589" s="303"/>
      <c r="E589" s="196" t="s">
        <v>192</v>
      </c>
      <c r="F589" s="336" t="s">
        <v>193</v>
      </c>
      <c r="G589" s="337"/>
      <c r="H589" s="338"/>
      <c r="I589" s="338"/>
      <c r="J589" s="338"/>
      <c r="K589" s="338"/>
      <c r="L589" s="338"/>
      <c r="M589" s="338"/>
      <c r="N589" s="338"/>
      <c r="O589" s="338"/>
      <c r="P589" s="266"/>
      <c r="Q589" s="257"/>
      <c r="S589" s="3487"/>
    </row>
    <row r="590" spans="1:19" ht="16.5" customHeight="1">
      <c r="B590" s="253"/>
      <c r="C590" s="302"/>
      <c r="D590" s="303"/>
      <c r="E590" s="192" t="s">
        <v>194</v>
      </c>
      <c r="F590" s="336" t="s">
        <v>195</v>
      </c>
      <c r="G590" s="337"/>
      <c r="H590" s="338"/>
      <c r="I590" s="338"/>
      <c r="J590" s="338"/>
      <c r="K590" s="338"/>
      <c r="L590" s="338"/>
      <c r="M590" s="338"/>
      <c r="N590" s="338"/>
      <c r="O590" s="338"/>
      <c r="P590" s="266"/>
      <c r="Q590" s="257"/>
      <c r="S590" s="3487"/>
    </row>
    <row r="591" spans="1:19" ht="16.5" customHeight="1">
      <c r="B591" s="253"/>
      <c r="C591" s="302"/>
      <c r="D591" s="303"/>
      <c r="E591" s="189" t="s">
        <v>196</v>
      </c>
      <c r="F591" s="336" t="s">
        <v>197</v>
      </c>
      <c r="G591" s="337"/>
      <c r="H591" s="338"/>
      <c r="I591" s="338"/>
      <c r="J591" s="338"/>
      <c r="K591" s="338"/>
      <c r="L591" s="338"/>
      <c r="M591" s="338"/>
      <c r="N591" s="338"/>
      <c r="O591" s="338"/>
      <c r="P591" s="266"/>
      <c r="Q591" s="257"/>
      <c r="S591" s="3487"/>
    </row>
    <row r="592" spans="1:19" ht="12" customHeight="1">
      <c r="B592" s="253"/>
      <c r="C592" s="304"/>
      <c r="D592" s="305"/>
      <c r="E592" s="271"/>
      <c r="F592" s="339"/>
      <c r="G592" s="340"/>
      <c r="H592" s="271"/>
      <c r="I592" s="306"/>
      <c r="J592" s="306"/>
      <c r="K592" s="306"/>
      <c r="L592" s="306"/>
      <c r="M592" s="306"/>
      <c r="N592" s="306"/>
      <c r="O592" s="306"/>
      <c r="P592" s="307"/>
      <c r="Q592" s="257"/>
      <c r="S592" s="3487"/>
    </row>
    <row r="593" spans="2:19" ht="18" customHeight="1">
      <c r="B593" s="253"/>
      <c r="C593" s="255"/>
      <c r="D593" s="255"/>
      <c r="E593" s="256"/>
      <c r="F593" s="256"/>
      <c r="G593" s="256"/>
      <c r="H593" s="256"/>
      <c r="I593" s="256"/>
      <c r="J593" s="256"/>
      <c r="K593" s="256"/>
      <c r="L593" s="256"/>
      <c r="M593" s="256"/>
      <c r="N593" s="256"/>
      <c r="O593" s="256"/>
      <c r="P593" s="256"/>
      <c r="Q593" s="257"/>
      <c r="S593" s="3487"/>
    </row>
    <row r="594" spans="2:19" ht="16.5" customHeight="1">
      <c r="B594" s="253"/>
      <c r="C594" s="477" t="s">
        <v>3470</v>
      </c>
      <c r="D594" s="255"/>
      <c r="E594" s="256"/>
      <c r="F594" s="256"/>
      <c r="G594" s="256"/>
      <c r="H594" s="256"/>
      <c r="I594" s="256"/>
      <c r="J594" s="256"/>
      <c r="K594" s="256"/>
      <c r="L594" s="256"/>
      <c r="M594" s="256"/>
      <c r="N594" s="256"/>
      <c r="O594" s="256"/>
      <c r="P594" s="256"/>
      <c r="Q594" s="257"/>
      <c r="S594" s="3487"/>
    </row>
    <row r="595" spans="2:19" ht="4.5" customHeight="1">
      <c r="B595" s="253"/>
      <c r="C595" s="477"/>
      <c r="D595" s="255"/>
      <c r="E595" s="256"/>
      <c r="F595" s="256"/>
      <c r="G595" s="256"/>
      <c r="H595" s="256"/>
      <c r="I595" s="256"/>
      <c r="J595" s="256"/>
      <c r="K595" s="256"/>
      <c r="L595" s="256"/>
      <c r="M595" s="256"/>
      <c r="N595" s="256"/>
      <c r="O595" s="256"/>
      <c r="P595" s="256"/>
      <c r="Q595" s="257"/>
      <c r="S595" s="3487"/>
    </row>
    <row r="596" spans="2:19" ht="16.5" customHeight="1">
      <c r="B596" s="253"/>
      <c r="C596" s="477" t="s">
        <v>674</v>
      </c>
      <c r="D596" s="255"/>
      <c r="E596" s="256"/>
      <c r="F596" s="256"/>
      <c r="G596" s="256"/>
      <c r="H596" s="256"/>
      <c r="I596" s="256"/>
      <c r="J596" s="256"/>
      <c r="K596" s="256"/>
      <c r="L596" s="160"/>
      <c r="M596" s="256"/>
      <c r="N596" s="160"/>
      <c r="O596" s="256"/>
      <c r="P596" s="256"/>
      <c r="Q596" s="257"/>
      <c r="S596" s="3487"/>
    </row>
    <row r="597" spans="2:19" ht="24.75" customHeight="1">
      <c r="B597" s="253"/>
      <c r="C597" s="341" t="s">
        <v>675</v>
      </c>
      <c r="D597" s="255"/>
      <c r="E597" s="256"/>
      <c r="F597" s="256"/>
      <c r="G597" s="256"/>
      <c r="H597" s="256"/>
      <c r="I597" s="256"/>
      <c r="J597" s="256"/>
      <c r="K597" s="256"/>
      <c r="L597" s="256"/>
      <c r="M597" s="256"/>
      <c r="N597" s="256"/>
      <c r="O597" s="256"/>
      <c r="P597" s="256"/>
      <c r="Q597" s="257"/>
      <c r="S597" s="3487"/>
    </row>
    <row r="598" spans="2:19" ht="24" customHeight="1">
      <c r="B598" s="253"/>
      <c r="C598" s="613" t="s">
        <v>676</v>
      </c>
      <c r="D598" s="255"/>
      <c r="E598" s="256"/>
      <c r="F598" s="256"/>
      <c r="G598" s="256"/>
      <c r="H598" s="256"/>
      <c r="I598" s="256"/>
      <c r="J598" s="256"/>
      <c r="K598" s="256"/>
      <c r="L598" s="256"/>
      <c r="M598" s="256"/>
      <c r="N598" s="256"/>
      <c r="O598" s="256"/>
      <c r="P598" s="256"/>
      <c r="Q598" s="257"/>
      <c r="S598" s="3487"/>
    </row>
    <row r="599" spans="2:19" ht="18.75" customHeight="1">
      <c r="B599" s="253"/>
      <c r="C599" s="255"/>
      <c r="D599" s="255"/>
      <c r="E599" s="256"/>
      <c r="F599" s="256"/>
      <c r="G599" s="256"/>
      <c r="H599" s="256"/>
      <c r="I599" s="256"/>
      <c r="J599" s="256"/>
      <c r="K599" s="256"/>
      <c r="L599" s="256"/>
      <c r="M599" s="256"/>
      <c r="N599" s="256"/>
      <c r="O599" s="256"/>
      <c r="P599" s="256"/>
      <c r="Q599" s="257"/>
      <c r="S599" s="3487"/>
    </row>
    <row r="600" spans="2:19" ht="22.5" customHeight="1">
      <c r="B600" s="253"/>
      <c r="C600" s="160" t="s">
        <v>552</v>
      </c>
      <c r="D600" s="160"/>
      <c r="E600" s="160"/>
      <c r="F600" s="3449" t="s">
        <v>646</v>
      </c>
      <c r="G600" s="3450"/>
      <c r="H600" s="3450"/>
      <c r="I600" s="3450"/>
      <c r="J600" s="3450"/>
      <c r="K600" s="3449" t="s">
        <v>659</v>
      </c>
      <c r="L600" s="3450"/>
      <c r="M600" s="3450"/>
      <c r="N600" s="3450"/>
      <c r="O600" s="3450"/>
      <c r="P600" s="311"/>
      <c r="Q600" s="257"/>
      <c r="S600" s="3487"/>
    </row>
    <row r="601" spans="2:19" ht="3" customHeight="1">
      <c r="B601" s="253"/>
      <c r="C601" s="256"/>
      <c r="D601" s="256"/>
      <c r="E601" s="256"/>
      <c r="F601" s="256"/>
      <c r="G601" s="256"/>
      <c r="H601" s="256"/>
      <c r="I601" s="256"/>
      <c r="J601" s="256"/>
      <c r="K601" s="256"/>
      <c r="L601" s="256"/>
      <c r="M601" s="256"/>
      <c r="N601" s="256"/>
      <c r="O601" s="256"/>
      <c r="P601" s="256"/>
      <c r="Q601" s="257"/>
      <c r="S601" s="3487"/>
    </row>
    <row r="602" spans="2:19" ht="23.25" customHeight="1">
      <c r="B602" s="253"/>
      <c r="C602" s="3376" t="s">
        <v>677</v>
      </c>
      <c r="D602" s="3377"/>
      <c r="E602" s="3378"/>
      <c r="F602" s="3415" t="s">
        <v>678</v>
      </c>
      <c r="G602" s="3416"/>
      <c r="H602" s="3417" t="s">
        <v>679</v>
      </c>
      <c r="I602" s="3417"/>
      <c r="J602" s="3417"/>
      <c r="K602" s="3415" t="s">
        <v>678</v>
      </c>
      <c r="L602" s="3416"/>
      <c r="M602" s="3417" t="s">
        <v>679</v>
      </c>
      <c r="N602" s="3417"/>
      <c r="O602" s="3417"/>
      <c r="P602" s="342"/>
      <c r="Q602" s="257"/>
      <c r="S602" s="3487"/>
    </row>
    <row r="603" spans="2:19" ht="29.25" customHeight="1">
      <c r="B603" s="253"/>
      <c r="C603" s="3379"/>
      <c r="D603" s="3380"/>
      <c r="E603" s="3381"/>
      <c r="F603" s="471" t="s">
        <v>680</v>
      </c>
      <c r="G603" s="343" t="s">
        <v>95</v>
      </c>
      <c r="H603" s="463" t="s">
        <v>681</v>
      </c>
      <c r="I603" s="3374" t="s">
        <v>682</v>
      </c>
      <c r="J603" s="3375"/>
      <c r="K603" s="471" t="s">
        <v>680</v>
      </c>
      <c r="L603" s="343" t="s">
        <v>95</v>
      </c>
      <c r="M603" s="463" t="s">
        <v>681</v>
      </c>
      <c r="N603" s="3374" t="s">
        <v>682</v>
      </c>
      <c r="O603" s="3382"/>
      <c r="P603" s="3375"/>
      <c r="Q603" s="257"/>
      <c r="S603" s="3487"/>
    </row>
    <row r="604" spans="2:19" ht="21.75" customHeight="1">
      <c r="B604" s="1232"/>
      <c r="C604" s="678" t="s">
        <v>683</v>
      </c>
      <c r="D604" s="525"/>
      <c r="E604" s="526" t="s">
        <v>684</v>
      </c>
      <c r="F604" s="527" t="str">
        <f>IF(H604=1,"1- Très faible",IF(H604=2,"2- Faible",IF(H604=3,"3- Moyen",IF(H604=4,"4- Bon",IF(H604=5,"5- Excellent","")))))</f>
        <v/>
      </c>
      <c r="G604" s="13" t="str">
        <f>IF(OR(SUM(G605:G610)=0,H604=0),"",(SUM(G605:G610)/(6-I604)*6))</f>
        <v/>
      </c>
      <c r="H604" s="528">
        <f>IF(I604=6,0,IF(I604=0,ROUNDDOWN(AVERAGE(G605:G610),0),ROUNDDOWN((SUM(G605:G610)/(6-I604)),0)))</f>
        <v>0</v>
      </c>
      <c r="I604" s="715">
        <f>COUNTIF(F605:F610,"Ne s'applique pas")</f>
        <v>0</v>
      </c>
      <c r="J604" s="529"/>
      <c r="K604" s="527" t="str">
        <f>IF(M604=1,"1- Très faible",IF(M604=2,"2- Faible",IF(M604=3,"3- Moyen",IF(M604=4,"4- Bon",IF(M604=5,"5- Excellent","")))))</f>
        <v/>
      </c>
      <c r="L604" s="13" t="str">
        <f>IF(OR(SUM(L605:L610)=0,M604=0),"",(SUM(L605:L610)/(6-N604)*6))</f>
        <v/>
      </c>
      <c r="M604" s="528">
        <f>IF(N604=6,0,IF(N604=0,ROUNDDOWN(AVERAGE(L605:L610),0),ROUNDDOWN((SUM(L605:L610)/(6-N604)),0)))</f>
        <v>0</v>
      </c>
      <c r="N604" s="715">
        <f>COUNTIF(K605:K610,"Ne s'applique pas")</f>
        <v>0</v>
      </c>
      <c r="O604" s="3257"/>
      <c r="P604" s="3258"/>
      <c r="Q604" s="257"/>
      <c r="S604" s="3487"/>
    </row>
    <row r="605" spans="2:19" ht="18" customHeight="1">
      <c r="B605" s="486" t="str">
        <f t="shared" ref="B605:B610" si="48">IF(OR(ISBLANK(F605),ISBLANK(K605))=FALSE,"","u")</f>
        <v>u</v>
      </c>
      <c r="C605" s="3451" t="s">
        <v>685</v>
      </c>
      <c r="D605" s="3452"/>
      <c r="E605" s="3453"/>
      <c r="F605" s="675"/>
      <c r="G605" s="524">
        <f t="shared" ref="G605:G610" si="49">IF(F605=$E$587,1,IF(F605=$E$588,2,IF(F605=$E$589,3,IF(F605=$E$590,4,IF(F605=$E$591,5,0)))))</f>
        <v>0</v>
      </c>
      <c r="H605" s="2994"/>
      <c r="I605" s="3423"/>
      <c r="J605" s="3425"/>
      <c r="K605" s="675"/>
      <c r="L605" s="524">
        <f t="shared" ref="L605:L610" si="50">IF(K605=$E$587,1,IF(K605=$E$588,2,IF(K605=$E$589,3,IF(K605=$E$590,4,IF(K605=$E$591,5,0)))))</f>
        <v>0</v>
      </c>
      <c r="M605" s="2994"/>
      <c r="N605" s="3423"/>
      <c r="O605" s="3424"/>
      <c r="P605" s="3425"/>
      <c r="Q605" s="257"/>
      <c r="R605" s="296"/>
      <c r="S605" s="3487"/>
    </row>
    <row r="606" spans="2:19" ht="18" customHeight="1">
      <c r="B606" s="486" t="str">
        <f t="shared" si="48"/>
        <v>u</v>
      </c>
      <c r="C606" s="3259" t="s">
        <v>686</v>
      </c>
      <c r="D606" s="3260"/>
      <c r="E606" s="3261"/>
      <c r="F606" s="675"/>
      <c r="G606" s="14">
        <f t="shared" si="49"/>
        <v>0</v>
      </c>
      <c r="H606" s="2995"/>
      <c r="I606" s="3254"/>
      <c r="J606" s="3256"/>
      <c r="K606" s="674"/>
      <c r="L606" s="14">
        <f t="shared" si="50"/>
        <v>0</v>
      </c>
      <c r="M606" s="2995"/>
      <c r="N606" s="3254"/>
      <c r="O606" s="3255"/>
      <c r="P606" s="3256"/>
      <c r="Q606" s="257"/>
      <c r="S606" s="3487"/>
    </row>
    <row r="607" spans="2:19" ht="18" customHeight="1">
      <c r="B607" s="486" t="str">
        <f t="shared" si="48"/>
        <v>u</v>
      </c>
      <c r="C607" s="3259" t="s">
        <v>687</v>
      </c>
      <c r="D607" s="3260"/>
      <c r="E607" s="3261"/>
      <c r="F607" s="675"/>
      <c r="G607" s="14">
        <f t="shared" si="49"/>
        <v>0</v>
      </c>
      <c r="H607" s="2995"/>
      <c r="I607" s="3254"/>
      <c r="J607" s="3256"/>
      <c r="K607" s="674"/>
      <c r="L607" s="14">
        <f t="shared" si="50"/>
        <v>0</v>
      </c>
      <c r="M607" s="2995"/>
      <c r="N607" s="3254"/>
      <c r="O607" s="3255"/>
      <c r="P607" s="3256"/>
      <c r="Q607" s="257"/>
      <c r="S607" s="3487"/>
    </row>
    <row r="608" spans="2:19" ht="18" customHeight="1">
      <c r="B608" s="486" t="str">
        <f t="shared" si="48"/>
        <v>u</v>
      </c>
      <c r="C608" s="3259" t="s">
        <v>688</v>
      </c>
      <c r="D608" s="3260"/>
      <c r="E608" s="3261"/>
      <c r="F608" s="675"/>
      <c r="G608" s="14">
        <f t="shared" si="49"/>
        <v>0</v>
      </c>
      <c r="H608" s="2995"/>
      <c r="I608" s="3254"/>
      <c r="J608" s="3256"/>
      <c r="K608" s="674"/>
      <c r="L608" s="14">
        <f t="shared" si="50"/>
        <v>0</v>
      </c>
      <c r="M608" s="2995"/>
      <c r="N608" s="3254"/>
      <c r="O608" s="3255"/>
      <c r="P608" s="3256"/>
      <c r="Q608" s="257"/>
      <c r="S608" s="3487"/>
    </row>
    <row r="609" spans="2:19" ht="18" customHeight="1">
      <c r="B609" s="486" t="str">
        <f t="shared" si="48"/>
        <v>u</v>
      </c>
      <c r="C609" s="3259" t="s">
        <v>689</v>
      </c>
      <c r="D609" s="3260"/>
      <c r="E609" s="3261"/>
      <c r="F609" s="675"/>
      <c r="G609" s="14">
        <f t="shared" si="49"/>
        <v>0</v>
      </c>
      <c r="H609" s="2995"/>
      <c r="I609" s="3254"/>
      <c r="J609" s="3256"/>
      <c r="K609" s="674"/>
      <c r="L609" s="14">
        <f t="shared" si="50"/>
        <v>0</v>
      </c>
      <c r="M609" s="2995"/>
      <c r="N609" s="3254"/>
      <c r="O609" s="3255"/>
      <c r="P609" s="3256"/>
      <c r="Q609" s="257"/>
      <c r="S609" s="3487"/>
    </row>
    <row r="610" spans="2:19" ht="18" customHeight="1">
      <c r="B610" s="486" t="str">
        <f t="shared" si="48"/>
        <v>u</v>
      </c>
      <c r="C610" s="3454" t="s">
        <v>690</v>
      </c>
      <c r="D610" s="3455"/>
      <c r="E610" s="3456"/>
      <c r="F610" s="675"/>
      <c r="G610" s="523">
        <f t="shared" si="49"/>
        <v>0</v>
      </c>
      <c r="H610" s="2996"/>
      <c r="I610" s="3446"/>
      <c r="J610" s="3447"/>
      <c r="K610" s="676"/>
      <c r="L610" s="523">
        <f t="shared" si="50"/>
        <v>0</v>
      </c>
      <c r="M610" s="2996"/>
      <c r="N610" s="3446"/>
      <c r="O610" s="3448"/>
      <c r="P610" s="3447"/>
      <c r="Q610" s="257"/>
      <c r="S610" s="3487"/>
    </row>
    <row r="611" spans="2:19" ht="35.25" customHeight="1">
      <c r="B611" s="486"/>
      <c r="C611" s="3248" t="s">
        <v>691</v>
      </c>
      <c r="D611" s="3249"/>
      <c r="E611" s="3250"/>
      <c r="F611" s="3251"/>
      <c r="G611" s="3252"/>
      <c r="H611" s="3252"/>
      <c r="I611" s="3252"/>
      <c r="J611" s="3252"/>
      <c r="K611" s="3251"/>
      <c r="L611" s="3252"/>
      <c r="M611" s="3252"/>
      <c r="N611" s="3252"/>
      <c r="O611" s="3252"/>
      <c r="P611" s="3253"/>
      <c r="Q611" s="257"/>
      <c r="S611" s="3487"/>
    </row>
    <row r="612" spans="2:19" ht="21.75" customHeight="1">
      <c r="B612" s="1232"/>
      <c r="C612" s="677" t="s">
        <v>692</v>
      </c>
      <c r="D612" s="328"/>
      <c r="E612" s="8" t="s">
        <v>693</v>
      </c>
      <c r="F612" s="12" t="str">
        <f>IF(H612=1,"1- Très faible",IF(H612=2,"2- Faible",IF(H612=3,"3- Moyen",IF(H612=4,"4- Bon",IF(H612=5,"5- Excellent","")))))</f>
        <v/>
      </c>
      <c r="G612" s="521" t="str">
        <f>IF(SUM(G613:G614)=0,"",SUM(G613:G614))</f>
        <v/>
      </c>
      <c r="H612" s="15">
        <f>ROUNDDOWN(AVERAGE(G613:G614),0)</f>
        <v>0</v>
      </c>
      <c r="I612" s="16"/>
      <c r="J612" s="18"/>
      <c r="K612" s="12" t="str">
        <f>IF(M612=1,"1- Très faible",IF(M612=2,"2- Faible",IF(M612=3,"3- Moyen",IF(M612=4,"4- Bon",IF(M612=5,"5- Excellent","")))))</f>
        <v/>
      </c>
      <c r="L612" s="521" t="str">
        <f>IF(SUM(L613:L614)=0,"",SUM(L613:L614))</f>
        <v/>
      </c>
      <c r="M612" s="15">
        <f>ROUNDDOWN(AVERAGE(L613:L614),0)</f>
        <v>0</v>
      </c>
      <c r="N612" s="16"/>
      <c r="O612" s="3444"/>
      <c r="P612" s="3445"/>
      <c r="Q612" s="257"/>
      <c r="S612" s="3487"/>
    </row>
    <row r="613" spans="2:19" ht="18" customHeight="1">
      <c r="B613" s="486" t="str">
        <f>IF(OR(ISBLANK(F613),ISBLANK(K613))=FALSE,"","u")</f>
        <v>u</v>
      </c>
      <c r="C613" s="3418" t="s">
        <v>694</v>
      </c>
      <c r="D613" s="3419"/>
      <c r="E613" s="3420"/>
      <c r="F613" s="674"/>
      <c r="G613" s="14">
        <f>IF(F613=$E$587,1,IF(F613=$E$588,2,IF(F613=$E$589,3,IF(F613=$E$590,4,IF(F613=$E$591,5,0)))))</f>
        <v>0</v>
      </c>
      <c r="H613" s="2995"/>
      <c r="I613" s="3254"/>
      <c r="J613" s="3256"/>
      <c r="K613" s="674"/>
      <c r="L613" s="14">
        <f>IF(K613=$E$587,1,IF(K613=$E$588,2,IF(K613=$E$589,3,IF(K613=$E$590,4,IF(K613=$E$591,5,0)))))</f>
        <v>0</v>
      </c>
      <c r="M613" s="2995"/>
      <c r="N613" s="3254"/>
      <c r="O613" s="3255"/>
      <c r="P613" s="3256"/>
      <c r="Q613" s="257"/>
      <c r="S613" s="3487"/>
    </row>
    <row r="614" spans="2:19" ht="18" customHeight="1">
      <c r="B614" s="486" t="str">
        <f>IF(OR(ISBLANK(F614),ISBLANK(K614))=FALSE,"","u")</f>
        <v>u</v>
      </c>
      <c r="C614" s="3259" t="s">
        <v>695</v>
      </c>
      <c r="D614" s="3260"/>
      <c r="E614" s="3261"/>
      <c r="F614" s="674"/>
      <c r="G614" s="522">
        <f>IF(F614=$E$587,1,IF(F614=$E$588,2,IF(F614=$E$589,3,IF(F614=$E$590,4,IF(F614=$E$591,5,0)))))</f>
        <v>0</v>
      </c>
      <c r="H614" s="2995"/>
      <c r="I614" s="3254"/>
      <c r="J614" s="3256"/>
      <c r="K614" s="674"/>
      <c r="L614" s="522">
        <f>IF(K614=$E$587,1,IF(K614=$E$588,2,IF(K614=$E$589,3,IF(K614=$E$590,4,IF(K614=$E$591,5,0)))))</f>
        <v>0</v>
      </c>
      <c r="M614" s="2995"/>
      <c r="N614" s="3254"/>
      <c r="O614" s="3255"/>
      <c r="P614" s="3256"/>
      <c r="Q614" s="257"/>
      <c r="S614" s="3487"/>
    </row>
    <row r="615" spans="2:19" ht="35.25" customHeight="1">
      <c r="B615" s="486"/>
      <c r="C615" s="3248" t="s">
        <v>691</v>
      </c>
      <c r="D615" s="3249"/>
      <c r="E615" s="3250"/>
      <c r="F615" s="3251"/>
      <c r="G615" s="3252"/>
      <c r="H615" s="3252"/>
      <c r="I615" s="3252"/>
      <c r="J615" s="3252"/>
      <c r="K615" s="3251"/>
      <c r="L615" s="3252"/>
      <c r="M615" s="3252"/>
      <c r="N615" s="3252"/>
      <c r="O615" s="3252"/>
      <c r="P615" s="3253"/>
      <c r="Q615" s="257"/>
      <c r="S615" s="3487"/>
    </row>
    <row r="616" spans="2:19" ht="21.75" customHeight="1">
      <c r="B616" s="1232"/>
      <c r="C616" s="677" t="s">
        <v>601</v>
      </c>
      <c r="D616" s="328"/>
      <c r="E616" s="8" t="s">
        <v>693</v>
      </c>
      <c r="F616" s="12" t="str">
        <f>IF(H616=1,"1- Très faible",IF(H616=2,"2- Faible",IF(H616=3,"3- Moyen",IF(H616=4,"4- Bon",IF(H616=5,"5- Excellent","")))))</f>
        <v/>
      </c>
      <c r="G616" s="13" t="str">
        <f>IF(SUM(G617:G618)=0,"",SUM(G617:G618))</f>
        <v/>
      </c>
      <c r="H616" s="15">
        <f>ROUNDDOWN(AVERAGE(G617:G618),0)</f>
        <v>0</v>
      </c>
      <c r="I616" s="16"/>
      <c r="J616" s="18"/>
      <c r="K616" s="12" t="str">
        <f>IF(M616=1,"1- Très faible",IF(M616=2,"2- Faible",IF(M616=3,"3- Moyen",IF(M616=4,"4- Bon",IF(M616=5,"5- Excellent","")))))</f>
        <v/>
      </c>
      <c r="L616" s="13" t="str">
        <f>IF(SUM(L617:L618)=0,"",SUM(L617:L618))</f>
        <v/>
      </c>
      <c r="M616" s="15">
        <f>ROUNDDOWN(AVERAGE(L617:L618),0)</f>
        <v>0</v>
      </c>
      <c r="N616" s="16"/>
      <c r="O616" s="3257"/>
      <c r="P616" s="3258"/>
      <c r="Q616" s="257"/>
      <c r="S616" s="3487"/>
    </row>
    <row r="617" spans="2:19" ht="18" customHeight="1">
      <c r="B617" s="486" t="str">
        <f>IF(OR(ISBLANK(F617),ISBLANK(K617))=FALSE,"","u")</f>
        <v>u</v>
      </c>
      <c r="C617" s="3410" t="s">
        <v>696</v>
      </c>
      <c r="D617" s="3411"/>
      <c r="E617" s="3412"/>
      <c r="F617" s="674"/>
      <c r="G617" s="14">
        <f>IF(F617=$E$587,1,IF(F617=$E$588,2,IF(F617=$E$589,3,IF(F617=$E$590,4,IF(F617=$E$591,5,0)))))</f>
        <v>0</v>
      </c>
      <c r="H617" s="2995"/>
      <c r="I617" s="3254"/>
      <c r="J617" s="3256"/>
      <c r="K617" s="674"/>
      <c r="L617" s="14">
        <f>IF(K617=$E$587,1,IF(K617=$E$588,2,IF(K617=$E$589,3,IF(K617=$E$590,4,IF(K617=$E$591,5,0)))))</f>
        <v>0</v>
      </c>
      <c r="M617" s="2995"/>
      <c r="N617" s="3254"/>
      <c r="O617" s="3255"/>
      <c r="P617" s="3256"/>
      <c r="Q617" s="257"/>
      <c r="S617" s="3487"/>
    </row>
    <row r="618" spans="2:19" ht="18" customHeight="1">
      <c r="B618" s="486" t="str">
        <f>IF(OR(ISBLANK(F618),ISBLANK(K618))=FALSE,"","u")</f>
        <v>u</v>
      </c>
      <c r="C618" s="3259" t="s">
        <v>697</v>
      </c>
      <c r="D618" s="3260"/>
      <c r="E618" s="3261"/>
      <c r="F618" s="674"/>
      <c r="G618" s="522">
        <f>IF(F618=$E$587,1,IF(F618=$E$588,2,IF(F618=$E$589,3,IF(F618=$E$590,4,IF(F618=$E$591,5,0)))))</f>
        <v>0</v>
      </c>
      <c r="H618" s="2995"/>
      <c r="I618" s="3254"/>
      <c r="J618" s="3256"/>
      <c r="K618" s="674"/>
      <c r="L618" s="522">
        <f>IF(K618=$E$587,1,IF(K618=$E$588,2,IF(K618=$E$589,3,IF(K618=$E$590,4,IF(K618=$E$591,5,0)))))</f>
        <v>0</v>
      </c>
      <c r="M618" s="2995"/>
      <c r="N618" s="3254"/>
      <c r="O618" s="3255"/>
      <c r="P618" s="3256"/>
      <c r="Q618" s="257"/>
      <c r="S618" s="3487"/>
    </row>
    <row r="619" spans="2:19" ht="35.25" customHeight="1">
      <c r="B619" s="486"/>
      <c r="C619" s="3248" t="s">
        <v>691</v>
      </c>
      <c r="D619" s="3249"/>
      <c r="E619" s="3250"/>
      <c r="F619" s="3251"/>
      <c r="G619" s="3252"/>
      <c r="H619" s="3252"/>
      <c r="I619" s="3252"/>
      <c r="J619" s="3252"/>
      <c r="K619" s="3251"/>
      <c r="L619" s="3252"/>
      <c r="M619" s="3252"/>
      <c r="N619" s="3252"/>
      <c r="O619" s="3252"/>
      <c r="P619" s="3253"/>
      <c r="Q619" s="257"/>
      <c r="S619" s="3487"/>
    </row>
    <row r="620" spans="2:19" ht="21.75" customHeight="1">
      <c r="B620" s="1232"/>
      <c r="C620" s="677" t="s">
        <v>698</v>
      </c>
      <c r="D620" s="328"/>
      <c r="E620" s="8" t="s">
        <v>693</v>
      </c>
      <c r="F620" s="12" t="str">
        <f>IF(H620=1,"1- Très faible",IF(H620=2,"2- Faible",IF(H620=3,"3- Moyen",IF(H620=4,"4- Bon",IF(H620=5,"5- Excellent","")))))</f>
        <v/>
      </c>
      <c r="G620" s="521" t="str">
        <f>IF(SUM(G621:G622)=0,"",SUM(G621:G622))</f>
        <v/>
      </c>
      <c r="H620" s="15">
        <f>ROUNDDOWN(AVERAGE(G621:G622),0)</f>
        <v>0</v>
      </c>
      <c r="I620" s="16"/>
      <c r="J620" s="18"/>
      <c r="K620" s="12" t="str">
        <f>IF(M620=1,"1- Très faible",IF(M620=2,"2- Faible",IF(M620=3,"3- Moyen",IF(M620=4,"4- Bon",IF(M620=5,"5- Excellent","")))))</f>
        <v/>
      </c>
      <c r="L620" s="521" t="str">
        <f>IF(SUM(L621:L622)=0,"",SUM(L621:L622))</f>
        <v/>
      </c>
      <c r="M620" s="15">
        <f>ROUNDDOWN(AVERAGE(L621:L622),0)</f>
        <v>0</v>
      </c>
      <c r="N620" s="16"/>
      <c r="O620" s="3444"/>
      <c r="P620" s="3445"/>
      <c r="Q620" s="257"/>
      <c r="S620" s="3487"/>
    </row>
    <row r="621" spans="2:19" ht="18" customHeight="1">
      <c r="B621" s="486" t="str">
        <f>IF(OR(ISBLANK(F621),ISBLANK(K621))=FALSE,"","u")</f>
        <v>u</v>
      </c>
      <c r="C621" s="3410" t="s">
        <v>699</v>
      </c>
      <c r="D621" s="3411"/>
      <c r="E621" s="3412"/>
      <c r="F621" s="674"/>
      <c r="G621" s="522">
        <f>IF(F621=$E$587,1,IF(F621=$E$588,2,IF(F621=$E$589,3,IF(F621=$E$590,4,IF(F621=$E$591,5,0)))))</f>
        <v>0</v>
      </c>
      <c r="H621" s="2995"/>
      <c r="I621" s="3254"/>
      <c r="J621" s="3256"/>
      <c r="K621" s="674"/>
      <c r="L621" s="522">
        <f>IF(K621=$E$587,1,IF(K621=$E$588,2,IF(K621=$E$589,3,IF(K621=$E$590,4,IF(K621=$E$591,5,0)))))</f>
        <v>0</v>
      </c>
      <c r="M621" s="2995"/>
      <c r="N621" s="3254"/>
      <c r="O621" s="3255"/>
      <c r="P621" s="3256"/>
      <c r="Q621" s="257"/>
      <c r="S621" s="3487"/>
    </row>
    <row r="622" spans="2:19" ht="18" customHeight="1">
      <c r="B622" s="486" t="str">
        <f>IF(OR(ISBLANK(F622),ISBLANK(K622))=FALSE,"","u")</f>
        <v>u</v>
      </c>
      <c r="C622" s="3259" t="s">
        <v>700</v>
      </c>
      <c r="D622" s="3260"/>
      <c r="E622" s="3261"/>
      <c r="F622" s="674"/>
      <c r="G622" s="522">
        <f>IF(F622=$E$587,1,IF(F622=$E$588,2,IF(F622=$E$589,3,IF(F622=$E$590,4,IF(F622=$E$591,5,0)))))</f>
        <v>0</v>
      </c>
      <c r="H622" s="2995"/>
      <c r="I622" s="3254"/>
      <c r="J622" s="3256"/>
      <c r="K622" s="674"/>
      <c r="L622" s="522">
        <f>IF(K622=$E$587,1,IF(K622=$E$588,2,IF(K622=$E$589,3,IF(K622=$E$590,4,IF(K622=$E$591,5,0)))))</f>
        <v>0</v>
      </c>
      <c r="M622" s="2995"/>
      <c r="N622" s="3254"/>
      <c r="O622" s="3255"/>
      <c r="P622" s="3256"/>
      <c r="Q622" s="257"/>
      <c r="S622" s="3487"/>
    </row>
    <row r="623" spans="2:19" ht="35.25" customHeight="1">
      <c r="B623" s="486"/>
      <c r="C623" s="3248" t="s">
        <v>691</v>
      </c>
      <c r="D623" s="3249"/>
      <c r="E623" s="3250"/>
      <c r="F623" s="3251"/>
      <c r="G623" s="3252"/>
      <c r="H623" s="3252"/>
      <c r="I623" s="3252"/>
      <c r="J623" s="3252"/>
      <c r="K623" s="3251"/>
      <c r="L623" s="3252"/>
      <c r="M623" s="3252"/>
      <c r="N623" s="3252"/>
      <c r="O623" s="3252"/>
      <c r="P623" s="3253"/>
      <c r="Q623" s="257"/>
      <c r="S623" s="3487"/>
    </row>
    <row r="624" spans="2:19" ht="21.75" customHeight="1">
      <c r="B624" s="1232"/>
      <c r="C624" s="677" t="s">
        <v>701</v>
      </c>
      <c r="D624" s="679"/>
      <c r="E624" s="8" t="s">
        <v>702</v>
      </c>
      <c r="F624" s="12" t="str">
        <f>IF(H624=1,"1- Très faible",IF(H624=2,"2- Faible",IF(H624=3,"3- Moyen",IF(H624=4,"4- Bon",IF(H624=5,"5- Excellent","")))))</f>
        <v/>
      </c>
      <c r="G624" s="13" t="str">
        <f>IF(SUM(G625:G627)=0,"",SUM(G625:G627))</f>
        <v/>
      </c>
      <c r="H624" s="15">
        <f>ROUNDDOWN(AVERAGE(G625:G627),0)</f>
        <v>0</v>
      </c>
      <c r="I624" s="16"/>
      <c r="J624" s="18"/>
      <c r="K624" s="12" t="str">
        <f>IF(M624=1,"1- Très faible",IF(M624=2,"2- Faible",IF(M624=3,"3- Moyen",IF(M624=4,"4- Bon",IF(M624=5,"5- Excellent","")))))</f>
        <v/>
      </c>
      <c r="L624" s="13" t="str">
        <f>IF(SUM(L625:L627)=0,"",SUM(L625:L627))</f>
        <v/>
      </c>
      <c r="M624" s="15">
        <f>ROUNDDOWN(AVERAGE(L625:L627),0)</f>
        <v>0</v>
      </c>
      <c r="N624" s="16"/>
      <c r="O624" s="3257"/>
      <c r="P624" s="3258"/>
      <c r="Q624" s="257"/>
      <c r="S624" s="3487"/>
    </row>
    <row r="625" spans="2:19" ht="18" customHeight="1">
      <c r="B625" s="486" t="str">
        <f>IF(OR(ISBLANK(F625),ISBLANK(K625))=FALSE,"","u")</f>
        <v>u</v>
      </c>
      <c r="C625" s="3259" t="s">
        <v>703</v>
      </c>
      <c r="D625" s="3260"/>
      <c r="E625" s="3261"/>
      <c r="F625" s="674"/>
      <c r="G625" s="14">
        <f>IF(F625=$E$587,1,IF(F625=$E$588,2,IF(F625=$E$589,3,IF(F625=$E$590,4,IF(F625=$E$591,5,0)))))</f>
        <v>0</v>
      </c>
      <c r="H625" s="2995"/>
      <c r="I625" s="3254"/>
      <c r="J625" s="3256"/>
      <c r="K625" s="674"/>
      <c r="L625" s="14">
        <f>IF(K625=$E$587,1,IF(K625=$E$588,2,IF(K625=$E$589,3,IF(K625=$E$590,4,IF(K625=$E$591,5,0)))))</f>
        <v>0</v>
      </c>
      <c r="M625" s="2995"/>
      <c r="N625" s="3254"/>
      <c r="O625" s="3255"/>
      <c r="P625" s="3256"/>
      <c r="Q625" s="257"/>
      <c r="S625" s="3487"/>
    </row>
    <row r="626" spans="2:19" ht="18" customHeight="1">
      <c r="B626" s="486" t="str">
        <f>IF(OR(ISBLANK(F626),ISBLANK(K626))=FALSE,"","u")</f>
        <v>u</v>
      </c>
      <c r="C626" s="3259" t="s">
        <v>53</v>
      </c>
      <c r="D626" s="3260"/>
      <c r="E626" s="3261"/>
      <c r="F626" s="674"/>
      <c r="G626" s="14">
        <f>IF(F626=$E$587,1,IF(F626=$E$588,2,IF(F626=$E$589,3,IF(F626=$E$590,4,IF(F626=$E$591,5,0)))))</f>
        <v>0</v>
      </c>
      <c r="H626" s="2995"/>
      <c r="I626" s="3254"/>
      <c r="J626" s="3256"/>
      <c r="K626" s="674"/>
      <c r="L626" s="14">
        <f>IF(K626=$E$587,1,IF(K626=$E$588,2,IF(K626=$E$589,3,IF(K626=$E$590,4,IF(K626=$E$591,5,0)))))</f>
        <v>0</v>
      </c>
      <c r="M626" s="2995"/>
      <c r="N626" s="3254"/>
      <c r="O626" s="3255"/>
      <c r="P626" s="3256"/>
      <c r="Q626" s="257"/>
      <c r="S626" s="3487"/>
    </row>
    <row r="627" spans="2:19" ht="18" customHeight="1">
      <c r="B627" s="486" t="str">
        <f>IF(OR(ISBLANK(F627),ISBLANK(K627))=FALSE,"","u")</f>
        <v>u</v>
      </c>
      <c r="C627" s="3259" t="s">
        <v>55</v>
      </c>
      <c r="D627" s="3260"/>
      <c r="E627" s="3261"/>
      <c r="F627" s="674"/>
      <c r="G627" s="522">
        <f>IF(F627=$E$587,1,IF(F627=$E$588,2,IF(F627=$E$589,3,IF(F627=$E$590,4,IF(F627=$E$591,5,0)))))</f>
        <v>0</v>
      </c>
      <c r="H627" s="2995"/>
      <c r="I627" s="3254"/>
      <c r="J627" s="3256"/>
      <c r="K627" s="674"/>
      <c r="L627" s="522">
        <f>IF(K627=$E$587,1,IF(K627=$E$588,2,IF(K627=$E$589,3,IF(K627=$E$590,4,IF(K627=$E$591,5,0)))))</f>
        <v>0</v>
      </c>
      <c r="M627" s="2995"/>
      <c r="N627" s="3254"/>
      <c r="O627" s="3255"/>
      <c r="P627" s="3256"/>
      <c r="Q627" s="257"/>
      <c r="S627" s="3487"/>
    </row>
    <row r="628" spans="2:19" ht="35.25" customHeight="1">
      <c r="B628" s="486"/>
      <c r="C628" s="3248" t="s">
        <v>691</v>
      </c>
      <c r="D628" s="3249"/>
      <c r="E628" s="3250"/>
      <c r="F628" s="3251"/>
      <c r="G628" s="3252"/>
      <c r="H628" s="3252"/>
      <c r="I628" s="3252"/>
      <c r="J628" s="3252"/>
      <c r="K628" s="3251"/>
      <c r="L628" s="3252"/>
      <c r="M628" s="3252"/>
      <c r="N628" s="3252"/>
      <c r="O628" s="3252"/>
      <c r="P628" s="3253"/>
      <c r="Q628" s="257"/>
      <c r="S628" s="3487"/>
    </row>
    <row r="629" spans="2:19" ht="21.75" customHeight="1">
      <c r="B629" s="1232"/>
      <c r="C629" s="677" t="s">
        <v>704</v>
      </c>
      <c r="D629" s="679"/>
      <c r="E629" s="8" t="s">
        <v>693</v>
      </c>
      <c r="F629" s="12" t="str">
        <f>IF(H629=1,"1- Très faible",IF(H629=2,"2- Faible",IF(H629=3,"3- Moyen",IF(H629=4,"4- Bon",IF(H629=5,"5- Excellent","")))))</f>
        <v/>
      </c>
      <c r="G629" s="13" t="str">
        <f>IF(SUM(G630:G631)=0,"",SUM(G630:G631))</f>
        <v/>
      </c>
      <c r="H629" s="15">
        <f>ROUNDDOWN(AVERAGE(G630:G631),0)</f>
        <v>0</v>
      </c>
      <c r="I629" s="16"/>
      <c r="J629" s="18"/>
      <c r="K629" s="12" t="str">
        <f>IF(M629=1,"1- Très faible",IF(M629=2,"2- Faible",IF(M629=3,"3- Moyen",IF(M629=4,"4- Bon",IF(M629=5,"5- Excellent","")))))</f>
        <v/>
      </c>
      <c r="L629" s="13" t="str">
        <f>IF(SUM(L630:L631)=0,"",SUM(L630:L631))</f>
        <v/>
      </c>
      <c r="M629" s="15">
        <f>ROUNDDOWN(AVERAGE(L630:L631),0)</f>
        <v>0</v>
      </c>
      <c r="N629" s="16"/>
      <c r="O629" s="3257"/>
      <c r="P629" s="3258"/>
      <c r="Q629" s="257"/>
      <c r="S629" s="3487"/>
    </row>
    <row r="630" spans="2:19" ht="18" customHeight="1">
      <c r="B630" s="486" t="str">
        <f>IF(OR(ISBLANK(F630),ISBLANK(K630))=FALSE,"","u")</f>
        <v>u</v>
      </c>
      <c r="C630" s="3259" t="s">
        <v>705</v>
      </c>
      <c r="D630" s="3260"/>
      <c r="E630" s="3261"/>
      <c r="F630" s="674"/>
      <c r="G630" s="14">
        <f>IF(F630=$E$587,1,IF(F630=$E$588,2,IF(F630=$E$589,3,IF(F630=$E$590,4,IF(F630=$E$591,5,0)))))</f>
        <v>0</v>
      </c>
      <c r="H630" s="2995"/>
      <c r="I630" s="3254"/>
      <c r="J630" s="3256"/>
      <c r="K630" s="674"/>
      <c r="L630" s="14">
        <f>IF(K630=$E$587,1,IF(K630=$E$588,2,IF(K630=$E$589,3,IF(K630=$E$590,4,IF(K630=$E$591,5,0)))))</f>
        <v>0</v>
      </c>
      <c r="M630" s="2995"/>
      <c r="N630" s="3254"/>
      <c r="O630" s="3255"/>
      <c r="P630" s="3256"/>
      <c r="Q630" s="257"/>
      <c r="S630" s="3487"/>
    </row>
    <row r="631" spans="2:19" ht="18" customHeight="1">
      <c r="B631" s="486" t="str">
        <f>IF(OR(ISBLANK(F631),ISBLANK(K631))=FALSE,"","u")</f>
        <v>u</v>
      </c>
      <c r="C631" s="3259" t="s">
        <v>51</v>
      </c>
      <c r="D631" s="3260"/>
      <c r="E631" s="3261"/>
      <c r="F631" s="674"/>
      <c r="G631" s="14">
        <f>IF(F631=$E$587,1,IF(F631=$E$588,2,IF(F631=$E$589,3,IF(F631=$E$590,4,IF(F631=$E$591,5,0)))))</f>
        <v>0</v>
      </c>
      <c r="H631" s="2995"/>
      <c r="I631" s="3254"/>
      <c r="J631" s="3256"/>
      <c r="K631" s="674"/>
      <c r="L631" s="14">
        <f>IF(K631=$E$587,1,IF(K631=$E$588,2,IF(K631=$E$589,3,IF(K631=$E$590,4,IF(K631=$E$591,5,0)))))</f>
        <v>0</v>
      </c>
      <c r="M631" s="2995"/>
      <c r="N631" s="3254"/>
      <c r="O631" s="3255"/>
      <c r="P631" s="3256"/>
      <c r="Q631" s="257"/>
      <c r="S631" s="3487"/>
    </row>
    <row r="632" spans="2:19" ht="35.25" customHeight="1">
      <c r="B632" s="486"/>
      <c r="C632" s="3248" t="s">
        <v>691</v>
      </c>
      <c r="D632" s="3249"/>
      <c r="E632" s="3250"/>
      <c r="F632" s="3251"/>
      <c r="G632" s="3252"/>
      <c r="H632" s="3252"/>
      <c r="I632" s="3252"/>
      <c r="J632" s="3252"/>
      <c r="K632" s="3251"/>
      <c r="L632" s="3252"/>
      <c r="M632" s="3252"/>
      <c r="N632" s="3252"/>
      <c r="O632" s="3252"/>
      <c r="P632" s="3253"/>
      <c r="Q632" s="257"/>
      <c r="S632" s="3487"/>
    </row>
    <row r="633" spans="2:19" ht="21.75" customHeight="1">
      <c r="B633" s="1232"/>
      <c r="C633" s="678" t="s">
        <v>706</v>
      </c>
      <c r="D633" s="328"/>
      <c r="E633" s="8" t="s">
        <v>702</v>
      </c>
      <c r="F633" s="12" t="str">
        <f>IF(H633=1,"1- Très faible",IF(H633=2,"2- Faible",IF(H633=3,"3- Moyen",IF(H633=4,"4- Bon",IF(H633=5,"5- Excellent","")))))</f>
        <v/>
      </c>
      <c r="G633" s="13" t="str">
        <f>IF(SUM(G634:G636)=0,"",SUM(G634:G636))</f>
        <v/>
      </c>
      <c r="H633" s="15">
        <f>ROUNDDOWN(AVERAGE(G634:G636),0)</f>
        <v>0</v>
      </c>
      <c r="I633" s="16"/>
      <c r="J633" s="18"/>
      <c r="K633" s="12" t="str">
        <f>IF(M633=1,"1- Très faible",IF(M633=2,"2- Faible",IF(M633=3,"3- Moyen",IF(M633=4,"4- Bon",IF(M633=5,"5- Excellent","")))))</f>
        <v/>
      </c>
      <c r="L633" s="13" t="str">
        <f>IF(SUM(L634:L636)=0,"",SUM(L634:L636))</f>
        <v/>
      </c>
      <c r="M633" s="15">
        <f>ROUNDDOWN(AVERAGE(L634:L636),0)</f>
        <v>0</v>
      </c>
      <c r="N633" s="16"/>
      <c r="O633" s="3257"/>
      <c r="P633" s="3258"/>
      <c r="Q633" s="257"/>
      <c r="S633" s="3487"/>
    </row>
    <row r="634" spans="2:19" ht="18" customHeight="1">
      <c r="B634" s="486" t="str">
        <f>IF(OR(ISBLANK(F634),ISBLANK(K634))=FALSE,"","u")</f>
        <v>u</v>
      </c>
      <c r="C634" s="3259" t="s">
        <v>50</v>
      </c>
      <c r="D634" s="3260"/>
      <c r="E634" s="3261"/>
      <c r="F634" s="674"/>
      <c r="G634" s="14">
        <f>IF(F634=$E$587,1,IF(F634=$E$588,2,IF(F634=$E$589,3,IF(F634=$E$590,4,IF(F634=$E$591,5,0)))))</f>
        <v>0</v>
      </c>
      <c r="H634" s="2995"/>
      <c r="I634" s="3254"/>
      <c r="J634" s="3256"/>
      <c r="K634" s="674"/>
      <c r="L634" s="14">
        <f>IF(K634=$E$587,1,IF(K634=$E$588,2,IF(K634=$E$589,3,IF(K634=$E$590,4,IF(K634=$E$591,5,0)))))</f>
        <v>0</v>
      </c>
      <c r="M634" s="2995"/>
      <c r="N634" s="3254"/>
      <c r="O634" s="3255"/>
      <c r="P634" s="3256"/>
      <c r="Q634" s="257"/>
      <c r="S634" s="3487"/>
    </row>
    <row r="635" spans="2:19" ht="18" customHeight="1">
      <c r="B635" s="486" t="str">
        <f>IF(OR(ISBLANK(F635),ISBLANK(K635))=FALSE,"","u")</f>
        <v>u</v>
      </c>
      <c r="C635" s="3259" t="s">
        <v>52</v>
      </c>
      <c r="D635" s="3260"/>
      <c r="E635" s="3261"/>
      <c r="F635" s="674"/>
      <c r="G635" s="14">
        <f>IF(F635=$E$587,1,IF(F635=$E$588,2,IF(F635=$E$589,3,IF(F635=$E$590,4,IF(F635=$E$591,5,0)))))</f>
        <v>0</v>
      </c>
      <c r="H635" s="2995"/>
      <c r="I635" s="3254"/>
      <c r="J635" s="3256"/>
      <c r="K635" s="674"/>
      <c r="L635" s="14">
        <f>IF(K635=$E$587,1,IF(K635=$E$588,2,IF(K635=$E$589,3,IF(K635=$E$590,4,IF(K635=$E$591,5,0)))))</f>
        <v>0</v>
      </c>
      <c r="M635" s="2995"/>
      <c r="N635" s="3254"/>
      <c r="O635" s="3255"/>
      <c r="P635" s="3256"/>
      <c r="Q635" s="257"/>
      <c r="S635" s="3487"/>
    </row>
    <row r="636" spans="2:19" ht="18" customHeight="1">
      <c r="B636" s="486" t="str">
        <f>IF(OR(ISBLANK(F636),ISBLANK(K636))=FALSE,"","u")</f>
        <v>u</v>
      </c>
      <c r="C636" s="3259" t="s">
        <v>54</v>
      </c>
      <c r="D636" s="3260"/>
      <c r="E636" s="3261"/>
      <c r="F636" s="674"/>
      <c r="G636" s="522">
        <f>IF(F636=$E$587,1,IF(F636=$E$588,2,IF(F636=$E$589,3,IF(F636=$E$590,4,IF(F636=$E$591,5,0)))))</f>
        <v>0</v>
      </c>
      <c r="H636" s="2995"/>
      <c r="I636" s="3254"/>
      <c r="J636" s="3256"/>
      <c r="K636" s="674"/>
      <c r="L636" s="522">
        <f>IF(K636=$E$587,1,IF(K636=$E$588,2,IF(K636=$E$589,3,IF(K636=$E$590,4,IF(K636=$E$591,5,0)))))</f>
        <v>0</v>
      </c>
      <c r="M636" s="2995"/>
      <c r="N636" s="3254"/>
      <c r="O636" s="3255"/>
      <c r="P636" s="3256"/>
      <c r="Q636" s="257"/>
      <c r="S636" s="3487"/>
    </row>
    <row r="637" spans="2:19" ht="35.25" customHeight="1">
      <c r="B637" s="486"/>
      <c r="C637" s="3248" t="s">
        <v>691</v>
      </c>
      <c r="D637" s="3249"/>
      <c r="E637" s="3250"/>
      <c r="F637" s="3251"/>
      <c r="G637" s="3252"/>
      <c r="H637" s="3252"/>
      <c r="I637" s="3252"/>
      <c r="J637" s="3252"/>
      <c r="K637" s="3251"/>
      <c r="L637" s="3252"/>
      <c r="M637" s="3252"/>
      <c r="N637" s="3252"/>
      <c r="O637" s="3252"/>
      <c r="P637" s="3253"/>
      <c r="Q637" s="257"/>
      <c r="S637" s="3487"/>
    </row>
    <row r="638" spans="2:19" ht="22.5" customHeight="1">
      <c r="B638" s="253"/>
      <c r="C638" s="655"/>
      <c r="D638" s="344"/>
      <c r="E638" s="9" t="s">
        <v>707</v>
      </c>
      <c r="F638" s="19" t="str">
        <f>IF(H638=1,"1- Très faible",IF(H638=2,"2- Faible",IF(H638=3,"3- Moyen",IF(H638=4,"4- Bon",IF(H638=5,"5- Excellent","")))))</f>
        <v/>
      </c>
      <c r="G638" s="410" t="str">
        <f>IF(ISERR(G612+G616+G620+G624+G629+G633)=TRUE,"",IF((G604=""),((G612+G616+G620+G624+G629+G633)/70*100),(G604+G612+G616+G620+G624+G629+G633)))</f>
        <v/>
      </c>
      <c r="H638" s="628">
        <f>ROUNDDOWN(AVERAGE(H604,H612,H616,H620,H624,H629,H633),0)</f>
        <v>0</v>
      </c>
      <c r="I638" s="17"/>
      <c r="J638" s="17"/>
      <c r="K638" s="19" t="str">
        <f>IF(M638=1,"1- Très faible",IF(M638=2,"2- Faible",IF(M638=3,"3- Moyen",IF(M638=4,"4- Bon",IF(M638=5,"5- Excellent","")))))</f>
        <v/>
      </c>
      <c r="L638" s="410" t="str">
        <f>IF(ISERR(L612+L616+L620+L624+L629+L633)=TRUE,"",IF((L604=""),((L612+L616+L620+L624+L629+L633)/70*100),(L604+L612+L616+L620+L624+L629+L633)))</f>
        <v/>
      </c>
      <c r="M638" s="628">
        <f>ROUNDDOWN(AVERAGE(M604,M612,M616,M620,M624,M629,M633),0)</f>
        <v>0</v>
      </c>
      <c r="N638" s="17"/>
      <c r="O638" s="3372"/>
      <c r="P638" s="3373"/>
      <c r="Q638" s="257"/>
      <c r="S638" s="3487"/>
    </row>
    <row r="639" spans="2:19" ht="27.75" customHeight="1">
      <c r="B639" s="253"/>
      <c r="C639" s="256"/>
      <c r="D639" s="459"/>
      <c r="E639" s="459"/>
      <c r="F639" s="459"/>
      <c r="G639" s="459"/>
      <c r="H639" s="459"/>
      <c r="I639" s="461"/>
      <c r="J639" s="649"/>
      <c r="K639" s="649"/>
      <c r="L639" s="649"/>
      <c r="M639" s="649"/>
      <c r="N639" s="649"/>
      <c r="O639" s="649"/>
      <c r="P639" s="649"/>
      <c r="Q639" s="257"/>
      <c r="S639" s="3487"/>
    </row>
    <row r="640" spans="2:19" ht="18" customHeight="1">
      <c r="B640" s="253"/>
      <c r="C640" s="667" t="s">
        <v>570</v>
      </c>
      <c r="D640" s="459"/>
      <c r="E640" s="459"/>
      <c r="F640" s="459"/>
      <c r="G640" s="160"/>
      <c r="H640" s="3457" t="s">
        <v>708</v>
      </c>
      <c r="I640" s="3457"/>
      <c r="J640" s="160"/>
      <c r="K640" s="160"/>
      <c r="L640" s="649"/>
      <c r="M640" s="649"/>
      <c r="N640" s="649"/>
      <c r="O640" s="649"/>
      <c r="P640" s="649"/>
      <c r="Q640" s="257"/>
      <c r="S640" s="3487"/>
    </row>
    <row r="641" spans="1:19" ht="21.75" customHeight="1" thickBot="1">
      <c r="B641" s="284"/>
      <c r="C641" s="286"/>
      <c r="D641" s="286"/>
      <c r="E641" s="286"/>
      <c r="F641" s="287"/>
      <c r="G641" s="287"/>
      <c r="H641" s="287"/>
      <c r="I641" s="287"/>
      <c r="J641" s="287"/>
      <c r="K641" s="287"/>
      <c r="L641" s="287"/>
      <c r="M641" s="287"/>
      <c r="N641" s="287"/>
      <c r="O641" s="287"/>
      <c r="P641" s="287"/>
      <c r="Q641" s="288"/>
      <c r="S641" s="3488"/>
    </row>
    <row r="642" spans="1:19" ht="14.25" customHeight="1" thickBot="1">
      <c r="B642" s="495"/>
      <c r="C642" s="495"/>
      <c r="D642" s="495"/>
      <c r="E642" s="495"/>
      <c r="F642" s="496"/>
      <c r="G642" s="496"/>
      <c r="H642" s="496"/>
      <c r="I642" s="496"/>
      <c r="J642" s="496"/>
      <c r="K642" s="496"/>
      <c r="L642" s="496"/>
      <c r="M642" s="496"/>
      <c r="N642" s="496"/>
      <c r="O642" s="496"/>
      <c r="P642" s="496"/>
      <c r="Q642" s="496"/>
      <c r="S642" s="614"/>
    </row>
    <row r="643" spans="1:19" ht="22.5" customHeight="1" thickBot="1">
      <c r="A643" s="1187"/>
      <c r="B643" s="237" t="s">
        <v>709</v>
      </c>
      <c r="C643" s="237"/>
      <c r="D643" s="237"/>
      <c r="E643" s="237"/>
      <c r="F643" s="237"/>
      <c r="G643" s="237"/>
      <c r="H643" s="237"/>
      <c r="I643" s="237"/>
      <c r="J643" s="237"/>
      <c r="K643" s="237"/>
      <c r="L643" s="238"/>
      <c r="M643" s="238"/>
      <c r="N643" s="238"/>
      <c r="O643" s="3173" t="s">
        <v>155</v>
      </c>
      <c r="P643" s="3173"/>
      <c r="Q643" s="3173"/>
      <c r="S643" s="615" t="s">
        <v>521</v>
      </c>
    </row>
    <row r="644" spans="1:19" ht="9.75" customHeight="1" thickBot="1">
      <c r="S644" s="616"/>
    </row>
    <row r="645" spans="1:19" ht="8.25" customHeight="1">
      <c r="B645" s="241"/>
      <c r="C645" s="242"/>
      <c r="D645" s="242"/>
      <c r="E645" s="243"/>
      <c r="F645" s="244"/>
      <c r="G645" s="244"/>
      <c r="H645" s="244"/>
      <c r="I645" s="244"/>
      <c r="J645" s="244"/>
      <c r="K645" s="244"/>
      <c r="L645" s="244"/>
      <c r="M645" s="244"/>
      <c r="N645" s="244"/>
      <c r="O645" s="244"/>
      <c r="P645" s="244"/>
      <c r="Q645" s="245"/>
      <c r="S645" s="3486"/>
    </row>
    <row r="646" spans="1:19" ht="18" customHeight="1">
      <c r="B646" s="284"/>
      <c r="C646" s="247" t="s">
        <v>710</v>
      </c>
      <c r="D646" s="247"/>
      <c r="E646" s="286"/>
      <c r="F646" s="287"/>
      <c r="G646" s="287"/>
      <c r="H646" s="287"/>
      <c r="I646" s="287"/>
      <c r="J646" s="287"/>
      <c r="K646" s="287"/>
      <c r="L646" s="287"/>
      <c r="M646" s="287"/>
      <c r="N646" s="249" t="s">
        <v>219</v>
      </c>
      <c r="O646" s="353" t="str">
        <f>IF((COUNTBLANK(B668:B700)=ROWS(B668:B700)),"Complété","À compléter")</f>
        <v>À compléter</v>
      </c>
      <c r="P646" s="287"/>
      <c r="Q646" s="288"/>
      <c r="S646" s="3487"/>
    </row>
    <row r="647" spans="1:19" ht="6.75" customHeight="1">
      <c r="B647" s="284"/>
      <c r="C647" s="286"/>
      <c r="D647" s="286"/>
      <c r="E647" s="286"/>
      <c r="F647" s="287"/>
      <c r="G647" s="287"/>
      <c r="H647" s="287"/>
      <c r="I647" s="287"/>
      <c r="J647" s="287"/>
      <c r="K647" s="287"/>
      <c r="L647" s="287"/>
      <c r="M647" s="287"/>
      <c r="N647" s="287"/>
      <c r="O647" s="287"/>
      <c r="P647" s="287"/>
      <c r="Q647" s="288"/>
      <c r="S647" s="3487"/>
    </row>
    <row r="648" spans="1:19" ht="17.25" customHeight="1">
      <c r="B648" s="251"/>
      <c r="C648" s="3182" t="s">
        <v>531</v>
      </c>
      <c r="D648" s="3182"/>
      <c r="E648" s="3182"/>
      <c r="F648" s="3182"/>
      <c r="G648" s="3182"/>
      <c r="H648" s="3182"/>
      <c r="I648" s="3182"/>
      <c r="J648" s="3182"/>
      <c r="K648" s="3182"/>
      <c r="L648" s="3182"/>
      <c r="M648" s="3182"/>
      <c r="N648" s="160"/>
      <c r="O648" s="160"/>
      <c r="P648" s="160"/>
      <c r="Q648" s="250"/>
      <c r="S648" s="3487"/>
    </row>
    <row r="649" spans="1:19" ht="15" customHeight="1">
      <c r="B649" s="251"/>
      <c r="C649" s="252"/>
      <c r="D649" s="252"/>
      <c r="E649" s="252"/>
      <c r="F649" s="160"/>
      <c r="G649" s="160"/>
      <c r="H649" s="160"/>
      <c r="I649" s="160"/>
      <c r="J649" s="160"/>
      <c r="K649" s="160"/>
      <c r="L649" s="160"/>
      <c r="M649" s="160"/>
      <c r="N649" s="160"/>
      <c r="O649" s="160"/>
      <c r="P649" s="160"/>
      <c r="Q649" s="250"/>
      <c r="S649" s="3487"/>
    </row>
    <row r="650" spans="1:19" ht="22.5" customHeight="1">
      <c r="B650" s="253"/>
      <c r="C650" s="477" t="s">
        <v>711</v>
      </c>
      <c r="D650" s="255"/>
      <c r="E650" s="256"/>
      <c r="F650" s="256"/>
      <c r="G650" s="256"/>
      <c r="H650" s="256"/>
      <c r="I650" s="256"/>
      <c r="J650" s="256"/>
      <c r="K650" s="256"/>
      <c r="L650" s="256"/>
      <c r="M650" s="256"/>
      <c r="N650" s="256"/>
      <c r="O650" s="256"/>
      <c r="P650" s="256"/>
      <c r="Q650" s="257"/>
      <c r="S650" s="3487"/>
    </row>
    <row r="651" spans="1:19" ht="9" customHeight="1">
      <c r="B651" s="253"/>
      <c r="C651" s="255"/>
      <c r="D651" s="255"/>
      <c r="E651" s="256"/>
      <c r="F651" s="256"/>
      <c r="G651" s="256"/>
      <c r="H651" s="256"/>
      <c r="I651" s="256"/>
      <c r="J651" s="256"/>
      <c r="K651" s="256"/>
      <c r="L651" s="256"/>
      <c r="M651" s="256"/>
      <c r="N651" s="256"/>
      <c r="O651" s="256"/>
      <c r="P651" s="256"/>
      <c r="Q651" s="257"/>
      <c r="S651" s="3487"/>
    </row>
    <row r="652" spans="1:19" ht="9" customHeight="1">
      <c r="B652" s="253"/>
      <c r="C652" s="258"/>
      <c r="D652" s="259"/>
      <c r="E652" s="260"/>
      <c r="F652" s="260"/>
      <c r="G652" s="260"/>
      <c r="H652" s="260"/>
      <c r="I652" s="260"/>
      <c r="J652" s="260"/>
      <c r="K652" s="260"/>
      <c r="L652" s="260"/>
      <c r="M652" s="260"/>
      <c r="N652" s="260"/>
      <c r="O652" s="260"/>
      <c r="P652" s="261"/>
      <c r="Q652" s="257"/>
      <c r="S652" s="3487"/>
    </row>
    <row r="653" spans="1:19" ht="16.5" customHeight="1">
      <c r="B653" s="253"/>
      <c r="C653" s="3383" t="s">
        <v>186</v>
      </c>
      <c r="D653" s="3384"/>
      <c r="E653" s="200" t="s">
        <v>198</v>
      </c>
      <c r="F653" s="345" t="s">
        <v>199</v>
      </c>
      <c r="G653" s="346"/>
      <c r="H653" s="347"/>
      <c r="I653" s="347"/>
      <c r="J653" s="347"/>
      <c r="K653" s="347"/>
      <c r="L653" s="347"/>
      <c r="M653" s="347"/>
      <c r="N653" s="347"/>
      <c r="O653" s="347"/>
      <c r="P653" s="266"/>
      <c r="Q653" s="257"/>
      <c r="S653" s="3487"/>
    </row>
    <row r="654" spans="1:19" ht="16.5" customHeight="1">
      <c r="B654" s="253"/>
      <c r="C654" s="3385" t="s">
        <v>200</v>
      </c>
      <c r="D654" s="3386"/>
      <c r="E654" s="197" t="s">
        <v>201</v>
      </c>
      <c r="F654" s="348" t="s">
        <v>202</v>
      </c>
      <c r="G654" s="349"/>
      <c r="H654" s="350"/>
      <c r="I654" s="350"/>
      <c r="J654" s="350"/>
      <c r="K654" s="350"/>
      <c r="L654" s="350"/>
      <c r="M654" s="350"/>
      <c r="N654" s="350"/>
      <c r="O654" s="350"/>
      <c r="P654" s="266"/>
      <c r="Q654" s="257"/>
      <c r="S654" s="3487"/>
    </row>
    <row r="655" spans="1:19" ht="16.5" customHeight="1">
      <c r="B655" s="253"/>
      <c r="C655" s="302"/>
      <c r="D655" s="303"/>
      <c r="E655" s="193" t="s">
        <v>203</v>
      </c>
      <c r="F655" s="348" t="s">
        <v>204</v>
      </c>
      <c r="G655" s="349"/>
      <c r="H655" s="350"/>
      <c r="I655" s="350"/>
      <c r="J655" s="350"/>
      <c r="K655" s="350"/>
      <c r="L655" s="350"/>
      <c r="M655" s="350"/>
      <c r="N655" s="350"/>
      <c r="O655" s="350"/>
      <c r="P655" s="266"/>
      <c r="Q655" s="257"/>
      <c r="S655" s="3487"/>
    </row>
    <row r="656" spans="1:19" ht="16.5" customHeight="1">
      <c r="B656" s="253"/>
      <c r="C656" s="302"/>
      <c r="D656" s="303"/>
      <c r="E656" s="190" t="s">
        <v>205</v>
      </c>
      <c r="F656" s="348" t="s">
        <v>206</v>
      </c>
      <c r="G656" s="349"/>
      <c r="H656" s="350"/>
      <c r="I656" s="350"/>
      <c r="J656" s="350"/>
      <c r="K656" s="350"/>
      <c r="L656" s="350"/>
      <c r="M656" s="350"/>
      <c r="N656" s="350"/>
      <c r="O656" s="350"/>
      <c r="P656" s="266"/>
      <c r="Q656" s="257"/>
      <c r="S656" s="3487"/>
    </row>
    <row r="657" spans="2:19" ht="16.5" customHeight="1">
      <c r="B657" s="253"/>
      <c r="C657" s="302"/>
      <c r="D657" s="303"/>
      <c r="E657" s="188" t="s">
        <v>207</v>
      </c>
      <c r="F657" s="348" t="s">
        <v>208</v>
      </c>
      <c r="G657" s="349"/>
      <c r="H657" s="350"/>
      <c r="I657" s="350"/>
      <c r="J657" s="350"/>
      <c r="K657" s="350"/>
      <c r="L657" s="350"/>
      <c r="M657" s="350"/>
      <c r="N657" s="350"/>
      <c r="O657" s="350"/>
      <c r="P657" s="266"/>
      <c r="Q657" s="257"/>
      <c r="S657" s="3487"/>
    </row>
    <row r="658" spans="2:19" ht="9.75" customHeight="1">
      <c r="B658" s="253"/>
      <c r="C658" s="304"/>
      <c r="D658" s="305"/>
      <c r="E658" s="271"/>
      <c r="F658" s="339"/>
      <c r="G658" s="340"/>
      <c r="H658" s="271"/>
      <c r="I658" s="306"/>
      <c r="J658" s="306"/>
      <c r="K658" s="306"/>
      <c r="L658" s="306"/>
      <c r="M658" s="306"/>
      <c r="N658" s="306"/>
      <c r="O658" s="306"/>
      <c r="P658" s="307"/>
      <c r="Q658" s="257"/>
      <c r="S658" s="3487"/>
    </row>
    <row r="659" spans="2:19" ht="18" customHeight="1">
      <c r="B659" s="253"/>
      <c r="C659" s="255"/>
      <c r="D659" s="255"/>
      <c r="E659" s="256"/>
      <c r="F659" s="256"/>
      <c r="G659" s="256"/>
      <c r="H659" s="256"/>
      <c r="I659" s="256"/>
      <c r="J659" s="256"/>
      <c r="K659" s="256"/>
      <c r="L659" s="256"/>
      <c r="M659" s="256"/>
      <c r="N659" s="256"/>
      <c r="O659" s="256"/>
      <c r="P659" s="256"/>
      <c r="Q659" s="257"/>
      <c r="S659" s="3487"/>
    </row>
    <row r="660" spans="2:19" ht="16.5" customHeight="1">
      <c r="B660" s="253"/>
      <c r="C660" s="477" t="s">
        <v>3471</v>
      </c>
      <c r="D660" s="255"/>
      <c r="E660" s="256"/>
      <c r="F660" s="256"/>
      <c r="G660" s="256"/>
      <c r="H660" s="256"/>
      <c r="I660" s="256"/>
      <c r="J660" s="256"/>
      <c r="K660" s="256"/>
      <c r="L660" s="256"/>
      <c r="M660" s="256"/>
      <c r="N660" s="256"/>
      <c r="O660" s="256"/>
      <c r="P660" s="256"/>
      <c r="Q660" s="257"/>
      <c r="S660" s="3487"/>
    </row>
    <row r="661" spans="2:19" ht="4.5" customHeight="1">
      <c r="B661" s="253"/>
      <c r="C661" s="477"/>
      <c r="D661" s="255"/>
      <c r="E661" s="256"/>
      <c r="F661" s="256"/>
      <c r="G661" s="256"/>
      <c r="H661" s="256"/>
      <c r="I661" s="256"/>
      <c r="J661" s="256"/>
      <c r="K661" s="256"/>
      <c r="L661" s="256"/>
      <c r="M661" s="256"/>
      <c r="N661" s="256"/>
      <c r="O661" s="256"/>
      <c r="P661" s="256"/>
      <c r="Q661" s="257"/>
      <c r="S661" s="3487"/>
    </row>
    <row r="662" spans="2:19" ht="16.5" customHeight="1">
      <c r="B662" s="253"/>
      <c r="C662" s="477" t="s">
        <v>674</v>
      </c>
      <c r="D662" s="255"/>
      <c r="E662" s="256"/>
      <c r="F662" s="256"/>
      <c r="G662" s="256"/>
      <c r="H662" s="256"/>
      <c r="I662" s="256"/>
      <c r="J662" s="256"/>
      <c r="K662" s="256"/>
      <c r="L662" s="160"/>
      <c r="M662" s="256"/>
      <c r="N662" s="160"/>
      <c r="O662" s="256"/>
      <c r="P662" s="256"/>
      <c r="Q662" s="257"/>
      <c r="S662" s="3487"/>
    </row>
    <row r="663" spans="2:19" ht="19.5" customHeight="1">
      <c r="B663" s="253"/>
      <c r="C663" s="341" t="s">
        <v>675</v>
      </c>
      <c r="D663" s="255"/>
      <c r="E663" s="256"/>
      <c r="F663" s="256"/>
      <c r="G663" s="256"/>
      <c r="H663" s="256"/>
      <c r="I663" s="256"/>
      <c r="J663" s="256"/>
      <c r="K663" s="256"/>
      <c r="L663" s="256"/>
      <c r="M663" s="256"/>
      <c r="N663" s="256"/>
      <c r="O663" s="256"/>
      <c r="P663" s="256"/>
      <c r="Q663" s="257"/>
      <c r="S663" s="3487"/>
    </row>
    <row r="664" spans="2:19" ht="24" customHeight="1">
      <c r="B664" s="253"/>
      <c r="C664" s="613" t="s">
        <v>676</v>
      </c>
      <c r="D664" s="255"/>
      <c r="E664" s="256"/>
      <c r="F664" s="256"/>
      <c r="G664" s="256"/>
      <c r="H664" s="256"/>
      <c r="I664" s="256"/>
      <c r="J664" s="256"/>
      <c r="K664" s="256"/>
      <c r="L664" s="256"/>
      <c r="M664" s="256"/>
      <c r="N664" s="256"/>
      <c r="O664" s="256"/>
      <c r="P664" s="256"/>
      <c r="Q664" s="257"/>
      <c r="S664" s="3487"/>
    </row>
    <row r="665" spans="2:19" ht="17.25" customHeight="1">
      <c r="B665" s="253"/>
      <c r="C665" s="255"/>
      <c r="D665" s="255"/>
      <c r="E665" s="256"/>
      <c r="F665" s="256"/>
      <c r="G665" s="256"/>
      <c r="H665" s="256"/>
      <c r="I665" s="256"/>
      <c r="J665" s="256"/>
      <c r="K665" s="256"/>
      <c r="L665" s="256"/>
      <c r="M665" s="256"/>
      <c r="N665" s="256"/>
      <c r="O665" s="256"/>
      <c r="P665" s="256"/>
      <c r="Q665" s="257"/>
      <c r="S665" s="3487"/>
    </row>
    <row r="666" spans="2:19" ht="22.5" customHeight="1">
      <c r="B666" s="253"/>
      <c r="C666" s="160"/>
      <c r="D666" s="160"/>
      <c r="E666" s="160"/>
      <c r="F666" s="3449" t="s">
        <v>646</v>
      </c>
      <c r="G666" s="3450"/>
      <c r="H666" s="3450"/>
      <c r="I666" s="3450"/>
      <c r="J666" s="3450"/>
      <c r="K666" s="3449" t="s">
        <v>659</v>
      </c>
      <c r="L666" s="3450"/>
      <c r="M666" s="3450"/>
      <c r="N666" s="3450"/>
      <c r="O666" s="3450"/>
      <c r="P666" s="311"/>
      <c r="Q666" s="257"/>
      <c r="S666" s="3487"/>
    </row>
    <row r="667" spans="2:19" ht="3" customHeight="1">
      <c r="B667" s="253"/>
      <c r="C667" s="256"/>
      <c r="D667" s="256"/>
      <c r="E667" s="256"/>
      <c r="F667" s="256"/>
      <c r="G667" s="256"/>
      <c r="H667" s="256"/>
      <c r="I667" s="256"/>
      <c r="J667" s="256"/>
      <c r="K667" s="256"/>
      <c r="L667" s="256"/>
      <c r="M667" s="256"/>
      <c r="N667" s="256"/>
      <c r="O667" s="256"/>
      <c r="P667" s="256"/>
      <c r="Q667" s="257"/>
      <c r="S667" s="3487"/>
    </row>
    <row r="668" spans="2:19" ht="23.25" customHeight="1">
      <c r="B668" s="253"/>
      <c r="C668" s="3376" t="s">
        <v>677</v>
      </c>
      <c r="D668" s="3377"/>
      <c r="E668" s="3378"/>
      <c r="F668" s="3415" t="s">
        <v>712</v>
      </c>
      <c r="G668" s="3416"/>
      <c r="H668" s="3417" t="s">
        <v>713</v>
      </c>
      <c r="I668" s="3417"/>
      <c r="J668" s="3417"/>
      <c r="K668" s="3415" t="s">
        <v>712</v>
      </c>
      <c r="L668" s="3416"/>
      <c r="M668" s="3417" t="s">
        <v>713</v>
      </c>
      <c r="N668" s="3417"/>
      <c r="O668" s="3417"/>
      <c r="P668" s="342"/>
      <c r="Q668" s="257"/>
      <c r="S668" s="3487"/>
    </row>
    <row r="669" spans="2:19" ht="29.25" customHeight="1">
      <c r="B669" s="253"/>
      <c r="C669" s="3379"/>
      <c r="D669" s="3380"/>
      <c r="E669" s="3381"/>
      <c r="F669" s="471" t="s">
        <v>714</v>
      </c>
      <c r="G669" s="343" t="s">
        <v>95</v>
      </c>
      <c r="H669" s="463" t="s">
        <v>681</v>
      </c>
      <c r="I669" s="3374" t="s">
        <v>682</v>
      </c>
      <c r="J669" s="3375"/>
      <c r="K669" s="471" t="s">
        <v>714</v>
      </c>
      <c r="L669" s="343" t="s">
        <v>95</v>
      </c>
      <c r="M669" s="463" t="s">
        <v>681</v>
      </c>
      <c r="N669" s="3374" t="s">
        <v>682</v>
      </c>
      <c r="O669" s="3382"/>
      <c r="P669" s="3375"/>
      <c r="Q669" s="257"/>
      <c r="S669" s="3487"/>
    </row>
    <row r="670" spans="2:19" ht="21.75" customHeight="1">
      <c r="B670" s="1232"/>
      <c r="C670" s="677" t="s">
        <v>683</v>
      </c>
      <c r="D670" s="586"/>
      <c r="E670" s="8" t="s">
        <v>715</v>
      </c>
      <c r="F670" s="12" t="str">
        <f>IF(H670=1,"1- Débutant",IF(H670=2,"2- Élémentaire",IF(H670=3,"3- Intermédiaire",IF(H670=4,"4- Avancé",IF(H670=5,"5- Expert","")))))</f>
        <v/>
      </c>
      <c r="G670" s="13" t="str">
        <f>IF(OR(SUM(G671:G672)=0,H670=0),"",((SUM(G671:G672)/(2-I670)*2)*2))</f>
        <v/>
      </c>
      <c r="H670" s="528">
        <f>IF(I670=2,0,IF(I670=0,ROUNDDOWN(AVERAGE(G671:G672),0),ROUNDDOWN((SUM(G671:G672)/(2-I670)),0)))</f>
        <v>0</v>
      </c>
      <c r="I670" s="715">
        <f>COUNTIF(F671:F672,"Ne s'applique pas")</f>
        <v>0</v>
      </c>
      <c r="J670" s="18"/>
      <c r="K670" s="12" t="str">
        <f>IF(M670=1,"1- Débutant",IF(M670=2,"2- Élémentaire",IF(M670=3,"3- Intermédiaire",IF(M670=4,"4- Avancé",IF(M670=5,"5- Expert","")))))</f>
        <v/>
      </c>
      <c r="L670" s="13" t="str">
        <f>IF(OR(SUM(L671:L672)=0,M670=0),"",((SUM(L671:L672)/(2-N670)*2)*2))</f>
        <v/>
      </c>
      <c r="M670" s="528">
        <f>IF(N670=2,0,IF(N670=0,ROUNDDOWN(AVERAGE(L671:L672),0),ROUNDDOWN((SUM(L671:L672)/(2-N670)),0)))</f>
        <v>0</v>
      </c>
      <c r="N670" s="715">
        <f>COUNTIF(K671:K672,"Ne s'applique pas")</f>
        <v>0</v>
      </c>
      <c r="O670" s="3257"/>
      <c r="P670" s="3258"/>
      <c r="Q670" s="257"/>
      <c r="S670" s="3487"/>
    </row>
    <row r="671" spans="2:19" ht="18" customHeight="1">
      <c r="B671" s="486" t="str">
        <f>IF(OR(ISBLANK(F671),ISBLANK(K671))=FALSE,"","u")</f>
        <v>u</v>
      </c>
      <c r="C671" s="3259" t="s">
        <v>716</v>
      </c>
      <c r="D671" s="3260"/>
      <c r="E671" s="3261"/>
      <c r="F671" s="674"/>
      <c r="G671" s="14">
        <f>IF(F671=$E$653,1,IF(F671=$E$654,2,IF(F671=$E$655,3,IF(F671=$E$656,4,IF(F671=$E$657,5,0)))))</f>
        <v>0</v>
      </c>
      <c r="H671" s="2997"/>
      <c r="I671" s="3254"/>
      <c r="J671" s="3256"/>
      <c r="K671" s="674"/>
      <c r="L671" s="14">
        <f>IF(K671=$E$653,1,IF(K671=$E$654,2,IF(K671=$E$655,3,IF(K671=$E$656,4,IF(K671=$E$657,5,0)))))</f>
        <v>0</v>
      </c>
      <c r="M671" s="2997"/>
      <c r="N671" s="3254"/>
      <c r="O671" s="3255"/>
      <c r="P671" s="3256"/>
      <c r="Q671" s="257"/>
      <c r="S671" s="3487"/>
    </row>
    <row r="672" spans="2:19" ht="18" customHeight="1">
      <c r="B672" s="486" t="str">
        <f>IF(OR(ISBLANK(F672),ISBLANK(K672))=FALSE,"","u")</f>
        <v>u</v>
      </c>
      <c r="C672" s="3259" t="s">
        <v>717</v>
      </c>
      <c r="D672" s="3260"/>
      <c r="E672" s="3261"/>
      <c r="F672" s="674"/>
      <c r="G672" s="522">
        <f>IF(F672=$E$653,1,IF(F672=$E$654,2,IF(F672=$E$655,3,IF(F672=$E$656,4,IF(F672=$E$657,5,0)))))</f>
        <v>0</v>
      </c>
      <c r="H672" s="2997"/>
      <c r="I672" s="3254"/>
      <c r="J672" s="3256"/>
      <c r="K672" s="674"/>
      <c r="L672" s="522">
        <f>IF(K672=$E$653,1,IF(K672=$E$654,2,IF(K672=$E$655,3,IF(K672=$E$656,4,IF(K672=$E$657,5,0)))))</f>
        <v>0</v>
      </c>
      <c r="M672" s="2997"/>
      <c r="N672" s="3254"/>
      <c r="O672" s="3255"/>
      <c r="P672" s="3256"/>
      <c r="Q672" s="257"/>
      <c r="S672" s="3487"/>
    </row>
    <row r="673" spans="2:19" ht="35.25" customHeight="1">
      <c r="B673" s="486"/>
      <c r="C673" s="3248" t="s">
        <v>691</v>
      </c>
      <c r="D673" s="3249"/>
      <c r="E673" s="3250"/>
      <c r="F673" s="3251"/>
      <c r="G673" s="3252"/>
      <c r="H673" s="3252"/>
      <c r="I673" s="3252"/>
      <c r="J673" s="3252"/>
      <c r="K673" s="3251"/>
      <c r="L673" s="3252"/>
      <c r="M673" s="3252"/>
      <c r="N673" s="3252"/>
      <c r="O673" s="3252"/>
      <c r="P673" s="3253"/>
      <c r="Q673" s="257"/>
      <c r="S673" s="3487"/>
    </row>
    <row r="674" spans="2:19" ht="21.75" customHeight="1">
      <c r="B674" s="1232"/>
      <c r="C674" s="677" t="s">
        <v>692</v>
      </c>
      <c r="D674" s="328"/>
      <c r="E674" s="8" t="s">
        <v>715</v>
      </c>
      <c r="F674" s="12" t="str">
        <f>IF(H674=1,"1- Débutant",IF(H674=2,"2- Élémentaire",IF(H674=3,"3- Intermédiaire",IF(H674=4,"4- Avancé",IF(H674=5,"5- Expert","")))))</f>
        <v/>
      </c>
      <c r="G674" s="13" t="str">
        <f>IF(SUM(G675:G676)=0,"",ROUNDDOWN(AVERAGE(G675:G676)/5*20,))</f>
        <v/>
      </c>
      <c r="H674" s="462">
        <f>ROUNDDOWN(AVERAGE(G675:G676),0)</f>
        <v>0</v>
      </c>
      <c r="I674" s="16"/>
      <c r="J674" s="18"/>
      <c r="K674" s="12" t="str">
        <f>IF(M674=1,"1- Débutant",IF(M674=2,"2- Élémentaire",IF(M674=3,"3- Intermédiaire",IF(M674=4,"4- Avancé",IF(M674=5,"5- Expert","")))))</f>
        <v/>
      </c>
      <c r="L674" s="13" t="str">
        <f>IF(SUM(L675:L676)=0,"",ROUNDDOWN(AVERAGE(L675:L676)/5*20,))</f>
        <v/>
      </c>
      <c r="M674" s="462">
        <f>ROUNDDOWN(AVERAGE(L675:L676),0)</f>
        <v>0</v>
      </c>
      <c r="N674" s="16"/>
      <c r="O674" s="3257"/>
      <c r="P674" s="3258"/>
      <c r="Q674" s="257"/>
      <c r="S674" s="3487"/>
    </row>
    <row r="675" spans="2:19" ht="18" customHeight="1">
      <c r="B675" s="486" t="str">
        <f>IF(OR(ISBLANK(F675),ISBLANK(K675))=FALSE,"","u")</f>
        <v>u</v>
      </c>
      <c r="C675" s="3259" t="s">
        <v>718</v>
      </c>
      <c r="D675" s="3260"/>
      <c r="E675" s="3261"/>
      <c r="F675" s="674"/>
      <c r="G675" s="14">
        <f>IF(F675=$E$653,1,IF(F675=$E$654,2,IF(F675=$E$655,3,IF(F675=$E$656,4,IF(F675=$E$657,5,0)))))</f>
        <v>0</v>
      </c>
      <c r="H675" s="2997"/>
      <c r="I675" s="3254"/>
      <c r="J675" s="3256"/>
      <c r="K675" s="674"/>
      <c r="L675" s="14">
        <f>IF(K675=$E$653,1,IF(K675=$E$654,2,IF(K675=$E$655,3,IF(K675=$E$656,4,IF(K675=$E$657,5,0)))))</f>
        <v>0</v>
      </c>
      <c r="M675" s="2997"/>
      <c r="N675" s="3254"/>
      <c r="O675" s="3255"/>
      <c r="P675" s="3256"/>
      <c r="Q675" s="257"/>
      <c r="S675" s="3487"/>
    </row>
    <row r="676" spans="2:19" ht="18" customHeight="1">
      <c r="B676" s="486" t="str">
        <f>IF(OR(ISBLANK(F676),ISBLANK(K676))=FALSE,"","u")</f>
        <v>u</v>
      </c>
      <c r="C676" s="3259" t="s">
        <v>719</v>
      </c>
      <c r="D676" s="3260"/>
      <c r="E676" s="3261"/>
      <c r="F676" s="674"/>
      <c r="G676" s="14">
        <f>IF(F676=$E$653,1,IF(F676=$E$654,2,IF(F676=$E$655,3,IF(F676=$E$656,4,IF(F676=$E$657,5,0)))))</f>
        <v>0</v>
      </c>
      <c r="H676" s="2997"/>
      <c r="I676" s="3254"/>
      <c r="J676" s="3256"/>
      <c r="K676" s="674"/>
      <c r="L676" s="14">
        <f>IF(K676=$E$653,1,IF(K676=$E$654,2,IF(K676=$E$655,3,IF(K676=$E$656,4,IF(K676=$E$657,5,0)))))</f>
        <v>0</v>
      </c>
      <c r="M676" s="2997"/>
      <c r="N676" s="3254"/>
      <c r="O676" s="3255"/>
      <c r="P676" s="3256"/>
      <c r="Q676" s="257"/>
      <c r="S676" s="3487"/>
    </row>
    <row r="677" spans="2:19" ht="35.25" customHeight="1">
      <c r="B677" s="486"/>
      <c r="C677" s="3248" t="s">
        <v>691</v>
      </c>
      <c r="D677" s="3249"/>
      <c r="E677" s="3250"/>
      <c r="F677" s="3251"/>
      <c r="G677" s="3252"/>
      <c r="H677" s="3252"/>
      <c r="I677" s="3252"/>
      <c r="J677" s="3252"/>
      <c r="K677" s="3251"/>
      <c r="L677" s="3252"/>
      <c r="M677" s="3252"/>
      <c r="N677" s="3252"/>
      <c r="O677" s="3252"/>
      <c r="P677" s="3253"/>
      <c r="Q677" s="257"/>
      <c r="S677" s="3487"/>
    </row>
    <row r="678" spans="2:19" ht="21.75" customHeight="1">
      <c r="B678" s="1232"/>
      <c r="C678" s="677" t="s">
        <v>601</v>
      </c>
      <c r="D678" s="328"/>
      <c r="E678" s="8" t="s">
        <v>693</v>
      </c>
      <c r="F678" s="12" t="str">
        <f>IF(H678=1,"1- Débutant",IF(H678=2,"2- Élémentaire",IF(H678=3,"3- Intermédiaire",IF(H678=4,"4- Avancé",IF(H678=5,"5- Expert","")))))</f>
        <v/>
      </c>
      <c r="G678" s="13" t="str">
        <f>IF(G679=0,"",G679*2)</f>
        <v/>
      </c>
      <c r="H678" s="462">
        <f>ROUNDDOWN(AVERAGE(G679),0)</f>
        <v>0</v>
      </c>
      <c r="I678" s="16"/>
      <c r="J678" s="18"/>
      <c r="K678" s="12" t="str">
        <f>IF(M678=1,"1- Débutant",IF(M678=2,"2- Élémentaire",IF(M678=3,"3- Intermédiaire",IF(M678=4,"4- Avancé",IF(M678=5,"5- Expert","")))))</f>
        <v/>
      </c>
      <c r="L678" s="13" t="str">
        <f>IF(L679=0,"",L679*2)</f>
        <v/>
      </c>
      <c r="M678" s="462">
        <f>ROUNDDOWN(AVERAGE(L679),0)</f>
        <v>0</v>
      </c>
      <c r="N678" s="16"/>
      <c r="O678" s="3257"/>
      <c r="P678" s="3258"/>
      <c r="Q678" s="257"/>
      <c r="S678" s="3487"/>
    </row>
    <row r="679" spans="2:19" ht="18" customHeight="1">
      <c r="B679" s="486" t="str">
        <f>IF(OR(ISBLANK(F679),ISBLANK(K679))=FALSE,"","u")</f>
        <v>u</v>
      </c>
      <c r="C679" s="3259" t="s">
        <v>720</v>
      </c>
      <c r="D679" s="3260"/>
      <c r="E679" s="3261"/>
      <c r="F679" s="674"/>
      <c r="G679" s="522">
        <f>IF(F679=$E$653,1,IF(F679=$E$654,2,IF(F679=$E$655,3,IF(F679=$E$656,4,IF(F679=$E$657,5,0)))))</f>
        <v>0</v>
      </c>
      <c r="H679" s="2997"/>
      <c r="I679" s="3254"/>
      <c r="J679" s="3256"/>
      <c r="K679" s="674"/>
      <c r="L679" s="522">
        <f>IF(K679=$E$653,1,IF(K679=$E$654,2,IF(K679=$E$655,3,IF(K679=$E$656,4,IF(K679=$E$657,5,0)))))</f>
        <v>0</v>
      </c>
      <c r="M679" s="2997"/>
      <c r="N679" s="3254"/>
      <c r="O679" s="3255"/>
      <c r="P679" s="3256"/>
      <c r="Q679" s="257"/>
      <c r="S679" s="3487"/>
    </row>
    <row r="680" spans="2:19" ht="35.25" customHeight="1">
      <c r="B680" s="486"/>
      <c r="C680" s="3248" t="s">
        <v>691</v>
      </c>
      <c r="D680" s="3249"/>
      <c r="E680" s="3250"/>
      <c r="F680" s="3251"/>
      <c r="G680" s="3252"/>
      <c r="H680" s="3252"/>
      <c r="I680" s="3252"/>
      <c r="J680" s="3252"/>
      <c r="K680" s="3251"/>
      <c r="L680" s="3252"/>
      <c r="M680" s="3252"/>
      <c r="N680" s="3252"/>
      <c r="O680" s="3252"/>
      <c r="P680" s="3253"/>
      <c r="Q680" s="257"/>
      <c r="S680" s="3487"/>
    </row>
    <row r="681" spans="2:19" ht="21.75" customHeight="1">
      <c r="B681" s="1232"/>
      <c r="C681" s="677" t="s">
        <v>698</v>
      </c>
      <c r="D681" s="328"/>
      <c r="E681" s="8" t="s">
        <v>693</v>
      </c>
      <c r="F681" s="12" t="str">
        <f>IF(H681=1,"1- Débutant",IF(H681=2,"2- Élémentaire",IF(H681=3,"3- Intermédiaire",IF(H681=4,"4- Avancé",IF(H681=5,"5- Expert","")))))</f>
        <v/>
      </c>
      <c r="G681" s="13" t="str">
        <f>IF(G682=0,"",G682*2)</f>
        <v/>
      </c>
      <c r="H681" s="462">
        <f>ROUNDDOWN(AVERAGE(G682),0)</f>
        <v>0</v>
      </c>
      <c r="I681" s="16"/>
      <c r="J681" s="18"/>
      <c r="K681" s="12" t="str">
        <f>IF(M681=1,"1- Débutant",IF(M681=2,"2- Élémentaire",IF(M681=3,"3- Intermédiaire",IF(M681=4,"4- Avancé",IF(M681=5,"5- Expert","")))))</f>
        <v/>
      </c>
      <c r="L681" s="13" t="str">
        <f>IF(L682=0,"",L682*2)</f>
        <v/>
      </c>
      <c r="M681" s="462">
        <f>ROUNDDOWN(AVERAGE(L682),0)</f>
        <v>0</v>
      </c>
      <c r="N681" s="16"/>
      <c r="O681" s="3257"/>
      <c r="P681" s="3258"/>
      <c r="Q681" s="257"/>
      <c r="S681" s="3487"/>
    </row>
    <row r="682" spans="2:19" ht="18" customHeight="1">
      <c r="B682" s="486" t="str">
        <f>IF(OR(ISBLANK(F682),ISBLANK(K682))=FALSE,"","u")</f>
        <v>u</v>
      </c>
      <c r="C682" s="3259" t="s">
        <v>721</v>
      </c>
      <c r="D682" s="3260"/>
      <c r="E682" s="3261"/>
      <c r="F682" s="674"/>
      <c r="G682" s="522">
        <f>IF(F682=$E$653,1,IF(F682=$E$654,2,IF(F682=$E$655,3,IF(F682=$E$656,4,IF(F682=$E$657,5,0)))))</f>
        <v>0</v>
      </c>
      <c r="H682" s="2997"/>
      <c r="I682" s="3254"/>
      <c r="J682" s="3256"/>
      <c r="K682" s="674"/>
      <c r="L682" s="522">
        <f>IF(K682=$E$653,1,IF(K682=$E$654,2,IF(K682=$E$655,3,IF(K682=$E$656,4,IF(K682=$E$657,5,0)))))</f>
        <v>0</v>
      </c>
      <c r="M682" s="2997"/>
      <c r="N682" s="3254"/>
      <c r="O682" s="3255"/>
      <c r="P682" s="3256"/>
      <c r="Q682" s="257"/>
      <c r="S682" s="3487"/>
    </row>
    <row r="683" spans="2:19" ht="35.25" customHeight="1">
      <c r="B683" s="486"/>
      <c r="C683" s="3248" t="s">
        <v>691</v>
      </c>
      <c r="D683" s="3249"/>
      <c r="E683" s="3250"/>
      <c r="F683" s="3251"/>
      <c r="G683" s="3252"/>
      <c r="H683" s="3252"/>
      <c r="I683" s="3252"/>
      <c r="J683" s="3252"/>
      <c r="K683" s="3251"/>
      <c r="L683" s="3252"/>
      <c r="M683" s="3252"/>
      <c r="N683" s="3252"/>
      <c r="O683" s="3252"/>
      <c r="P683" s="3253"/>
      <c r="Q683" s="257"/>
      <c r="S683" s="3487"/>
    </row>
    <row r="684" spans="2:19" ht="21.75" customHeight="1">
      <c r="B684" s="1232"/>
      <c r="C684" s="677" t="s">
        <v>701</v>
      </c>
      <c r="D684" s="679"/>
      <c r="E684" s="8" t="s">
        <v>693</v>
      </c>
      <c r="F684" s="12" t="str">
        <f>IF(H684=1,"1- Débutant",IF(H684=2,"2- Élémentaire",IF(H684=3,"3- Intermédiaire",IF(H684=4,"4- Avancé",IF(H684=5,"5- Expert","")))))</f>
        <v/>
      </c>
      <c r="G684" s="13" t="str">
        <f>IF(SUM(G685:G686)=0,"",SUM(G685:G686))</f>
        <v/>
      </c>
      <c r="H684" s="462">
        <f>ROUNDDOWN(AVERAGE(G685:G686),0)</f>
        <v>0</v>
      </c>
      <c r="I684" s="16"/>
      <c r="J684" s="18"/>
      <c r="K684" s="12" t="str">
        <f>IF(M684=1,"1- Débutant",IF(M684=2,"2- Élémentaire",IF(M684=3,"3- Intermédiaire",IF(M684=4,"4- Avancé",IF(M684=5,"5- Expert","")))))</f>
        <v/>
      </c>
      <c r="L684" s="13" t="str">
        <f>IF(SUM(L685:L686)=0,"",SUM(L685:L686))</f>
        <v/>
      </c>
      <c r="M684" s="462">
        <f>ROUNDDOWN(AVERAGE(L685:L686),0)</f>
        <v>0</v>
      </c>
      <c r="N684" s="16"/>
      <c r="O684" s="3257"/>
      <c r="P684" s="3258"/>
      <c r="Q684" s="257"/>
      <c r="S684" s="3487"/>
    </row>
    <row r="685" spans="2:19" ht="18" customHeight="1">
      <c r="B685" s="486" t="str">
        <f>IF(OR(ISBLANK(F685),ISBLANK(K685))=FALSE,"","u")</f>
        <v>u</v>
      </c>
      <c r="C685" s="3259" t="s">
        <v>722</v>
      </c>
      <c r="D685" s="3260"/>
      <c r="E685" s="3261"/>
      <c r="F685" s="674"/>
      <c r="G685" s="14">
        <f>IF(F685=$E$653,1,IF(F685=$E$654,2,IF(F685=$E$655,3,IF(F685=$E$656,4,IF(F685=$E$657,5,0)))))</f>
        <v>0</v>
      </c>
      <c r="H685" s="2997"/>
      <c r="I685" s="3254"/>
      <c r="J685" s="3256"/>
      <c r="K685" s="674"/>
      <c r="L685" s="14">
        <f>IF(K685=$E$653,1,IF(K685=$E$654,2,IF(K685=$E$655,3,IF(K685=$E$656,4,IF(K685=$E$657,5,0)))))</f>
        <v>0</v>
      </c>
      <c r="M685" s="2997"/>
      <c r="N685" s="3254"/>
      <c r="O685" s="3255"/>
      <c r="P685" s="3256"/>
      <c r="Q685" s="257"/>
      <c r="S685" s="3487"/>
    </row>
    <row r="686" spans="2:19" ht="18" customHeight="1">
      <c r="B686" s="486" t="str">
        <f>IF(OR(ISBLANK(F686),ISBLANK(K686))=FALSE,"","u")</f>
        <v>u</v>
      </c>
      <c r="C686" s="3259" t="s">
        <v>723</v>
      </c>
      <c r="D686" s="3260"/>
      <c r="E686" s="3261"/>
      <c r="F686" s="674"/>
      <c r="G686" s="522">
        <f>IF(F686=$E$653,1,IF(F686=$E$654,2,IF(F686=$E$655,3,IF(F686=$E$656,4,IF(F686=$E$657,5,0)))))</f>
        <v>0</v>
      </c>
      <c r="H686" s="2997"/>
      <c r="I686" s="3254"/>
      <c r="J686" s="3256"/>
      <c r="K686" s="674"/>
      <c r="L686" s="522">
        <f>IF(K686=$E$653,1,IF(K686=$E$654,2,IF(K686=$E$655,3,IF(K686=$E$656,4,IF(K686=$E$657,5,0)))))</f>
        <v>0</v>
      </c>
      <c r="M686" s="2997"/>
      <c r="N686" s="3254"/>
      <c r="O686" s="3255"/>
      <c r="P686" s="3256"/>
      <c r="Q686" s="257"/>
      <c r="S686" s="3487"/>
    </row>
    <row r="687" spans="2:19" ht="35.25" customHeight="1">
      <c r="B687" s="486"/>
      <c r="C687" s="3248" t="s">
        <v>691</v>
      </c>
      <c r="D687" s="3249"/>
      <c r="E687" s="3250"/>
      <c r="F687" s="3251"/>
      <c r="G687" s="3252"/>
      <c r="H687" s="3252"/>
      <c r="I687" s="3252"/>
      <c r="J687" s="3252"/>
      <c r="K687" s="3251"/>
      <c r="L687" s="3252"/>
      <c r="M687" s="3252"/>
      <c r="N687" s="3252"/>
      <c r="O687" s="3252"/>
      <c r="P687" s="3253"/>
      <c r="Q687" s="257"/>
      <c r="S687" s="3487"/>
    </row>
    <row r="688" spans="2:19" ht="21.75" customHeight="1">
      <c r="B688" s="1232"/>
      <c r="C688" s="677" t="s">
        <v>704</v>
      </c>
      <c r="D688" s="679"/>
      <c r="E688" s="8" t="s">
        <v>693</v>
      </c>
      <c r="F688" s="12" t="str">
        <f>IF(H688=1,"1- Débutant",IF(H688=2,"2- Élémentaire",IF(H688=3,"3- Intermédiaire",IF(H688=4,"4- Avancé",IF(H688=5,"5- Expert","")))))</f>
        <v/>
      </c>
      <c r="G688" s="13" t="str">
        <f>IF(SUM(G689:G690)=0,"",SUM(G689:G690))</f>
        <v/>
      </c>
      <c r="H688" s="462">
        <f>ROUNDDOWN(AVERAGE(G689:G690),0)</f>
        <v>0</v>
      </c>
      <c r="I688" s="16"/>
      <c r="J688" s="18"/>
      <c r="K688" s="12" t="str">
        <f>IF(M688=1,"1- Débutant",IF(M688=2,"2- Élémentaire",IF(M688=3,"3- Intermédiaire",IF(M688=4,"4- Avancé",IF(M688=5,"5- Expert","")))))</f>
        <v/>
      </c>
      <c r="L688" s="13" t="str">
        <f>IF(SUM(L689:L690)=0,"",SUM(L689:L690))</f>
        <v/>
      </c>
      <c r="M688" s="462">
        <f>ROUNDDOWN(AVERAGE(L689:L690),0)</f>
        <v>0</v>
      </c>
      <c r="N688" s="16"/>
      <c r="O688" s="3257"/>
      <c r="P688" s="3258"/>
      <c r="Q688" s="257"/>
      <c r="S688" s="3487"/>
    </row>
    <row r="689" spans="2:19" ht="18" customHeight="1">
      <c r="B689" s="486" t="str">
        <f>IF(OR(ISBLANK(F689),ISBLANK(K689))=FALSE,"","u")</f>
        <v>u</v>
      </c>
      <c r="C689" s="3259" t="s">
        <v>724</v>
      </c>
      <c r="D689" s="3260"/>
      <c r="E689" s="3261"/>
      <c r="F689" s="674"/>
      <c r="G689" s="14">
        <f>IF(F689=$E$653,1,IF(F689=$E$654,2,IF(F689=$E$655,3,IF(F689=$E$656,4,IF(F689=$E$657,5,0)))))</f>
        <v>0</v>
      </c>
      <c r="H689" s="2997"/>
      <c r="I689" s="3254"/>
      <c r="J689" s="3256"/>
      <c r="K689" s="674"/>
      <c r="L689" s="14">
        <f>IF(K689=$E$653,1,IF(K689=$E$654,2,IF(K689=$E$655,3,IF(K689=$E$656,4,IF(K689=$E$657,5,0)))))</f>
        <v>0</v>
      </c>
      <c r="M689" s="2997"/>
      <c r="N689" s="3254"/>
      <c r="O689" s="3255"/>
      <c r="P689" s="3256"/>
      <c r="Q689" s="257"/>
      <c r="S689" s="3487"/>
    </row>
    <row r="690" spans="2:19" ht="18" customHeight="1">
      <c r="B690" s="486" t="str">
        <f>IF(OR(ISBLANK(F690),ISBLANK(K690))=FALSE,"","u")</f>
        <v>u</v>
      </c>
      <c r="C690" s="3259" t="s">
        <v>725</v>
      </c>
      <c r="D690" s="3260"/>
      <c r="E690" s="3261"/>
      <c r="F690" s="674"/>
      <c r="G690" s="522">
        <f>IF(F690=$E$653,1,IF(F690=$E$654,2,IF(F690=$E$655,3,IF(F690=$E$656,4,IF(F690=$E$657,5,0)))))</f>
        <v>0</v>
      </c>
      <c r="H690" s="2997"/>
      <c r="I690" s="3254"/>
      <c r="J690" s="3256"/>
      <c r="K690" s="674"/>
      <c r="L690" s="522">
        <f>IF(K690=$E$653,1,IF(K690=$E$654,2,IF(K690=$E$655,3,IF(K690=$E$656,4,IF(K690=$E$657,5,0)))))</f>
        <v>0</v>
      </c>
      <c r="M690" s="2997"/>
      <c r="N690" s="3254"/>
      <c r="O690" s="3255"/>
      <c r="P690" s="3256"/>
      <c r="Q690" s="257"/>
      <c r="S690" s="3487"/>
    </row>
    <row r="691" spans="2:19" ht="35.25" customHeight="1">
      <c r="B691" s="486"/>
      <c r="C691" s="3248" t="s">
        <v>691</v>
      </c>
      <c r="D691" s="3249"/>
      <c r="E691" s="3250"/>
      <c r="F691" s="3251"/>
      <c r="G691" s="3252"/>
      <c r="H691" s="3252"/>
      <c r="I691" s="3252"/>
      <c r="J691" s="3252"/>
      <c r="K691" s="3251"/>
      <c r="L691" s="3252"/>
      <c r="M691" s="3252"/>
      <c r="N691" s="3252"/>
      <c r="O691" s="3252"/>
      <c r="P691" s="3253"/>
      <c r="Q691" s="257"/>
      <c r="S691" s="3487"/>
    </row>
    <row r="692" spans="2:19" ht="21.75" customHeight="1">
      <c r="B692" s="1232"/>
      <c r="C692" s="678" t="s">
        <v>706</v>
      </c>
      <c r="D692" s="328"/>
      <c r="E692" s="8" t="s">
        <v>702</v>
      </c>
      <c r="F692" s="12" t="str">
        <f>IF(H692=1,"1- Débutant",IF(H692=2,"2- Élémentaire",IF(H692=3,"3- Intermédiaire",IF(H692=4,"4- Avancé",IF(H692=5,"5- Expert","")))))</f>
        <v/>
      </c>
      <c r="G692" s="13" t="str">
        <f>IF(SUM(G693:G695)=0,"",SUM(G693:G695))</f>
        <v/>
      </c>
      <c r="H692" s="462">
        <f>ROUNDDOWN(AVERAGE(G693:G695),0)</f>
        <v>0</v>
      </c>
      <c r="I692" s="16"/>
      <c r="J692" s="18"/>
      <c r="K692" s="12" t="str">
        <f>IF(M692=1,"1- Débutant",IF(M692=2,"2- Élémentaire",IF(M692=3,"3- Intermédiaire",IF(M692=4,"4- Avancé",IF(M692=5,"5- Expert","")))))</f>
        <v/>
      </c>
      <c r="L692" s="13" t="str">
        <f>IF(SUM(L693:L695)=0,"",SUM(L693:L695))</f>
        <v/>
      </c>
      <c r="M692" s="462">
        <f>ROUNDDOWN(AVERAGE(L693:L695),0)</f>
        <v>0</v>
      </c>
      <c r="N692" s="16"/>
      <c r="O692" s="3257"/>
      <c r="P692" s="3258"/>
      <c r="Q692" s="257"/>
      <c r="S692" s="3487"/>
    </row>
    <row r="693" spans="2:19" ht="18" customHeight="1">
      <c r="B693" s="486" t="str">
        <f>IF(OR(ISBLANK(F693),ISBLANK(K693))=FALSE,"","u")</f>
        <v>u</v>
      </c>
      <c r="C693" s="3259" t="s">
        <v>726</v>
      </c>
      <c r="D693" s="3260"/>
      <c r="E693" s="3261"/>
      <c r="F693" s="674"/>
      <c r="G693" s="14">
        <f>IF(F693=$E$653,1,IF(F693=$E$654,2,IF(F693=$E$655,3,IF(F693=$E$656,4,IF(F693=$E$657,5,0)))))</f>
        <v>0</v>
      </c>
      <c r="H693" s="2997"/>
      <c r="I693" s="3254"/>
      <c r="J693" s="3256"/>
      <c r="K693" s="674"/>
      <c r="L693" s="14">
        <f>IF(K693=$E$653,1,IF(K693=$E$654,2,IF(K693=$E$655,3,IF(K693=$E$656,4,IF(K693=$E$657,5,0)))))</f>
        <v>0</v>
      </c>
      <c r="M693" s="2997"/>
      <c r="N693" s="3254"/>
      <c r="O693" s="3255"/>
      <c r="P693" s="3256"/>
      <c r="Q693" s="257"/>
      <c r="S693" s="3487"/>
    </row>
    <row r="694" spans="2:19" ht="17.25" customHeight="1">
      <c r="B694" s="486" t="str">
        <f>IF(OR(ISBLANK(F694),ISBLANK(K694))=FALSE,"","u")</f>
        <v>u</v>
      </c>
      <c r="C694" s="3259" t="s">
        <v>727</v>
      </c>
      <c r="D694" s="3260"/>
      <c r="E694" s="3261"/>
      <c r="F694" s="674"/>
      <c r="G694" s="14">
        <f>IF(F694=$E$653,1,IF(F694=$E$654,2,IF(F694=$E$655,3,IF(F694=$E$656,4,IF(F694=$E$657,5,0)))))</f>
        <v>0</v>
      </c>
      <c r="H694" s="2997"/>
      <c r="I694" s="3254"/>
      <c r="J694" s="3256"/>
      <c r="K694" s="674"/>
      <c r="L694" s="14">
        <f>IF(K694=$E$653,1,IF(K694=$E$654,2,IF(K694=$E$655,3,IF(K694=$E$656,4,IF(K694=$E$657,5,0)))))</f>
        <v>0</v>
      </c>
      <c r="M694" s="2997"/>
      <c r="N694" s="3254"/>
      <c r="O694" s="3255"/>
      <c r="P694" s="3256"/>
      <c r="Q694" s="257"/>
      <c r="S694" s="3487"/>
    </row>
    <row r="695" spans="2:19" ht="18" customHeight="1">
      <c r="B695" s="486" t="str">
        <f>IF(OR(ISBLANK(F695),ISBLANK(K695))=FALSE,"","u")</f>
        <v>u</v>
      </c>
      <c r="C695" s="3259" t="s">
        <v>728</v>
      </c>
      <c r="D695" s="3260"/>
      <c r="E695" s="3261"/>
      <c r="F695" s="674"/>
      <c r="G695" s="522">
        <f>IF(F695=$E$653,1,IF(F695=$E$654,2,IF(F695=$E$655,3,IF(F695=$E$656,4,IF(F695=$E$657,5,0)))))</f>
        <v>0</v>
      </c>
      <c r="H695" s="2997"/>
      <c r="I695" s="3254"/>
      <c r="J695" s="3256"/>
      <c r="K695" s="674"/>
      <c r="L695" s="522">
        <f>IF(K695=$E$653,1,IF(K695=$E$654,2,IF(K695=$E$655,3,IF(K695=$E$656,4,IF(K695=$E$657,5,0)))))</f>
        <v>0</v>
      </c>
      <c r="M695" s="2997"/>
      <c r="N695" s="3254"/>
      <c r="O695" s="3255"/>
      <c r="P695" s="3256"/>
      <c r="Q695" s="257"/>
      <c r="S695" s="3487"/>
    </row>
    <row r="696" spans="2:19" ht="35.25" customHeight="1">
      <c r="B696" s="486"/>
      <c r="C696" s="3248" t="s">
        <v>691</v>
      </c>
      <c r="D696" s="3249"/>
      <c r="E696" s="3250"/>
      <c r="F696" s="3251"/>
      <c r="G696" s="3252"/>
      <c r="H696" s="3252"/>
      <c r="I696" s="3252"/>
      <c r="J696" s="3252"/>
      <c r="K696" s="3251"/>
      <c r="L696" s="3252"/>
      <c r="M696" s="3252"/>
      <c r="N696" s="3252"/>
      <c r="O696" s="3252"/>
      <c r="P696" s="3253"/>
      <c r="Q696" s="257"/>
      <c r="S696" s="3487"/>
    </row>
    <row r="697" spans="2:19" ht="21.75" customHeight="1">
      <c r="B697" s="1232"/>
      <c r="C697" s="677" t="s">
        <v>729</v>
      </c>
      <c r="D697" s="328"/>
      <c r="E697" s="8" t="s">
        <v>730</v>
      </c>
      <c r="F697" s="12" t="str">
        <f>IF(H697=1,"1- Débutant",IF(H697=2,"2- Élémentaire",IF(H697=3,"3- Intermédiaire",IF(H697=4,"4- Avancé",IF(H697=5,"5- Expert","")))))</f>
        <v/>
      </c>
      <c r="G697" s="13" t="str">
        <f>IF(G698=0,"",G698)</f>
        <v/>
      </c>
      <c r="H697" s="462">
        <f>ROUNDDOWN(AVERAGE(G698),0)</f>
        <v>0</v>
      </c>
      <c r="I697" s="16"/>
      <c r="J697" s="18"/>
      <c r="K697" s="12" t="str">
        <f>IF(M697=1,"1- Débutant",IF(M697=2,"2- Élémentaire",IF(M697=3,"3- Intermédiaire",IF(M697=4,"4- Avancé",IF(M697=5,"5- Expert","")))))</f>
        <v/>
      </c>
      <c r="L697" s="13" t="str">
        <f>IF(L698=0,"",L698)</f>
        <v/>
      </c>
      <c r="M697" s="462">
        <f>ROUNDDOWN(AVERAGE(L698),0)</f>
        <v>0</v>
      </c>
      <c r="N697" s="16"/>
      <c r="O697" s="3257"/>
      <c r="P697" s="3258"/>
      <c r="Q697" s="257"/>
      <c r="S697" s="3487"/>
    </row>
    <row r="698" spans="2:19" ht="18" customHeight="1">
      <c r="B698" s="486" t="str">
        <f>IF(OR(ISBLANK(F698),ISBLANK(K698))=FALSE,"","u")</f>
        <v>u</v>
      </c>
      <c r="C698" s="3262" t="s">
        <v>731</v>
      </c>
      <c r="D698" s="3263"/>
      <c r="E698" s="3264"/>
      <c r="F698" s="674"/>
      <c r="G698" s="522">
        <f>IF(F698=$E$653,1,IF(F698=$E$654,2,IF(F698=$E$655,3,IF(F698=$E$656,4,IF(F698=$E$657,5,0)))))</f>
        <v>0</v>
      </c>
      <c r="H698" s="2997"/>
      <c r="I698" s="3254"/>
      <c r="J698" s="3256"/>
      <c r="K698" s="674"/>
      <c r="L698" s="522">
        <f>IF(K698=$E$653,1,IF(K698=$E$654,2,IF(K698=$E$655,3,IF(K698=$E$656,4,IF(K698=$E$657,5,0)))))</f>
        <v>0</v>
      </c>
      <c r="M698" s="2997"/>
      <c r="N698" s="3254"/>
      <c r="O698" s="3255"/>
      <c r="P698" s="3256"/>
      <c r="Q698" s="257"/>
      <c r="S698" s="3487"/>
    </row>
    <row r="699" spans="2:19" ht="35.25" customHeight="1">
      <c r="B699" s="486"/>
      <c r="C699" s="3248" t="s">
        <v>691</v>
      </c>
      <c r="D699" s="3249"/>
      <c r="E699" s="3250"/>
      <c r="F699" s="3251"/>
      <c r="G699" s="3252"/>
      <c r="H699" s="3252"/>
      <c r="I699" s="3252"/>
      <c r="J699" s="3252"/>
      <c r="K699" s="3251"/>
      <c r="L699" s="3252"/>
      <c r="M699" s="3252"/>
      <c r="N699" s="3252"/>
      <c r="O699" s="3252"/>
      <c r="P699" s="3253"/>
      <c r="Q699" s="257"/>
      <c r="S699" s="3487"/>
    </row>
    <row r="700" spans="2:19" ht="22.5" customHeight="1">
      <c r="B700" s="253"/>
      <c r="C700" s="655"/>
      <c r="D700" s="344"/>
      <c r="E700" s="9" t="s">
        <v>707</v>
      </c>
      <c r="F700" s="20" t="str">
        <f>IF(H700=1,"1- Débutant",IF(H700=2,"2- Élémentaire",IF(H700=3,"3- Intermédiaire",IF(H700=4,"4- Avancé",IF(H700=5,"5- Expert","")))))</f>
        <v/>
      </c>
      <c r="G700" s="410" t="str">
        <f>IF(ISERR(G674+G678+G681+G684+G688+G692+G697)=TRUE,"",IF((G670=""),((G674+G678+G681+G684+G688+G692+G697)/80*100),(G670+G674+G678+G681+G684+G688+G692+G697)))</f>
        <v/>
      </c>
      <c r="H700" s="627">
        <f>ROUNDDOWN(AVERAGE(H670,H674,H678,H681,H684,H688,H692,H697),0)</f>
        <v>0</v>
      </c>
      <c r="I700" s="17"/>
      <c r="J700" s="17"/>
      <c r="K700" s="20" t="str">
        <f>IF(M700=1,"1- Débutant",IF(M700=2,"2- Élémentaire",IF(M700=3,"3- Intermédiaire",IF(M700=4,"4- Avancé",IF(M700=5,"5- Expert","")))))</f>
        <v/>
      </c>
      <c r="L700" s="410" t="str">
        <f>IF(ISERR(L674+L678+L681+L684+L688+L692+L697)=TRUE,"",IF((L670=""),((L674+L678+L681+L684+L688+L692+L697)/80*100),(L670+L674+L678+L681+L684+L688+L692+L697)))</f>
        <v/>
      </c>
      <c r="M700" s="627">
        <f>ROUNDDOWN(AVERAGE(M670,M674,M678,M681,M684,M688,M692,M697),0)</f>
        <v>0</v>
      </c>
      <c r="N700" s="17"/>
      <c r="O700" s="3372"/>
      <c r="P700" s="3373"/>
      <c r="Q700" s="257"/>
      <c r="S700" s="3487"/>
    </row>
    <row r="701" spans="2:19" ht="23.25" customHeight="1">
      <c r="B701" s="253"/>
      <c r="C701" s="256"/>
      <c r="D701" s="459"/>
      <c r="E701" s="459"/>
      <c r="F701" s="459"/>
      <c r="G701" s="459"/>
      <c r="H701" s="459"/>
      <c r="I701" s="461"/>
      <c r="J701" s="649"/>
      <c r="K701" s="649"/>
      <c r="L701" s="649"/>
      <c r="M701" s="649"/>
      <c r="N701" s="649"/>
      <c r="O701" s="649"/>
      <c r="P701" s="649"/>
      <c r="Q701" s="257"/>
      <c r="S701" s="3487"/>
    </row>
    <row r="702" spans="2:19" ht="18" customHeight="1">
      <c r="B702" s="253"/>
      <c r="C702" s="667" t="s">
        <v>570</v>
      </c>
      <c r="D702" s="459"/>
      <c r="E702" s="459"/>
      <c r="F702" s="459"/>
      <c r="G702" s="160"/>
      <c r="H702" s="3457" t="s">
        <v>732</v>
      </c>
      <c r="I702" s="3457"/>
      <c r="J702" s="160"/>
      <c r="K702" s="160"/>
      <c r="L702" s="649"/>
      <c r="M702" s="649"/>
      <c r="N702" s="649"/>
      <c r="O702" s="649"/>
      <c r="P702" s="649"/>
      <c r="Q702" s="257"/>
      <c r="S702" s="3487"/>
    </row>
    <row r="703" spans="2:19" ht="19.5" customHeight="1" thickBot="1">
      <c r="B703" s="298"/>
      <c r="C703" s="299"/>
      <c r="D703" s="299"/>
      <c r="E703" s="299"/>
      <c r="F703" s="330"/>
      <c r="G703" s="330"/>
      <c r="H703" s="299"/>
      <c r="I703" s="330"/>
      <c r="J703" s="330"/>
      <c r="K703" s="299"/>
      <c r="L703" s="330"/>
      <c r="M703" s="299"/>
      <c r="N703" s="330"/>
      <c r="O703" s="330"/>
      <c r="P703" s="330"/>
      <c r="Q703" s="300"/>
      <c r="S703" s="3488"/>
    </row>
    <row r="704" spans="2:19" ht="16.5" customHeight="1" thickBot="1">
      <c r="S704" s="614"/>
    </row>
    <row r="705" spans="1:19" ht="22.5" customHeight="1" thickBot="1">
      <c r="A705" s="1187"/>
      <c r="B705" s="237" t="s">
        <v>733</v>
      </c>
      <c r="C705" s="237"/>
      <c r="D705" s="237"/>
      <c r="E705" s="237"/>
      <c r="F705" s="237"/>
      <c r="G705" s="237"/>
      <c r="H705" s="237"/>
      <c r="I705" s="237"/>
      <c r="J705" s="237"/>
      <c r="K705" s="237"/>
      <c r="L705" s="238"/>
      <c r="M705" s="238"/>
      <c r="N705" s="238"/>
      <c r="O705" s="3173" t="s">
        <v>155</v>
      </c>
      <c r="P705" s="3173"/>
      <c r="Q705" s="3173"/>
      <c r="S705" s="615" t="s">
        <v>521</v>
      </c>
    </row>
    <row r="706" spans="1:19" ht="9.75" customHeight="1" thickBot="1">
      <c r="S706" s="616"/>
    </row>
    <row r="707" spans="1:19" ht="8.25" customHeight="1">
      <c r="B707" s="241"/>
      <c r="C707" s="242"/>
      <c r="D707" s="242"/>
      <c r="E707" s="243"/>
      <c r="F707" s="244"/>
      <c r="G707" s="244"/>
      <c r="H707" s="244"/>
      <c r="I707" s="244"/>
      <c r="J707" s="244"/>
      <c r="K707" s="244"/>
      <c r="L707" s="244"/>
      <c r="M707" s="244"/>
      <c r="N707" s="244"/>
      <c r="O707" s="244"/>
      <c r="P707" s="244"/>
      <c r="Q707" s="245"/>
      <c r="S707" s="3542"/>
    </row>
    <row r="708" spans="1:19" ht="18" customHeight="1">
      <c r="B708" s="284"/>
      <c r="C708" s="247" t="s">
        <v>734</v>
      </c>
      <c r="D708" s="247"/>
      <c r="E708" s="286"/>
      <c r="F708" s="287"/>
      <c r="G708" s="287"/>
      <c r="H708" s="287"/>
      <c r="I708" s="287"/>
      <c r="J708" s="287"/>
      <c r="K708" s="287"/>
      <c r="L708" s="287"/>
      <c r="M708" s="287"/>
      <c r="N708" s="160"/>
      <c r="O708" s="160"/>
      <c r="P708" s="287"/>
      <c r="Q708" s="288"/>
      <c r="S708" s="3540"/>
    </row>
    <row r="709" spans="1:19" ht="9.75" customHeight="1">
      <c r="B709" s="284"/>
      <c r="C709" s="286"/>
      <c r="D709" s="286"/>
      <c r="E709" s="286"/>
      <c r="F709" s="287"/>
      <c r="G709" s="287"/>
      <c r="H709" s="287"/>
      <c r="I709" s="287"/>
      <c r="J709" s="287"/>
      <c r="K709" s="287"/>
      <c r="L709" s="287"/>
      <c r="M709" s="287"/>
      <c r="N709" s="287"/>
      <c r="O709" s="287"/>
      <c r="P709" s="287"/>
      <c r="Q709" s="288"/>
      <c r="S709" s="3540"/>
    </row>
    <row r="710" spans="1:19" ht="18" customHeight="1">
      <c r="B710" s="253"/>
      <c r="C710" s="482" t="s">
        <v>735</v>
      </c>
      <c r="D710" s="255"/>
      <c r="E710" s="256"/>
      <c r="F710" s="256"/>
      <c r="G710" s="256"/>
      <c r="H710" s="256"/>
      <c r="I710" s="256"/>
      <c r="J710" s="256"/>
      <c r="K710" s="256"/>
      <c r="L710" s="256"/>
      <c r="M710" s="256"/>
      <c r="N710" s="256"/>
      <c r="O710" s="256"/>
      <c r="P710" s="256"/>
      <c r="Q710" s="257"/>
      <c r="S710" s="3540"/>
    </row>
    <row r="711" spans="1:19" ht="19.5" customHeight="1">
      <c r="B711" s="253"/>
      <c r="C711" s="316" t="s">
        <v>736</v>
      </c>
      <c r="D711" s="255"/>
      <c r="E711" s="256"/>
      <c r="F711" s="256"/>
      <c r="G711" s="256"/>
      <c r="H711" s="256"/>
      <c r="I711" s="256"/>
      <c r="J711" s="256"/>
      <c r="K711" s="256"/>
      <c r="L711" s="256"/>
      <c r="M711" s="256"/>
      <c r="N711" s="256"/>
      <c r="O711" s="256"/>
      <c r="P711" s="256"/>
      <c r="Q711" s="257"/>
      <c r="S711" s="3540"/>
    </row>
    <row r="712" spans="1:19" ht="15.75" customHeight="1">
      <c r="B712" s="253"/>
      <c r="C712" s="485" t="s">
        <v>737</v>
      </c>
      <c r="D712" s="255"/>
      <c r="E712" s="256"/>
      <c r="F712" s="256"/>
      <c r="G712" s="256"/>
      <c r="H712" s="256"/>
      <c r="I712" s="256"/>
      <c r="J712" s="256"/>
      <c r="K712" s="256"/>
      <c r="L712" s="256"/>
      <c r="M712" s="256"/>
      <c r="N712" s="256"/>
      <c r="O712" s="256"/>
      <c r="P712" s="256"/>
      <c r="Q712" s="257"/>
      <c r="S712" s="3540"/>
    </row>
    <row r="713" spans="1:19" ht="9" customHeight="1">
      <c r="B713" s="253"/>
      <c r="C713" s="254"/>
      <c r="D713" s="255"/>
      <c r="E713" s="256"/>
      <c r="F713" s="256"/>
      <c r="G713" s="256"/>
      <c r="H713" s="256"/>
      <c r="I713" s="256"/>
      <c r="J713" s="256"/>
      <c r="K713" s="256"/>
      <c r="L713" s="256"/>
      <c r="M713" s="256"/>
      <c r="N713" s="256"/>
      <c r="O713" s="256"/>
      <c r="P713" s="256"/>
      <c r="Q713" s="257"/>
      <c r="S713" s="3540"/>
    </row>
    <row r="714" spans="1:19" ht="18" customHeight="1">
      <c r="B714" s="253"/>
      <c r="C714" s="482" t="s">
        <v>738</v>
      </c>
      <c r="D714" s="255"/>
      <c r="E714" s="256"/>
      <c r="F714" s="256"/>
      <c r="G714" s="256"/>
      <c r="H714" s="256"/>
      <c r="I714" s="256"/>
      <c r="J714" s="256"/>
      <c r="K714" s="256"/>
      <c r="L714" s="256"/>
      <c r="M714" s="256"/>
      <c r="N714" s="256"/>
      <c r="O714" s="256"/>
      <c r="P714" s="256"/>
      <c r="Q714" s="257"/>
      <c r="S714" s="3540"/>
    </row>
    <row r="715" spans="1:19" ht="6" customHeight="1">
      <c r="B715" s="253"/>
      <c r="C715" s="482"/>
      <c r="D715" s="255"/>
      <c r="E715" s="256"/>
      <c r="F715" s="256"/>
      <c r="G715" s="256"/>
      <c r="H715" s="256"/>
      <c r="I715" s="256"/>
      <c r="J715" s="256"/>
      <c r="K715" s="256"/>
      <c r="L715" s="256"/>
      <c r="M715" s="256"/>
      <c r="N715" s="256"/>
      <c r="O715" s="256"/>
      <c r="P715" s="256"/>
      <c r="Q715" s="257"/>
      <c r="S715" s="3540"/>
    </row>
    <row r="716" spans="1:19" ht="59.25" customHeight="1">
      <c r="B716" s="558" t="str">
        <f>IF(ISBLANK(C716)=FALSE,"","w")</f>
        <v>w</v>
      </c>
      <c r="C716" s="3458"/>
      <c r="D716" s="3459"/>
      <c r="E716" s="3459"/>
      <c r="F716" s="3459"/>
      <c r="G716" s="3459"/>
      <c r="H716" s="3459"/>
      <c r="I716" s="3459"/>
      <c r="J716" s="3459"/>
      <c r="K716" s="3459"/>
      <c r="L716" s="3459"/>
      <c r="M716" s="3459"/>
      <c r="N716" s="3459"/>
      <c r="O716" s="3460"/>
      <c r="P716" s="256"/>
      <c r="Q716" s="257"/>
      <c r="S716" s="3540"/>
    </row>
    <row r="717" spans="1:19" ht="18.75" customHeight="1" thickBot="1">
      <c r="B717" s="298"/>
      <c r="C717" s="484"/>
      <c r="D717" s="354"/>
      <c r="E717" s="299"/>
      <c r="F717" s="299"/>
      <c r="G717" s="299"/>
      <c r="H717" s="299"/>
      <c r="I717" s="299"/>
      <c r="J717" s="299"/>
      <c r="K717" s="299"/>
      <c r="L717" s="299"/>
      <c r="M717" s="299"/>
      <c r="N717" s="299"/>
      <c r="O717" s="299"/>
      <c r="P717" s="299"/>
      <c r="Q717" s="300"/>
      <c r="S717" s="3540"/>
    </row>
    <row r="718" spans="1:19" ht="9.75" customHeight="1" thickBot="1">
      <c r="S718" s="3540"/>
    </row>
    <row r="719" spans="1:19" ht="8.25" customHeight="1">
      <c r="B719" s="241"/>
      <c r="C719" s="242"/>
      <c r="D719" s="242"/>
      <c r="E719" s="243"/>
      <c r="F719" s="244"/>
      <c r="G719" s="244"/>
      <c r="H719" s="244"/>
      <c r="I719" s="244"/>
      <c r="J719" s="244"/>
      <c r="K719" s="244"/>
      <c r="L719" s="244"/>
      <c r="M719" s="244"/>
      <c r="N719" s="244"/>
      <c r="O719" s="244"/>
      <c r="P719" s="244"/>
      <c r="Q719" s="245"/>
      <c r="S719" s="3540"/>
    </row>
    <row r="720" spans="1:19" ht="18" customHeight="1">
      <c r="B720" s="284"/>
      <c r="C720" s="247" t="s">
        <v>739</v>
      </c>
      <c r="D720" s="247"/>
      <c r="E720" s="286"/>
      <c r="F720" s="287"/>
      <c r="G720" s="287"/>
      <c r="H720" s="287"/>
      <c r="I720" s="287"/>
      <c r="J720" s="287"/>
      <c r="K720" s="287"/>
      <c r="L720" s="287"/>
      <c r="M720" s="287"/>
      <c r="N720" s="160"/>
      <c r="O720" s="160"/>
      <c r="P720" s="287"/>
      <c r="Q720" s="288"/>
      <c r="S720" s="3540"/>
    </row>
    <row r="721" spans="2:19" ht="9.75" customHeight="1">
      <c r="B721" s="284"/>
      <c r="C721" s="286"/>
      <c r="D721" s="286"/>
      <c r="E721" s="286"/>
      <c r="F721" s="287"/>
      <c r="G721" s="287"/>
      <c r="H721" s="287"/>
      <c r="I721" s="287"/>
      <c r="J721" s="287"/>
      <c r="K721" s="287"/>
      <c r="L721" s="287"/>
      <c r="M721" s="287"/>
      <c r="N721" s="287"/>
      <c r="O721" s="287"/>
      <c r="P721" s="287"/>
      <c r="Q721" s="288"/>
      <c r="S721" s="3540"/>
    </row>
    <row r="722" spans="2:19" ht="18" customHeight="1">
      <c r="B722" s="253"/>
      <c r="C722" s="482" t="s">
        <v>740</v>
      </c>
      <c r="D722" s="255"/>
      <c r="E722" s="256"/>
      <c r="F722" s="256"/>
      <c r="G722" s="256"/>
      <c r="H722" s="256"/>
      <c r="I722" s="256"/>
      <c r="J722" s="256"/>
      <c r="K722" s="256"/>
      <c r="L722" s="256"/>
      <c r="M722" s="256"/>
      <c r="N722" s="256"/>
      <c r="O722" s="256"/>
      <c r="P722" s="256"/>
      <c r="Q722" s="257"/>
      <c r="S722" s="3540"/>
    </row>
    <row r="723" spans="2:19" ht="19.5" customHeight="1">
      <c r="B723" s="253"/>
      <c r="C723" s="316" t="s">
        <v>741</v>
      </c>
      <c r="D723" s="255"/>
      <c r="E723" s="256"/>
      <c r="F723" s="256"/>
      <c r="G723" s="256"/>
      <c r="H723" s="256"/>
      <c r="I723" s="256"/>
      <c r="J723" s="256"/>
      <c r="K723" s="256"/>
      <c r="L723" s="256"/>
      <c r="M723" s="256"/>
      <c r="N723" s="256"/>
      <c r="O723" s="256"/>
      <c r="P723" s="256"/>
      <c r="Q723" s="257"/>
      <c r="S723" s="3540"/>
    </row>
    <row r="724" spans="2:19" ht="15.75" customHeight="1">
      <c r="B724" s="253"/>
      <c r="C724" s="485" t="s">
        <v>742</v>
      </c>
      <c r="D724" s="255"/>
      <c r="E724" s="256"/>
      <c r="F724" s="256"/>
      <c r="G724" s="256"/>
      <c r="H724" s="256"/>
      <c r="I724" s="256"/>
      <c r="J724" s="256"/>
      <c r="K724" s="256"/>
      <c r="L724" s="256"/>
      <c r="M724" s="256"/>
      <c r="N724" s="256"/>
      <c r="O724" s="256"/>
      <c r="P724" s="256"/>
      <c r="Q724" s="257"/>
      <c r="S724" s="3540"/>
    </row>
    <row r="725" spans="2:19" ht="9" customHeight="1">
      <c r="B725" s="253"/>
      <c r="C725" s="254"/>
      <c r="D725" s="255"/>
      <c r="E725" s="256"/>
      <c r="F725" s="256"/>
      <c r="G725" s="256"/>
      <c r="H725" s="256"/>
      <c r="I725" s="256"/>
      <c r="J725" s="256"/>
      <c r="K725" s="256"/>
      <c r="L725" s="256"/>
      <c r="M725" s="256"/>
      <c r="N725" s="256"/>
      <c r="O725" s="256"/>
      <c r="P725" s="256"/>
      <c r="Q725" s="257"/>
      <c r="S725" s="3540"/>
    </row>
    <row r="726" spans="2:19" ht="18" customHeight="1">
      <c r="B726" s="253"/>
      <c r="C726" s="477" t="s">
        <v>743</v>
      </c>
      <c r="D726" s="255"/>
      <c r="E726" s="256"/>
      <c r="F726" s="256"/>
      <c r="G726" s="256"/>
      <c r="H726" s="256"/>
      <c r="I726" s="256"/>
      <c r="J726" s="256"/>
      <c r="K726" s="256"/>
      <c r="L726" s="256"/>
      <c r="M726" s="256"/>
      <c r="N726" s="256"/>
      <c r="O726" s="256"/>
      <c r="P726" s="256"/>
      <c r="Q726" s="257"/>
      <c r="S726" s="3540"/>
    </row>
    <row r="727" spans="2:19" ht="6" customHeight="1">
      <c r="B727" s="253"/>
      <c r="C727" s="482"/>
      <c r="D727" s="255"/>
      <c r="E727" s="256"/>
      <c r="F727" s="256"/>
      <c r="G727" s="256"/>
      <c r="H727" s="256"/>
      <c r="I727" s="256"/>
      <c r="J727" s="256"/>
      <c r="K727" s="256"/>
      <c r="L727" s="256"/>
      <c r="M727" s="256"/>
      <c r="N727" s="256"/>
      <c r="O727" s="256"/>
      <c r="P727" s="256"/>
      <c r="Q727" s="257"/>
      <c r="S727" s="3540"/>
    </row>
    <row r="728" spans="2:19" ht="29.25" customHeight="1">
      <c r="B728" s="558" t="str">
        <f>IF(ISBLANK(C728)=FALSE,"","w")</f>
        <v>w</v>
      </c>
      <c r="C728" s="3458"/>
      <c r="D728" s="3459"/>
      <c r="E728" s="3459"/>
      <c r="F728" s="3459"/>
      <c r="G728" s="3459"/>
      <c r="H728" s="3459"/>
      <c r="I728" s="3459"/>
      <c r="J728" s="3459"/>
      <c r="K728" s="3459"/>
      <c r="L728" s="3459"/>
      <c r="M728" s="3459"/>
      <c r="N728" s="3459"/>
      <c r="O728" s="3460"/>
      <c r="P728" s="256"/>
      <c r="Q728" s="257"/>
      <c r="S728" s="3540"/>
    </row>
    <row r="729" spans="2:19" ht="15" thickBot="1">
      <c r="B729" s="298"/>
      <c r="C729" s="484"/>
      <c r="D729" s="354"/>
      <c r="E729" s="299"/>
      <c r="F729" s="299"/>
      <c r="G729" s="299"/>
      <c r="H729" s="299"/>
      <c r="I729" s="299"/>
      <c r="J729" s="299"/>
      <c r="K729" s="299"/>
      <c r="L729" s="299"/>
      <c r="M729" s="299"/>
      <c r="N729" s="299"/>
      <c r="O729" s="299"/>
      <c r="P729" s="299"/>
      <c r="Q729" s="300"/>
      <c r="S729" s="3541"/>
    </row>
  </sheetData>
  <sheetProtection algorithmName="SHA-512" hashValue="GtoXAW3rf1/KnEon40mi2FHhLF/1lYdrRy7XQRB5Dyl/rlv2tEMxy1iwCtQxS7iPJNSZDAP3E56pt4iut6NxYA==" saltValue="AFvApbm03hEbOOvJ4QdjaA==" spinCount="100000" sheet="1" objects="1" scenarios="1"/>
  <mergeCells count="808">
    <mergeCell ref="C159:C161"/>
    <mergeCell ref="D30:F30"/>
    <mergeCell ref="H30:K30"/>
    <mergeCell ref="M30:O30"/>
    <mergeCell ref="D36:E36"/>
    <mergeCell ref="F36:G36"/>
    <mergeCell ref="H36:I36"/>
    <mergeCell ref="J36:K36"/>
    <mergeCell ref="N36:O36"/>
    <mergeCell ref="D38:E38"/>
    <mergeCell ref="F38:G38"/>
    <mergeCell ref="H38:I38"/>
    <mergeCell ref="J38:K38"/>
    <mergeCell ref="N38:O38"/>
    <mergeCell ref="H37:I37"/>
    <mergeCell ref="J37:K37"/>
    <mergeCell ref="N37:O37"/>
    <mergeCell ref="J35:K35"/>
    <mergeCell ref="D35:E35"/>
    <mergeCell ref="F35:G35"/>
    <mergeCell ref="H35:I35"/>
    <mergeCell ref="N35:O35"/>
    <mergeCell ref="D37:E37"/>
    <mergeCell ref="F37:G37"/>
    <mergeCell ref="S638:S641"/>
    <mergeCell ref="S633:S637"/>
    <mergeCell ref="S629:S632"/>
    <mergeCell ref="S624:S628"/>
    <mergeCell ref="S616:S619"/>
    <mergeCell ref="S620:S623"/>
    <mergeCell ref="S612:S615"/>
    <mergeCell ref="S600:S611"/>
    <mergeCell ref="S579:S599"/>
    <mergeCell ref="S645:S665"/>
    <mergeCell ref="S718:S729"/>
    <mergeCell ref="S707:S717"/>
    <mergeCell ref="S700:S703"/>
    <mergeCell ref="S697:S699"/>
    <mergeCell ref="S692:S696"/>
    <mergeCell ref="S688:S691"/>
    <mergeCell ref="S684:S687"/>
    <mergeCell ref="S678:S680"/>
    <mergeCell ref="S681:S683"/>
    <mergeCell ref="S674:S677"/>
    <mergeCell ref="S666:S673"/>
    <mergeCell ref="S220:S229"/>
    <mergeCell ref="S212:S219"/>
    <mergeCell ref="S568:S575"/>
    <mergeCell ref="S561:S567"/>
    <mergeCell ref="S553:S560"/>
    <mergeCell ref="S542:S552"/>
    <mergeCell ref="S534:S541"/>
    <mergeCell ref="S526:S533"/>
    <mergeCell ref="S515:S525"/>
    <mergeCell ref="S506:S514"/>
    <mergeCell ref="S495:S502"/>
    <mergeCell ref="S480:S494"/>
    <mergeCell ref="S472:S479"/>
    <mergeCell ref="S452:S471"/>
    <mergeCell ref="S427:S434"/>
    <mergeCell ref="S407:S426"/>
    <mergeCell ref="S384:S406"/>
    <mergeCell ref="S374:S383"/>
    <mergeCell ref="S449:S450"/>
    <mergeCell ref="S435:S448"/>
    <mergeCell ref="S367:S373"/>
    <mergeCell ref="S358:S366"/>
    <mergeCell ref="S348:S357"/>
    <mergeCell ref="S337:S347"/>
    <mergeCell ref="S326:S333"/>
    <mergeCell ref="S308:S325"/>
    <mergeCell ref="S294:S307"/>
    <mergeCell ref="S283:S290"/>
    <mergeCell ref="S264:S282"/>
    <mergeCell ref="S250:S263"/>
    <mergeCell ref="H305:O305"/>
    <mergeCell ref="L302:O302"/>
    <mergeCell ref="L303:O304"/>
    <mergeCell ref="H289:I289"/>
    <mergeCell ref="F314:H314"/>
    <mergeCell ref="F312:H312"/>
    <mergeCell ref="D287:H287"/>
    <mergeCell ref="J287:P287"/>
    <mergeCell ref="F313:H313"/>
    <mergeCell ref="D312:E312"/>
    <mergeCell ref="E285:H285"/>
    <mergeCell ref="I312:O312"/>
    <mergeCell ref="C302:G303"/>
    <mergeCell ref="F268:H268"/>
    <mergeCell ref="F261:G261"/>
    <mergeCell ref="H261:O261"/>
    <mergeCell ref="D268:E268"/>
    <mergeCell ref="D269:E269"/>
    <mergeCell ref="S178:S191"/>
    <mergeCell ref="S156:S166"/>
    <mergeCell ref="S104:S116"/>
    <mergeCell ref="S143:S155"/>
    <mergeCell ref="S134:S142"/>
    <mergeCell ref="S125:S133"/>
    <mergeCell ref="S117:S124"/>
    <mergeCell ref="C231:E231"/>
    <mergeCell ref="F231:O231"/>
    <mergeCell ref="I226:J226"/>
    <mergeCell ref="I225:J225"/>
    <mergeCell ref="G160:H160"/>
    <mergeCell ref="C192:F192"/>
    <mergeCell ref="L201:O201"/>
    <mergeCell ref="D200:E200"/>
    <mergeCell ref="S167:S174"/>
    <mergeCell ref="M160:O160"/>
    <mergeCell ref="I163:J163"/>
    <mergeCell ref="J144:L144"/>
    <mergeCell ref="M144:O144"/>
    <mergeCell ref="I162:J162"/>
    <mergeCell ref="D199:E199"/>
    <mergeCell ref="F199:G199"/>
    <mergeCell ref="S230:S246"/>
    <mergeCell ref="F205:O205"/>
    <mergeCell ref="M220:O220"/>
    <mergeCell ref="M222:O222"/>
    <mergeCell ref="M229:O229"/>
    <mergeCell ref="M228:O228"/>
    <mergeCell ref="M226:O226"/>
    <mergeCell ref="M227:O227"/>
    <mergeCell ref="M225:O225"/>
    <mergeCell ref="M224:O224"/>
    <mergeCell ref="I222:J222"/>
    <mergeCell ref="D225:E225"/>
    <mergeCell ref="I227:J227"/>
    <mergeCell ref="I228:J228"/>
    <mergeCell ref="I229:J229"/>
    <mergeCell ref="D228:E228"/>
    <mergeCell ref="M223:O223"/>
    <mergeCell ref="L258:O258"/>
    <mergeCell ref="L259:O260"/>
    <mergeCell ref="D226:E226"/>
    <mergeCell ref="J241:P241"/>
    <mergeCell ref="D243:H243"/>
    <mergeCell ref="J243:P243"/>
    <mergeCell ref="E241:H241"/>
    <mergeCell ref="H258:K259"/>
    <mergeCell ref="D271:E271"/>
    <mergeCell ref="C196:P196"/>
    <mergeCell ref="L200:O200"/>
    <mergeCell ref="M219:O219"/>
    <mergeCell ref="I219:J219"/>
    <mergeCell ref="I220:J220"/>
    <mergeCell ref="D222:E222"/>
    <mergeCell ref="D223:E223"/>
    <mergeCell ref="D224:E224"/>
    <mergeCell ref="H198:I198"/>
    <mergeCell ref="J198:K198"/>
    <mergeCell ref="C215:P215"/>
    <mergeCell ref="D201:E201"/>
    <mergeCell ref="J200:K200"/>
    <mergeCell ref="H202:I202"/>
    <mergeCell ref="H200:I200"/>
    <mergeCell ref="L199:O199"/>
    <mergeCell ref="I271:O271"/>
    <mergeCell ref="I270:O270"/>
    <mergeCell ref="I269:O269"/>
    <mergeCell ref="M221:O221"/>
    <mergeCell ref="I224:J224"/>
    <mergeCell ref="D227:E227"/>
    <mergeCell ref="J203:K203"/>
    <mergeCell ref="C79:C85"/>
    <mergeCell ref="F84:G84"/>
    <mergeCell ref="H84:M84"/>
    <mergeCell ref="M105:O105"/>
    <mergeCell ref="J126:L126"/>
    <mergeCell ref="M126:O126"/>
    <mergeCell ref="J135:L135"/>
    <mergeCell ref="M135:O135"/>
    <mergeCell ref="H132:I132"/>
    <mergeCell ref="H89:I90"/>
    <mergeCell ref="J110:O110"/>
    <mergeCell ref="E106:O106"/>
    <mergeCell ref="C118:C124"/>
    <mergeCell ref="D119:G120"/>
    <mergeCell ref="H120:M120"/>
    <mergeCell ref="H121:M121"/>
    <mergeCell ref="H128:I129"/>
    <mergeCell ref="H93:I93"/>
    <mergeCell ref="H102:I102"/>
    <mergeCell ref="J93:O93"/>
    <mergeCell ref="I161:J161"/>
    <mergeCell ref="J199:K199"/>
    <mergeCell ref="S95:S103"/>
    <mergeCell ref="M164:O164"/>
    <mergeCell ref="K165:L165"/>
    <mergeCell ref="H141:I141"/>
    <mergeCell ref="J105:L105"/>
    <mergeCell ref="I160:J160"/>
    <mergeCell ref="H153:I153"/>
    <mergeCell ref="J153:O153"/>
    <mergeCell ref="I165:J165"/>
    <mergeCell ref="K164:L164"/>
    <mergeCell ref="K163:L163"/>
    <mergeCell ref="K161:L161"/>
    <mergeCell ref="K160:L160"/>
    <mergeCell ref="I159:J159"/>
    <mergeCell ref="G165:H165"/>
    <mergeCell ref="M163:O163"/>
    <mergeCell ref="C186:G187"/>
    <mergeCell ref="D198:E198"/>
    <mergeCell ref="J169:P169"/>
    <mergeCell ref="F198:G198"/>
    <mergeCell ref="H199:I199"/>
    <mergeCell ref="S192:S211"/>
    <mergeCell ref="M165:O165"/>
    <mergeCell ref="S2:S3"/>
    <mergeCell ref="S5:S19"/>
    <mergeCell ref="G164:H164"/>
    <mergeCell ref="G162:H162"/>
    <mergeCell ref="J141:O141"/>
    <mergeCell ref="J96:L96"/>
    <mergeCell ref="M96:O96"/>
    <mergeCell ref="D80:G81"/>
    <mergeCell ref="H81:M81"/>
    <mergeCell ref="H82:M82"/>
    <mergeCell ref="F123:G123"/>
    <mergeCell ref="H123:M123"/>
    <mergeCell ref="S43:S62"/>
    <mergeCell ref="S23:S42"/>
    <mergeCell ref="S86:S94"/>
    <mergeCell ref="S78:S85"/>
    <mergeCell ref="S66:S77"/>
    <mergeCell ref="J114:O114"/>
    <mergeCell ref="C69:M69"/>
    <mergeCell ref="H39:I39"/>
    <mergeCell ref="N39:O39"/>
    <mergeCell ref="C34:C36"/>
    <mergeCell ref="I164:J164"/>
    <mergeCell ref="H6:I6"/>
    <mergeCell ref="J6:K6"/>
    <mergeCell ref="N6:O6"/>
    <mergeCell ref="L6:M6"/>
    <mergeCell ref="H173:I173"/>
    <mergeCell ref="H186:K187"/>
    <mergeCell ref="M162:O162"/>
    <mergeCell ref="M161:O161"/>
    <mergeCell ref="C72:P72"/>
    <mergeCell ref="J108:O108"/>
    <mergeCell ref="H98:I99"/>
    <mergeCell ref="H110:I110"/>
    <mergeCell ref="C73:O73"/>
    <mergeCell ref="H108:I108"/>
    <mergeCell ref="E145:O145"/>
    <mergeCell ref="H114:I114"/>
    <mergeCell ref="C74:D74"/>
    <mergeCell ref="J102:O102"/>
    <mergeCell ref="J87:L87"/>
    <mergeCell ref="M87:O87"/>
    <mergeCell ref="J132:O132"/>
    <mergeCell ref="D160:E162"/>
    <mergeCell ref="D163:E165"/>
    <mergeCell ref="K162:L162"/>
    <mergeCell ref="J201:K201"/>
    <mergeCell ref="J202:K202"/>
    <mergeCell ref="F189:G189"/>
    <mergeCell ref="H189:O189"/>
    <mergeCell ref="C195:P195"/>
    <mergeCell ref="J171:P171"/>
    <mergeCell ref="E169:H169"/>
    <mergeCell ref="D171:H171"/>
    <mergeCell ref="F200:G200"/>
    <mergeCell ref="D202:E202"/>
    <mergeCell ref="I621:J621"/>
    <mergeCell ref="I614:J614"/>
    <mergeCell ref="K615:P615"/>
    <mergeCell ref="F637:J637"/>
    <mergeCell ref="C433:D433"/>
    <mergeCell ref="C432:D432"/>
    <mergeCell ref="C716:O716"/>
    <mergeCell ref="C728:O728"/>
    <mergeCell ref="C559:D559"/>
    <mergeCell ref="C560:D560"/>
    <mergeCell ref="C686:E686"/>
    <mergeCell ref="C689:E689"/>
    <mergeCell ref="I603:J603"/>
    <mergeCell ref="I605:J605"/>
    <mergeCell ref="I606:J606"/>
    <mergeCell ref="I608:J608"/>
    <mergeCell ref="I609:J609"/>
    <mergeCell ref="C694:E694"/>
    <mergeCell ref="C695:E695"/>
    <mergeCell ref="N695:P695"/>
    <mergeCell ref="N694:P694"/>
    <mergeCell ref="O564:P564"/>
    <mergeCell ref="H702:I702"/>
    <mergeCell ref="K680:P680"/>
    <mergeCell ref="O681:P681"/>
    <mergeCell ref="K677:P677"/>
    <mergeCell ref="C672:E672"/>
    <mergeCell ref="F668:G668"/>
    <mergeCell ref="H668:J668"/>
    <mergeCell ref="N682:P682"/>
    <mergeCell ref="N689:P689"/>
    <mergeCell ref="N690:P690"/>
    <mergeCell ref="O700:P700"/>
    <mergeCell ref="O692:P692"/>
    <mergeCell ref="N671:P671"/>
    <mergeCell ref="K687:P687"/>
    <mergeCell ref="O684:P684"/>
    <mergeCell ref="N698:P698"/>
    <mergeCell ref="O688:P688"/>
    <mergeCell ref="N685:P685"/>
    <mergeCell ref="N679:P679"/>
    <mergeCell ref="O670:P670"/>
    <mergeCell ref="O678:P678"/>
    <mergeCell ref="K683:P683"/>
    <mergeCell ref="K668:L668"/>
    <mergeCell ref="N686:P686"/>
    <mergeCell ref="I695:J695"/>
    <mergeCell ref="I694:J694"/>
    <mergeCell ref="N625:P625"/>
    <mergeCell ref="I622:J622"/>
    <mergeCell ref="F623:J623"/>
    <mergeCell ref="K623:P623"/>
    <mergeCell ref="F666:J666"/>
    <mergeCell ref="K666:O666"/>
    <mergeCell ref="H640:I640"/>
    <mergeCell ref="I627:J627"/>
    <mergeCell ref="N634:P634"/>
    <mergeCell ref="O624:P624"/>
    <mergeCell ref="C648:M648"/>
    <mergeCell ref="N636:P636"/>
    <mergeCell ref="N635:P635"/>
    <mergeCell ref="C628:E628"/>
    <mergeCell ref="C632:E632"/>
    <mergeCell ref="F632:J632"/>
    <mergeCell ref="N627:P627"/>
    <mergeCell ref="I626:J626"/>
    <mergeCell ref="K628:P628"/>
    <mergeCell ref="O629:P629"/>
    <mergeCell ref="N631:P631"/>
    <mergeCell ref="K632:P632"/>
    <mergeCell ref="K637:P637"/>
    <mergeCell ref="I636:J636"/>
    <mergeCell ref="I693:J693"/>
    <mergeCell ref="M668:O668"/>
    <mergeCell ref="O633:P633"/>
    <mergeCell ref="N630:P630"/>
    <mergeCell ref="K619:P619"/>
    <mergeCell ref="N618:P618"/>
    <mergeCell ref="N626:P626"/>
    <mergeCell ref="N610:P610"/>
    <mergeCell ref="O566:P566"/>
    <mergeCell ref="F600:J600"/>
    <mergeCell ref="K600:O600"/>
    <mergeCell ref="E570:H570"/>
    <mergeCell ref="J570:P570"/>
    <mergeCell ref="C605:E605"/>
    <mergeCell ref="I607:J607"/>
    <mergeCell ref="C610:E610"/>
    <mergeCell ref="N607:P607"/>
    <mergeCell ref="C588:D588"/>
    <mergeCell ref="F611:J611"/>
    <mergeCell ref="C608:E608"/>
    <mergeCell ref="C606:E606"/>
    <mergeCell ref="C607:E607"/>
    <mergeCell ref="N608:P608"/>
    <mergeCell ref="N609:P609"/>
    <mergeCell ref="F619:J619"/>
    <mergeCell ref="K611:P611"/>
    <mergeCell ref="I610:J610"/>
    <mergeCell ref="O563:P563"/>
    <mergeCell ref="C622:E622"/>
    <mergeCell ref="C623:E623"/>
    <mergeCell ref="O620:P620"/>
    <mergeCell ref="N614:P614"/>
    <mergeCell ref="C615:E615"/>
    <mergeCell ref="C619:E619"/>
    <mergeCell ref="C611:E611"/>
    <mergeCell ref="F602:G602"/>
    <mergeCell ref="H602:J602"/>
    <mergeCell ref="C602:E603"/>
    <mergeCell ref="C587:D587"/>
    <mergeCell ref="N603:P603"/>
    <mergeCell ref="C618:E618"/>
    <mergeCell ref="F615:J615"/>
    <mergeCell ref="C567:D567"/>
    <mergeCell ref="N613:P613"/>
    <mergeCell ref="N617:P617"/>
    <mergeCell ref="I613:J613"/>
    <mergeCell ref="O616:P616"/>
    <mergeCell ref="N621:P621"/>
    <mergeCell ref="O565:P565"/>
    <mergeCell ref="N622:P622"/>
    <mergeCell ref="O555:P555"/>
    <mergeCell ref="O554:P554"/>
    <mergeCell ref="O562:P562"/>
    <mergeCell ref="O556:P556"/>
    <mergeCell ref="O557:P557"/>
    <mergeCell ref="O558:P558"/>
    <mergeCell ref="O549:P549"/>
    <mergeCell ref="N606:P606"/>
    <mergeCell ref="O612:P612"/>
    <mergeCell ref="C554:D554"/>
    <mergeCell ref="E552:P552"/>
    <mergeCell ref="C552:D552"/>
    <mergeCell ref="C556:D556"/>
    <mergeCell ref="O550:P550"/>
    <mergeCell ref="C562:D562"/>
    <mergeCell ref="O531:P531"/>
    <mergeCell ref="O528:P528"/>
    <mergeCell ref="C525:D525"/>
    <mergeCell ref="O529:P529"/>
    <mergeCell ref="C539:D539"/>
    <mergeCell ref="C537:D537"/>
    <mergeCell ref="E540:P540"/>
    <mergeCell ref="O539:P539"/>
    <mergeCell ref="C551:D551"/>
    <mergeCell ref="C529:D529"/>
    <mergeCell ref="O547:P547"/>
    <mergeCell ref="C547:D547"/>
    <mergeCell ref="O532:P532"/>
    <mergeCell ref="C536:D536"/>
    <mergeCell ref="O523:P523"/>
    <mergeCell ref="O468:P468"/>
    <mergeCell ref="C474:D474"/>
    <mergeCell ref="C473:D473"/>
    <mergeCell ref="O480:P480"/>
    <mergeCell ref="C471:D471"/>
    <mergeCell ref="C479:D479"/>
    <mergeCell ref="O481:P481"/>
    <mergeCell ref="O487:P487"/>
    <mergeCell ref="O478:P478"/>
    <mergeCell ref="O522:P522"/>
    <mergeCell ref="C517:D518"/>
    <mergeCell ref="O486:P486"/>
    <mergeCell ref="C521:D521"/>
    <mergeCell ref="C522:D522"/>
    <mergeCell ref="E471:P471"/>
    <mergeCell ref="O484:P484"/>
    <mergeCell ref="D499:H499"/>
    <mergeCell ref="E479:P479"/>
    <mergeCell ref="C520:D520"/>
    <mergeCell ref="O520:P520"/>
    <mergeCell ref="O472:P472"/>
    <mergeCell ref="O482:P482"/>
    <mergeCell ref="E517:N517"/>
    <mergeCell ref="C621:E621"/>
    <mergeCell ref="C532:D532"/>
    <mergeCell ref="C527:D527"/>
    <mergeCell ref="O521:P521"/>
    <mergeCell ref="C625:E625"/>
    <mergeCell ref="I618:J618"/>
    <mergeCell ref="K602:L602"/>
    <mergeCell ref="M602:O602"/>
    <mergeCell ref="O604:P604"/>
    <mergeCell ref="C617:E617"/>
    <mergeCell ref="C609:E609"/>
    <mergeCell ref="C613:E613"/>
    <mergeCell ref="E533:P533"/>
    <mergeCell ref="C533:D533"/>
    <mergeCell ref="O538:P538"/>
    <mergeCell ref="D572:H572"/>
    <mergeCell ref="J572:P572"/>
    <mergeCell ref="E567:P567"/>
    <mergeCell ref="N605:P605"/>
    <mergeCell ref="H574:I574"/>
    <mergeCell ref="C566:D566"/>
    <mergeCell ref="C582:M582"/>
    <mergeCell ref="C549:D549"/>
    <mergeCell ref="C557:D557"/>
    <mergeCell ref="C687:E687"/>
    <mergeCell ref="F687:J687"/>
    <mergeCell ref="J497:P497"/>
    <mergeCell ref="O517:P518"/>
    <mergeCell ref="C614:E614"/>
    <mergeCell ref="E560:P560"/>
    <mergeCell ref="O559:P559"/>
    <mergeCell ref="C548:D548"/>
    <mergeCell ref="O548:P548"/>
    <mergeCell ref="O551:P551"/>
    <mergeCell ref="C535:D535"/>
    <mergeCell ref="O544:P545"/>
    <mergeCell ref="O535:P535"/>
    <mergeCell ref="O536:P536"/>
    <mergeCell ref="C540:D540"/>
    <mergeCell ref="C544:D545"/>
    <mergeCell ref="O537:P537"/>
    <mergeCell ref="O530:P530"/>
    <mergeCell ref="E544:N544"/>
    <mergeCell ref="O524:P524"/>
    <mergeCell ref="E525:P525"/>
    <mergeCell ref="O527:P527"/>
    <mergeCell ref="C542:F542"/>
    <mergeCell ref="C530:D530"/>
    <mergeCell ref="I686:J686"/>
    <mergeCell ref="I685:J685"/>
    <mergeCell ref="I679:J679"/>
    <mergeCell ref="I682:J682"/>
    <mergeCell ref="C630:E630"/>
    <mergeCell ref="C635:E635"/>
    <mergeCell ref="C636:E636"/>
    <mergeCell ref="I631:J631"/>
    <mergeCell ref="I630:J630"/>
    <mergeCell ref="I635:J635"/>
    <mergeCell ref="I634:J634"/>
    <mergeCell ref="C653:D653"/>
    <mergeCell ref="C654:D654"/>
    <mergeCell ref="F683:J683"/>
    <mergeCell ref="C671:E671"/>
    <mergeCell ref="C634:E634"/>
    <mergeCell ref="C563:D563"/>
    <mergeCell ref="C564:D564"/>
    <mergeCell ref="F628:J628"/>
    <mergeCell ref="I617:J617"/>
    <mergeCell ref="I625:J625"/>
    <mergeCell ref="C691:E691"/>
    <mergeCell ref="F691:J691"/>
    <mergeCell ref="K691:P691"/>
    <mergeCell ref="I690:J690"/>
    <mergeCell ref="O638:P638"/>
    <mergeCell ref="C626:E626"/>
    <mergeCell ref="C627:E627"/>
    <mergeCell ref="I671:J671"/>
    <mergeCell ref="I669:J669"/>
    <mergeCell ref="I676:J676"/>
    <mergeCell ref="I675:J675"/>
    <mergeCell ref="C682:E682"/>
    <mergeCell ref="C679:E679"/>
    <mergeCell ref="C673:E673"/>
    <mergeCell ref="C668:E669"/>
    <mergeCell ref="I672:J672"/>
    <mergeCell ref="C675:E675"/>
    <mergeCell ref="N672:P672"/>
    <mergeCell ref="N669:P669"/>
    <mergeCell ref="C690:E690"/>
    <mergeCell ref="C637:E637"/>
    <mergeCell ref="C631:E631"/>
    <mergeCell ref="O442:P442"/>
    <mergeCell ref="O415:P415"/>
    <mergeCell ref="O418:P418"/>
    <mergeCell ref="O419:P419"/>
    <mergeCell ref="O438:P438"/>
    <mergeCell ref="O421:P421"/>
    <mergeCell ref="E426:P426"/>
    <mergeCell ref="O423:P423"/>
    <mergeCell ref="O416:P416"/>
    <mergeCell ref="E434:P434"/>
    <mergeCell ref="O432:P432"/>
    <mergeCell ref="O439:P439"/>
    <mergeCell ref="O436:P436"/>
    <mergeCell ref="O437:P437"/>
    <mergeCell ref="O417:P417"/>
    <mergeCell ref="O441:P441"/>
    <mergeCell ref="O433:P433"/>
    <mergeCell ref="O431:P431"/>
    <mergeCell ref="O429:P429"/>
    <mergeCell ref="O430:P430"/>
    <mergeCell ref="O491:P491"/>
    <mergeCell ref="F270:H270"/>
    <mergeCell ref="F269:H269"/>
    <mergeCell ref="D313:E313"/>
    <mergeCell ref="AH409:AH410"/>
    <mergeCell ref="AG409:AG410"/>
    <mergeCell ref="T409:T410"/>
    <mergeCell ref="U409:AD409"/>
    <mergeCell ref="AE409:AE410"/>
    <mergeCell ref="O409:P410"/>
    <mergeCell ref="AF409:AF410"/>
    <mergeCell ref="F319:O320"/>
    <mergeCell ref="I317:O317"/>
    <mergeCell ref="I316:O316"/>
    <mergeCell ref="I315:O315"/>
    <mergeCell ref="F317:H317"/>
    <mergeCell ref="J369:P369"/>
    <mergeCell ref="C405:G405"/>
    <mergeCell ref="F353:G353"/>
    <mergeCell ref="C359:C361"/>
    <mergeCell ref="F359:G359"/>
    <mergeCell ref="M359:N359"/>
    <mergeCell ref="M353:N353"/>
    <mergeCell ref="F349:G349"/>
    <mergeCell ref="C409:D410"/>
    <mergeCell ref="D273:E273"/>
    <mergeCell ref="D270:E270"/>
    <mergeCell ref="D311:E311"/>
    <mergeCell ref="F202:G202"/>
    <mergeCell ref="F201:G201"/>
    <mergeCell ref="L202:O202"/>
    <mergeCell ref="D220:E220"/>
    <mergeCell ref="C205:E205"/>
    <mergeCell ref="D229:E229"/>
    <mergeCell ref="D219:E219"/>
    <mergeCell ref="H245:I245"/>
    <mergeCell ref="L203:O203"/>
    <mergeCell ref="C216:P216"/>
    <mergeCell ref="D203:E203"/>
    <mergeCell ref="H203:I203"/>
    <mergeCell ref="F203:G203"/>
    <mergeCell ref="I221:J221"/>
    <mergeCell ref="C258:G259"/>
    <mergeCell ref="H201:I201"/>
    <mergeCell ref="C212:F212"/>
    <mergeCell ref="F272:H272"/>
    <mergeCell ref="F273:H273"/>
    <mergeCell ref="I272:O272"/>
    <mergeCell ref="F271:H271"/>
    <mergeCell ref="N40:O40"/>
    <mergeCell ref="D39:E39"/>
    <mergeCell ref="F39:G39"/>
    <mergeCell ref="J39:K39"/>
    <mergeCell ref="G55:H57"/>
    <mergeCell ref="I55:O60"/>
    <mergeCell ref="E60:F60"/>
    <mergeCell ref="E59:F59"/>
    <mergeCell ref="E58:F58"/>
    <mergeCell ref="E57:F57"/>
    <mergeCell ref="E55:F55"/>
    <mergeCell ref="C55:D55"/>
    <mergeCell ref="C57:D57"/>
    <mergeCell ref="D330:H330"/>
    <mergeCell ref="J330:P330"/>
    <mergeCell ref="E328:H328"/>
    <mergeCell ref="I314:O314"/>
    <mergeCell ref="I313:O313"/>
    <mergeCell ref="F274:H274"/>
    <mergeCell ref="J285:P285"/>
    <mergeCell ref="F276:O277"/>
    <mergeCell ref="I274:O274"/>
    <mergeCell ref="H302:K303"/>
    <mergeCell ref="F305:G305"/>
    <mergeCell ref="C276:E277"/>
    <mergeCell ref="F315:H315"/>
    <mergeCell ref="F316:H316"/>
    <mergeCell ref="C319:E320"/>
    <mergeCell ref="D316:E316"/>
    <mergeCell ref="D315:E315"/>
    <mergeCell ref="D272:E272"/>
    <mergeCell ref="C422:D422"/>
    <mergeCell ref="C423:D423"/>
    <mergeCell ref="F311:H311"/>
    <mergeCell ref="C428:D428"/>
    <mergeCell ref="O427:P427"/>
    <mergeCell ref="O420:P420"/>
    <mergeCell ref="O425:P425"/>
    <mergeCell ref="C418:D418"/>
    <mergeCell ref="I355:O355"/>
    <mergeCell ref="G365:H365"/>
    <mergeCell ref="I365:O365"/>
    <mergeCell ref="C407:F407"/>
    <mergeCell ref="D371:H371"/>
    <mergeCell ref="J371:P371"/>
    <mergeCell ref="F363:G363"/>
    <mergeCell ref="O424:P424"/>
    <mergeCell ref="O428:P428"/>
    <mergeCell ref="E369:H369"/>
    <mergeCell ref="M405:N405"/>
    <mergeCell ref="O413:P413"/>
    <mergeCell ref="G355:H355"/>
    <mergeCell ref="J328:P328"/>
    <mergeCell ref="E409:N409"/>
    <mergeCell ref="O414:P414"/>
    <mergeCell ref="O412:P412"/>
    <mergeCell ref="M349:N349"/>
    <mergeCell ref="O435:P435"/>
    <mergeCell ref="C426:D426"/>
    <mergeCell ref="M363:N363"/>
    <mergeCell ref="J405:K405"/>
    <mergeCell ref="C415:D415"/>
    <mergeCell ref="C417:D417"/>
    <mergeCell ref="C416:D416"/>
    <mergeCell ref="O470:P470"/>
    <mergeCell ref="O476:P476"/>
    <mergeCell ref="O475:P475"/>
    <mergeCell ref="O473:P473"/>
    <mergeCell ref="C477:D477"/>
    <mergeCell ref="C461:D461"/>
    <mergeCell ref="O466:P466"/>
    <mergeCell ref="C463:D463"/>
    <mergeCell ref="C462:D462"/>
    <mergeCell ref="O474:P474"/>
    <mergeCell ref="O461:P461"/>
    <mergeCell ref="C467:D467"/>
    <mergeCell ref="O467:P467"/>
    <mergeCell ref="C468:D468"/>
    <mergeCell ref="C469:D469"/>
    <mergeCell ref="O462:P462"/>
    <mergeCell ref="O464:P464"/>
    <mergeCell ref="C470:D470"/>
    <mergeCell ref="O463:P463"/>
    <mergeCell ref="O465:P465"/>
    <mergeCell ref="C465:D465"/>
    <mergeCell ref="O469:P469"/>
    <mergeCell ref="O488:P488"/>
    <mergeCell ref="O494:P494"/>
    <mergeCell ref="H501:I501"/>
    <mergeCell ref="C491:D491"/>
    <mergeCell ref="C476:D476"/>
    <mergeCell ref="C478:D478"/>
    <mergeCell ref="O477:P477"/>
    <mergeCell ref="C488:D488"/>
    <mergeCell ref="C484:D484"/>
    <mergeCell ref="O489:P489"/>
    <mergeCell ref="C482:D482"/>
    <mergeCell ref="O490:P490"/>
    <mergeCell ref="O492:P492"/>
    <mergeCell ref="C485:D485"/>
    <mergeCell ref="C486:D486"/>
    <mergeCell ref="C490:D490"/>
    <mergeCell ref="C494:D494"/>
    <mergeCell ref="C493:D493"/>
    <mergeCell ref="O483:P483"/>
    <mergeCell ref="E497:H497"/>
    <mergeCell ref="E493:P493"/>
    <mergeCell ref="C492:D492"/>
    <mergeCell ref="J499:P499"/>
    <mergeCell ref="O485:P485"/>
    <mergeCell ref="C699:E699"/>
    <mergeCell ref="F699:J699"/>
    <mergeCell ref="K699:P699"/>
    <mergeCell ref="K673:P673"/>
    <mergeCell ref="N676:P676"/>
    <mergeCell ref="O674:P674"/>
    <mergeCell ref="N675:P675"/>
    <mergeCell ref="F673:J673"/>
    <mergeCell ref="C685:E685"/>
    <mergeCell ref="C680:E680"/>
    <mergeCell ref="C677:E677"/>
    <mergeCell ref="F677:J677"/>
    <mergeCell ref="F680:J680"/>
    <mergeCell ref="C676:E676"/>
    <mergeCell ref="O697:P697"/>
    <mergeCell ref="C693:E693"/>
    <mergeCell ref="N693:P693"/>
    <mergeCell ref="C698:E698"/>
    <mergeCell ref="I698:J698"/>
    <mergeCell ref="C696:E696"/>
    <mergeCell ref="F696:J696"/>
    <mergeCell ref="K696:P696"/>
    <mergeCell ref="I689:J689"/>
    <mergeCell ref="C683:E683"/>
    <mergeCell ref="E448:P448"/>
    <mergeCell ref="M3:Q3"/>
    <mergeCell ref="C449:D449"/>
    <mergeCell ref="L187:O188"/>
    <mergeCell ref="O440:P440"/>
    <mergeCell ref="O447:P447"/>
    <mergeCell ref="O459:P459"/>
    <mergeCell ref="O460:P460"/>
    <mergeCell ref="O458:P458"/>
    <mergeCell ref="O456:P456"/>
    <mergeCell ref="C443:D443"/>
    <mergeCell ref="O443:P443"/>
    <mergeCell ref="O454:P455"/>
    <mergeCell ref="O445:P445"/>
    <mergeCell ref="O446:P446"/>
    <mergeCell ref="O444:P444"/>
    <mergeCell ref="C448:D448"/>
    <mergeCell ref="E454:N454"/>
    <mergeCell ref="C454:D455"/>
    <mergeCell ref="O449:P449"/>
    <mergeCell ref="H332:I332"/>
    <mergeCell ref="C431:D431"/>
    <mergeCell ref="O422:P422"/>
    <mergeCell ref="O411:P411"/>
    <mergeCell ref="C524:D524"/>
    <mergeCell ref="D221:E221"/>
    <mergeCell ref="I223:J223"/>
    <mergeCell ref="C253:M253"/>
    <mergeCell ref="C297:M297"/>
    <mergeCell ref="C340:M340"/>
    <mergeCell ref="C377:M377"/>
    <mergeCell ref="C458:D458"/>
    <mergeCell ref="C425:D425"/>
    <mergeCell ref="C424:D424"/>
    <mergeCell ref="C439:D439"/>
    <mergeCell ref="C441:D441"/>
    <mergeCell ref="C440:D440"/>
    <mergeCell ref="C445:D445"/>
    <mergeCell ref="C447:D447"/>
    <mergeCell ref="C446:D446"/>
    <mergeCell ref="D314:E314"/>
    <mergeCell ref="C434:D434"/>
    <mergeCell ref="C437:D437"/>
    <mergeCell ref="C349:C352"/>
    <mergeCell ref="C515:F515"/>
    <mergeCell ref="C509:M509"/>
    <mergeCell ref="C452:F452"/>
    <mergeCell ref="C460:D460"/>
    <mergeCell ref="O705:Q705"/>
    <mergeCell ref="O21:Q21"/>
    <mergeCell ref="O64:Q64"/>
    <mergeCell ref="O176:Q176"/>
    <mergeCell ref="O248:Q248"/>
    <mergeCell ref="O292:Q292"/>
    <mergeCell ref="O335:Q335"/>
    <mergeCell ref="O504:Q504"/>
    <mergeCell ref="O577:Q577"/>
    <mergeCell ref="O643:Q643"/>
    <mergeCell ref="O457:P457"/>
    <mergeCell ref="I273:O273"/>
    <mergeCell ref="H137:I138"/>
    <mergeCell ref="H147:I147"/>
    <mergeCell ref="J147:O147"/>
    <mergeCell ref="H149:I149"/>
    <mergeCell ref="J149:O149"/>
    <mergeCell ref="C181:M181"/>
    <mergeCell ref="G163:H163"/>
    <mergeCell ref="G161:H161"/>
    <mergeCell ref="D40:E40"/>
    <mergeCell ref="F40:G40"/>
    <mergeCell ref="H40:I40"/>
    <mergeCell ref="J40:K40"/>
  </mergeCells>
  <conditionalFormatting sqref="C716 C728">
    <cfRule type="notContainsBlanks" dxfId="638" priority="10">
      <formula>LEN(TRIM(C716))&gt;0</formula>
    </cfRule>
  </conditionalFormatting>
  <conditionalFormatting sqref="D199:D201 F199:F201 H199:H201 J199:J201">
    <cfRule type="notContainsBlanks" dxfId="636" priority="12">
      <formula>LEN(TRIM(D199))&gt;0</formula>
    </cfRule>
  </conditionalFormatting>
  <conditionalFormatting sqref="E413:N414 E420:N421">
    <cfRule type="notContainsBlanks" dxfId="630" priority="7">
      <formula>LEN(TRIM(E413))&gt;0</formula>
    </cfRule>
  </conditionalFormatting>
  <conditionalFormatting sqref="E428:N430">
    <cfRule type="notContainsBlanks" dxfId="629" priority="6">
      <formula>LEN(TRIM(E428))&gt;0</formula>
    </cfRule>
  </conditionalFormatting>
  <conditionalFormatting sqref="E437:N438 E443:N444">
    <cfRule type="notContainsBlanks" dxfId="628" priority="5">
      <formula>LEN(TRIM(E437))&gt;0</formula>
    </cfRule>
  </conditionalFormatting>
  <conditionalFormatting sqref="E458:N459 E465:N466 E473:N475 E482:N483 E488:N489">
    <cfRule type="notContainsBlanks" dxfId="627" priority="13">
      <formula>LEN(TRIM(E458))&gt;0</formula>
    </cfRule>
  </conditionalFormatting>
  <conditionalFormatting sqref="E521:N522 E529:N530">
    <cfRule type="notContainsBlanks" dxfId="626" priority="4">
      <formula>LEN(TRIM(E521))&gt;0</formula>
    </cfRule>
  </conditionalFormatting>
  <conditionalFormatting sqref="E536:N537">
    <cfRule type="notContainsBlanks" dxfId="625" priority="3">
      <formula>LEN(TRIM(E536))&gt;0</formula>
    </cfRule>
  </conditionalFormatting>
  <conditionalFormatting sqref="E548:N549 E556:N557 E563:N564">
    <cfRule type="notContainsBlanks" dxfId="624" priority="2">
      <formula>LEN(TRIM(E548))&gt;0</formula>
    </cfRule>
  </conditionalFormatting>
  <conditionalFormatting sqref="F351 H351 K351 M351 O351 F361 H361 K361 M361 O361">
    <cfRule type="notContainsBlanks" dxfId="623" priority="15">
      <formula>LEN(TRIM(F351))&gt;0</formula>
    </cfRule>
  </conditionalFormatting>
  <conditionalFormatting sqref="F605:F610 K605:K610 F613:F614 K613:K614 F617:F618 K617:K618 F621:F622 K621:K622 F625:F627 K625:K627 F630:F631 K630:K631 F634:F636 K634:K636">
    <cfRule type="notContainsBlanks" dxfId="622" priority="8">
      <formula>LEN(TRIM(F605))&gt;0</formula>
    </cfRule>
  </conditionalFormatting>
  <conditionalFormatting sqref="F671:F672 K671:K672 F675:F676 K675:K676 F679 K679 F682 K682 F685:F686 K685:K686 F689:F690 K689:K690 F693:F695 K693:K695 F698 K698">
    <cfRule type="notContainsBlanks" dxfId="621" priority="9">
      <formula>LEN(TRIM(F671))&gt;0</formula>
    </cfRule>
  </conditionalFormatting>
  <conditionalFormatting sqref="G89 J89:N89 G91">
    <cfRule type="expression" dxfId="620" priority="18">
      <formula>OR($O$81=1,$O$81=3)</formula>
    </cfRule>
  </conditionalFormatting>
  <conditionalFormatting sqref="G98 J98:N98 G100">
    <cfRule type="expression" dxfId="619" priority="19">
      <formula>OR($O$81=1,$O$81=2)</formula>
    </cfRule>
  </conditionalFormatting>
  <conditionalFormatting sqref="G128 J128:N128 G130">
    <cfRule type="expression" dxfId="618" priority="21">
      <formula>OR($O$120=1,$O$120=3)</formula>
    </cfRule>
  </conditionalFormatting>
  <conditionalFormatting sqref="G137 J137:N137 G139">
    <cfRule type="expression" dxfId="617" priority="20">
      <formula>OR($O$120=1,$O$120=2)</formula>
    </cfRule>
  </conditionalFormatting>
  <conditionalFormatting sqref="G157 H81:M81 G89 J89:N89 G91 G98 J98:N98 G100 H120:M120 G128 J128:N128 G130 G137 J137:N137 G139">
    <cfRule type="notContainsBlanks" dxfId="616" priority="17">
      <formula>LEN(TRIM(G81))&gt;0</formula>
    </cfRule>
  </conditionalFormatting>
  <conditionalFormatting sqref="G157">
    <cfRule type="expression" dxfId="615" priority="1">
      <formula>$C$159="Il n'est pas nécessaire de remplir cette section pour les Régies."</formula>
    </cfRule>
  </conditionalFormatting>
  <conditionalFormatting sqref="H186 D220:J222 H258 F269:H273 H302 F312:H316">
    <cfRule type="notContainsBlanks" dxfId="614" priority="16">
      <formula>LEN(TRIM(D186))&gt;0</formula>
    </cfRule>
  </conditionalFormatting>
  <conditionalFormatting sqref="I169 I171 I241 I243 I285 I287 I328 I330 I369 I371 I497 I499 I570 I572">
    <cfRule type="containsText" dxfId="613" priority="110" operator="containsText" text="Complété">
      <formula>NOT(ISERROR(SEARCH("Complété",I169)))</formula>
    </cfRule>
    <cfRule type="containsText" dxfId="612" priority="111" operator="containsText" text="À compléter">
      <formula>NOT(ISERROR(SEARCH("À compléter",I169)))</formula>
    </cfRule>
  </conditionalFormatting>
  <conditionalFormatting sqref="O24 O45 O67 O179 O251 O295 O338 O375 O507 O580 O646">
    <cfRule type="containsText" dxfId="611" priority="116" operator="containsText" text="Complété">
      <formula>NOT(ISERROR(SEARCH("Complété",O24)))</formula>
    </cfRule>
    <cfRule type="containsText" dxfId="610" priority="117" operator="containsText" text="À compléter">
      <formula>NOT(ISERROR(SEARCH("À compléter",O24)))</formula>
    </cfRule>
  </conditionalFormatting>
  <dataValidations count="2">
    <dataValidation type="list" allowBlank="1" showInputMessage="1" showErrorMessage="1" sqref="L160:L161 L163:L165" xr:uid="{00000000-0002-0000-0600-000000000000}">
      <formula1>$E$18:$E$22</formula1>
    </dataValidation>
    <dataValidation allowBlank="1" showInputMessage="1" showErrorMessage="1" promptTitle="Explications: " prompt="Indiquer le total des coûts additionnels à planifier sur la ligne rose. Ce coût peut être un montant global ou l'addition des coûts inscrits sur les lignes jaunes facultatives, qui permettent de détailler ces coûts additionnels (plus de détails dans AIDE)" sqref="D414 D438 D421 D430 D444 D459 D466 D475 D483 D489" xr:uid="{00000000-0002-0000-0600-000001000000}"/>
  </dataValidations>
  <hyperlinks>
    <hyperlink ref="C16" location="'FORMULAIRE PGA Eau potable'!A577" display="Partie 7A" xr:uid="{00000000-0004-0000-0600-000000000000}"/>
    <hyperlink ref="C8" location="'FORMULAIRE PGA Eau potable'!A21" display="Partie 1" xr:uid="{00000000-0004-0000-0600-000001000000}"/>
    <hyperlink ref="C9" location="'FORMULAIRE PGA Eau potable'!A64" display="Partie 2" xr:uid="{00000000-0004-0000-0600-000002000000}"/>
    <hyperlink ref="C10" location="'FORMULAIRE PGA Eau potable'!A176" display="Partie 3" xr:uid="{00000000-0004-0000-0600-000003000000}"/>
    <hyperlink ref="C12" location="'FORMULAIRE PGA Eau potable'!A292" display="Partie 4B" xr:uid="{00000000-0004-0000-0600-000004000000}"/>
    <hyperlink ref="H173:I173" location="'SOMMAIRE PGA Eau potable'!B8" display="Voir le sommaire du portrait des actifs" xr:uid="{00000000-0004-0000-0600-000005000000}"/>
    <hyperlink ref="H245:I245" location="'SOMMAIRE PGA Eau potable'!B36" display="Voir le sommaire niveaux de service" xr:uid="{00000000-0004-0000-0600-000006000000}"/>
    <hyperlink ref="C13" location="'FORMULAIRE PGA Eau potable'!A335" display="Partie 5A" xr:uid="{00000000-0004-0000-0600-000007000000}"/>
    <hyperlink ref="C15" location="'FORMULAIRE PGA Eau potable'!A504" display="Partie 6" xr:uid="{00000000-0004-0000-0600-000008000000}"/>
    <hyperlink ref="C11" location="'FORMULAIRE PGA Eau potable'!A248" display="Partie 4A" xr:uid="{00000000-0004-0000-0600-000009000000}"/>
    <hyperlink ref="C14" location="'FORMULAIRE PGA Eau potable'!A375" display="Partie 5B" xr:uid="{00000000-0004-0000-0600-00000A000000}"/>
    <hyperlink ref="C17" location="'FORMULAIRE PGA Eau potable'!A643" display="Partie 7B" xr:uid="{00000000-0004-0000-0600-00000B000000}"/>
    <hyperlink ref="H332:I332" location="'SOMMAIRE PGA Eau potable'!AT54" display="Voir le sommaire de la demande à venir" xr:uid="{00000000-0004-0000-0600-00000C000000}"/>
    <hyperlink ref="H289:I289" location="'SOMMAIRE PGA Eau potable'!B54" display="Voir le sommaire pour les risques" xr:uid="{00000000-0004-0000-0600-00000D000000}"/>
    <hyperlink ref="H501:I501" location="'SOMMAIRE PGA Eau potable'!B78" display="Voir le sommaire des prévisions" xr:uid="{00000000-0004-0000-0600-00000E000000}"/>
    <hyperlink ref="H702:I702" location="'SOMMAIRE PGA Eau potable'!B135" display="Voir le sommaire du niveau de progression" xr:uid="{00000000-0004-0000-0600-000011000000}"/>
    <hyperlink ref="J169:P169" location="'FORMULAIRE PGA Eau potable'!A604" display="Aller à la partie 7 pour déterminer maintenant le niveau de confiance de votre municipalité pour cette partie du PGA" xr:uid="{00000000-0004-0000-0600-000012000000}"/>
    <hyperlink ref="J171:P171" location="'FORMULAIRE PGA Eau potable'!A670" display="Aller à la partie 7 pour déterminer maintenant le niveau de progression de votre municipalité pour cette partie du PGA" xr:uid="{00000000-0004-0000-0600-000013000000}"/>
    <hyperlink ref="J241:P241" location="'FORMULAIRE PGA Eau potable'!A612" display="Aller à la partie 7 pour déterminer maintenant le niveau de confiance de votre municipalité pour cette partie du PGA" xr:uid="{00000000-0004-0000-0600-000014000000}"/>
    <hyperlink ref="J243:P243" location="'FORMULAIRE PGA Eau potable'!A674" display="Aller à la partie 7 pour déterminer maintenant le niveau de progression de votre municipalité pour cette partie du PGA" xr:uid="{00000000-0004-0000-0600-000015000000}"/>
    <hyperlink ref="J328:P328" location="'FORMULAIRE PGA Eau potable'!A620" display="Aller à la partie 7 pour déterminer maintenant le niveau de confiance de votre municipalité pour cette partie du PGA" xr:uid="{00000000-0004-0000-0600-000016000000}"/>
    <hyperlink ref="J330:P330" location="'FORMULAIRE PGA Eau potable'!A681" display="Aller à la partie 7 pour déterminer maintenant le niveau de progression de votre municipalité pour cette partie du PGA" xr:uid="{00000000-0004-0000-0600-000017000000}"/>
    <hyperlink ref="J285:P285" location="'FORMULAIRE PGA Eau potable'!A616" display="Aller à la partie 7 pour déterminer maintenant le niveau de confiance de votre municipalité pour cette partie du PGA" xr:uid="{00000000-0004-0000-0600-000018000000}"/>
    <hyperlink ref="J287:P287" location="'FORMULAIRE PGA Eau potable'!A678" display="Aller à la partie 7 pour déterminer maintenant le niveau de progression de votre municipalité pour cette partie du PGA" xr:uid="{00000000-0004-0000-0600-000019000000}"/>
    <hyperlink ref="J369:P369" location="'FORMULAIRE PGA Eau potable'!A624" display="Aller à la partie 7 pour déterminer maintenant le niveau de confiance de votre municipalité pour cette partie du PGA" xr:uid="{00000000-0004-0000-0600-00001A000000}"/>
    <hyperlink ref="J371:P371" location="'FORMULAIRE PGA Eau potable'!A684" display="Aller à la partie 7 pour déterminer maintenant le niveau de progression de votre municipalité pour cette partie du PGA" xr:uid="{00000000-0004-0000-0600-00001B000000}"/>
    <hyperlink ref="J497:P497" location="'FORMULAIRE PGA Eau potable'!A624" display="Aller à la partie 7 pour déterminer maintenant le niveau de confiance de votre municipalité pour cette partie du PGA" xr:uid="{00000000-0004-0000-0600-00001C000000}"/>
    <hyperlink ref="J499:P499" location="'FORMULAIRE PGA Eau potable'!A684" display="Aller à la partie 7 pour déterminer maintenant le niveau de progression de votre municipalité pour cette partie du PGA" xr:uid="{00000000-0004-0000-0600-00001D000000}"/>
    <hyperlink ref="J570:P570" location="'FORMULAIRE PGA Eau potable'!A633" display="Aller à la partie 7 pour déterminer maintenant le niveau de confiance de votre municipalité pour cette partie du PGA" xr:uid="{00000000-0004-0000-0600-00001E000000}"/>
    <hyperlink ref="J572:P572" location="'FORMULAIRE PGA Eau potable'!A692" display="Aller à la partie 7 pour déterminer maintenant le niveau de progression de votre municipalité pour cette partie du PGA" xr:uid="{00000000-0004-0000-0600-00001F000000}"/>
    <hyperlink ref="C604" location="'FORMULAIRE PGA Eau potable'!A64" display="PORTRAIT DES ACTIFS" xr:uid="{00000000-0004-0000-0600-000020000000}"/>
    <hyperlink ref="C612" location="'FORMULAIRE PGA Eau potable'!A176" display="NIVEAUX DE SERVICE" xr:uid="{00000000-0004-0000-0600-000021000000}"/>
    <hyperlink ref="C620" location="'FORMULAIRE PGA Eau potable'!A292" display="DEMANDE À VENIR" xr:uid="{00000000-0004-0000-0600-000022000000}"/>
    <hyperlink ref="C616" location="'FORMULAIRE PGA Eau potable'!A248" display="GESTION DES RISQUES" xr:uid="{00000000-0004-0000-0600-000023000000}"/>
    <hyperlink ref="C624" location="'FORMULAIRE PGA Eau potable'!A375" display="CYCLE DE VIE - IMMOBILISATIONS" xr:uid="{00000000-0004-0000-0600-000024000000}"/>
    <hyperlink ref="C629" location="'FORMULAIRE PGA Eau potable'!A375" display="CYCLE DE VIE - FONCTIONNEMENT" xr:uid="{00000000-0004-0000-0600-000025000000}"/>
    <hyperlink ref="C633" location="'FORMULAIRE PGA Eau potable'!A504" display="RÉSUMÉ FINANCIER" xr:uid="{00000000-0004-0000-0600-000026000000}"/>
    <hyperlink ref="C670" location="'FORMULAIRE PGA Eau potable'!A64" display="PORTRAIT DES ACTIFS" xr:uid="{00000000-0004-0000-0600-000027000000}"/>
    <hyperlink ref="C674" location="'FORMULAIRE PGA Eau potable'!A176" display="NIVEAUX DE SERVICE" xr:uid="{00000000-0004-0000-0600-000028000000}"/>
    <hyperlink ref="C681" location="'FORMULAIRE PGA Eau potable'!A292" display="DEMANDE À VENIR" xr:uid="{00000000-0004-0000-0600-000029000000}"/>
    <hyperlink ref="C678" location="'FORMULAIRE PGA Eau potable'!A248" display="GESTION DES RISQUES" xr:uid="{00000000-0004-0000-0600-00002A000000}"/>
    <hyperlink ref="C684" location="'FORMULAIRE PGA Eau potable'!A375" display="CYCLE DE VIE - IMMOBILISATIONS" xr:uid="{00000000-0004-0000-0600-00002B000000}"/>
    <hyperlink ref="C688" location="'FORMULAIRE PGA Eau potable'!A375" display="CYCLE DE VIE - FONCTIONNEMENT" xr:uid="{00000000-0004-0000-0600-00002C000000}"/>
    <hyperlink ref="C692" location="'FORMULAIRE PGA Eau potable'!A504" display="RÉSUMÉ FINANCIER" xr:uid="{00000000-0004-0000-0600-00002D000000}"/>
    <hyperlink ref="C697" location="'FORMULAIRE PGA Eau potable'!A577" display="AMÉLIORATION ET SUIVI" xr:uid="{00000000-0004-0000-0600-00002E000000}"/>
    <hyperlink ref="C18" location="'FORMULAIRE PGA Eau potable'!A705" display="Partie 8" xr:uid="{00000000-0004-0000-0600-00002F000000}"/>
    <hyperlink ref="O21:Q21" location="AIDE!A21" display="AIDE" xr:uid="{00000000-0004-0000-0600-000030000000}"/>
    <hyperlink ref="O64:Q64" location="AIDE!A47" display="AIDE" xr:uid="{00000000-0004-0000-0600-000031000000}"/>
    <hyperlink ref="O176:Q176" location="AIDE!A87" display="AIDE" xr:uid="{00000000-0004-0000-0600-000032000000}"/>
    <hyperlink ref="O248:Q248" location="AIDE!A137" display="AIDE" xr:uid="{00000000-0004-0000-0600-000033000000}"/>
    <hyperlink ref="O292:Q292" location="AIDE!A137" display="AIDE" xr:uid="{00000000-0004-0000-0600-000034000000}"/>
    <hyperlink ref="O335:Q335" location="AIDE!A173" display="AIDE" xr:uid="{00000000-0004-0000-0600-000035000000}"/>
    <hyperlink ref="O504:Q504" location="AIDE!A216" display="AIDE" xr:uid="{00000000-0004-0000-0600-000036000000}"/>
    <hyperlink ref="O577:Q577" location="AIDE!A236" display="AIDE" xr:uid="{00000000-0004-0000-0600-000037000000}"/>
    <hyperlink ref="O643:Q643" location="AIDE!A236" display="AIDE" xr:uid="{00000000-0004-0000-0600-000038000000}"/>
    <hyperlink ref="O705:Q705" location="AIDE!A267" display="AIDE" xr:uid="{00000000-0004-0000-0600-000039000000}"/>
    <hyperlink ref="H574:I574" location="'SOMMAIRE PGA Eau potable'!B119" display="Voir le sommaire du financement" xr:uid="{00000000-0004-0000-0600-00000F000000}"/>
    <hyperlink ref="H640:I640" location="'SOMMAIRE PGA Eau potable'!AT135" display="Voir le sommaire du niveau de confiance" xr:uid="{00000000-0004-0000-0600-000010000000}"/>
  </hyperlinks>
  <pageMargins left="0.82677165354330717" right="0.62992125984251968" top="0.47244094488188981" bottom="0.47244094488188981" header="0.31496062992125984" footer="0.31496062992125984"/>
  <pageSetup scale="53" fitToHeight="0" orientation="landscape" r:id="rId1"/>
  <headerFooter>
    <oddFooter>&amp;L&amp;K08-042Version 1.0    © CERIU, 2023&amp;R&amp;K08-040FORMULAIRE PGA Eau potable
Page &amp;P / &amp;N</oddFooter>
  </headerFooter>
  <rowBreaks count="17" manualBreakCount="17">
    <brk id="63" max="16383" man="1"/>
    <brk id="116" max="16383" man="1"/>
    <brk id="175" max="16383" man="1"/>
    <brk id="211" max="16383" man="1"/>
    <brk id="247" max="16383" man="1"/>
    <brk id="291" max="16383" man="1"/>
    <brk id="334" max="16383" man="1"/>
    <brk id="373" max="16383" man="1"/>
    <brk id="405" max="16383" man="1"/>
    <brk id="450" max="17" man="1"/>
    <brk id="503" max="16383" man="1"/>
    <brk id="541" max="16383" man="1"/>
    <brk id="576" max="16383" man="1"/>
    <brk id="598" max="16383" man="1"/>
    <brk id="642" max="16383" man="1"/>
    <brk id="664" max="16383" man="1"/>
    <brk id="704" max="16383" man="1"/>
  </rowBreaks>
  <colBreaks count="1" manualBreakCount="1">
    <brk id="1" max="729" man="1"/>
  </colBreaks>
  <ignoredErrors>
    <ignoredError sqref="G612 G616 G624 G629 G633 L612 L616 L624 L629 L633 G684 G688 G692 L692 L688 L684" formula="1"/>
  </ignoredErrors>
  <extLst>
    <ext xmlns:x14="http://schemas.microsoft.com/office/spreadsheetml/2009/9/main" uri="{78C0D931-6437-407d-A8EE-F0AAD7539E65}">
      <x14:conditionalFormattings>
        <x14:conditionalFormatting xmlns:xm="http://schemas.microsoft.com/office/excel/2006/main">
          <x14:cfRule type="notContainsBlanks" priority="31" id="{1AE9125C-B971-4A72-ABF3-6D29FFB3296D}">
            <xm:f>LEN(TRIM(IDENTIFICATION!D31))&gt;0</xm:f>
            <x14:dxf>
              <fill>
                <patternFill>
                  <bgColor theme="9" tint="0.59996337778862885"/>
                </patternFill>
              </fill>
            </x14:dxf>
          </x14:cfRule>
          <xm:sqref>D30 M30</xm:sqref>
        </x14:conditionalFormatting>
        <x14:conditionalFormatting xmlns:xm="http://schemas.microsoft.com/office/excel/2006/main">
          <x14:cfRule type="notContainsBlanks" priority="436" id="{5927632D-7FC7-4D93-A3FA-B6FF789DA4A2}">
            <xm:f>LEN(TRIM(IDENTIFICATION!E49))&gt;0</xm:f>
            <x14:dxf>
              <fill>
                <patternFill>
                  <bgColor theme="9" tint="0.59996337778862885"/>
                </patternFill>
              </fill>
            </x14:dxf>
          </x14:cfRule>
          <xm:sqref>E51 E53</xm:sqref>
        </x14:conditionalFormatting>
        <x14:conditionalFormatting xmlns:xm="http://schemas.microsoft.com/office/excel/2006/main">
          <x14:cfRule type="notContainsBlanks" priority="3482" id="{1061C045-C8AE-4960-8996-F8E0314451D4}">
            <xm:f>LEN(TRIM(IDENTIFICATION!F55))&gt;0</xm:f>
            <x14:dxf>
              <fill>
                <patternFill>
                  <bgColor theme="9" tint="0.59996337778862885"/>
                </patternFill>
              </fill>
            </x14:dxf>
          </x14:cfRule>
          <xm:sqref>E55</xm:sqref>
        </x14:conditionalFormatting>
        <x14:conditionalFormatting xmlns:xm="http://schemas.microsoft.com/office/excel/2006/main">
          <x14:cfRule type="notContainsBlanks" priority="28" id="{1061C045-C8AE-4960-8996-F8E0314451D4}">
            <xm:f>LEN(TRIM(IDENTIFICATION!F59))&gt;0</xm:f>
            <x14:dxf>
              <fill>
                <patternFill>
                  <bgColor theme="9" tint="0.59996337778862885"/>
                </patternFill>
              </fill>
            </x14:dxf>
          </x14:cfRule>
          <xm:sqref>E57</xm:sqref>
        </x14:conditionalFormatting>
        <x14:conditionalFormatting xmlns:xm="http://schemas.microsoft.com/office/excel/2006/main">
          <x14:cfRule type="notContainsBlanks" priority="3819" id="{1061C045-C8AE-4960-8996-F8E0314451D4}">
            <xm:f>LEN(TRIM(IDENTIFICATION!F67))&gt;0</xm:f>
            <x14:dxf>
              <fill>
                <patternFill>
                  <bgColor theme="9" tint="0.59996337778862885"/>
                </patternFill>
              </fill>
            </x14:dxf>
          </x14:cfRule>
          <xm:sqref>E58</xm:sqref>
        </x14:conditionalFormatting>
        <x14:conditionalFormatting xmlns:xm="http://schemas.microsoft.com/office/excel/2006/main">
          <x14:cfRule type="notContainsBlanks" priority="2802" id="{1061C045-C8AE-4960-8996-F8E0314451D4}">
            <xm:f>LEN(TRIM(IDENTIFICATION!F69))&gt;0</xm:f>
            <x14:dxf>
              <fill>
                <patternFill>
                  <bgColor theme="9" tint="0.59996337778862885"/>
                </patternFill>
              </fill>
            </x14:dxf>
          </x14:cfRule>
          <xm:sqref>E59:E60</xm:sqref>
        </x14:conditionalFormatting>
      </x14:conditionalFormattings>
    </ext>
    <ext xmlns:x14="http://schemas.microsoft.com/office/spreadsheetml/2009/9/main" uri="{CCE6A557-97BC-4b89-ADB6-D9C93CAAB3DF}">
      <x14:dataValidations xmlns:xm="http://schemas.microsoft.com/office/excel/2006/main" count="19">
        <x14:dataValidation type="list" allowBlank="1" showInputMessage="1" showErrorMessage="1" xr:uid="{00000000-0002-0000-0600-000002000000}">
          <x14:formula1>
            <xm:f>'MENU DÉROULANT'!$D$113:$D$117</xm:f>
          </x14:formula1>
          <xm:sqref>F613:F614 K634:K636 F634:F636 K630:K631 K625:K627 F630:F631 F625:F627 K621:K622 F621:F622 K617:K618 F617:F618 K613:K614</xm:sqref>
        </x14:dataValidation>
        <x14:dataValidation type="list" allowBlank="1" showInputMessage="1" showErrorMessage="1" xr:uid="{00000000-0002-0000-0600-000003000000}">
          <x14:formula1>
            <xm:f>'MENU DÉROULANT'!$E$113:$E$118</xm:f>
          </x14:formula1>
          <xm:sqref>F671:F672 K671:K672</xm:sqref>
        </x14:dataValidation>
        <x14:dataValidation type="list" allowBlank="1" showInputMessage="1" showErrorMessage="1" xr:uid="{00000000-0002-0000-0600-000004000000}">
          <x14:formula1>
            <xm:f>'MENU DÉROULANT'!$E$76:$E$79</xm:f>
          </x14:formula1>
          <xm:sqref>H220:H229</xm:sqref>
        </x14:dataValidation>
        <x14:dataValidation type="list" allowBlank="1" showInputMessage="1" showErrorMessage="1" xr:uid="{00000000-0002-0000-0600-000005000000}">
          <x14:formula1>
            <xm:f>'MENU DÉROULANT'!$C$88:$C$91</xm:f>
          </x14:formula1>
          <xm:sqref>F269:H274</xm:sqref>
        </x14:dataValidation>
        <x14:dataValidation type="list" allowBlank="1" showInputMessage="1" showErrorMessage="1" xr:uid="{00000000-0002-0000-0600-000006000000}">
          <x14:formula1>
            <xm:f>'MENU DÉROULANT'!$C$113:$C$116</xm:f>
          </x14:formula1>
          <xm:sqref>H605:H610 M698 H698 M693:M695 H693:H695 M689:M690 H689:H690 M685:M686 H685:H686 M682 H682 M679 H679 M675:M676 H675:H676 M671:M672 H671:H672 M634:M636 H634:H636 M630:M631 H630:H631 M625:M627 H625:H627 M621:M622 H621:H622 M617:M618 H617:H618 M613:M614 H613:H614 M605:M610</xm:sqref>
        </x14:dataValidation>
        <x14:dataValidation type="list" allowBlank="1" showInputMessage="1" showErrorMessage="1" xr:uid="{00000000-0002-0000-0600-000007000000}">
          <x14:formula1>
            <xm:f>'MENU DÉROULANT'!$F$76:$F$79</xm:f>
          </x14:formula1>
          <xm:sqref>I220:J229</xm:sqref>
        </x14:dataValidation>
        <x14:dataValidation type="list" allowBlank="1" showInputMessage="1" showErrorMessage="1" xr:uid="{00000000-0002-0000-0600-000008000000}">
          <x14:formula1>
            <xm:f>'MENU DÉROULANT'!$C$76:$C$80</xm:f>
          </x14:formula1>
          <xm:sqref>F220:F229</xm:sqref>
        </x14:dataValidation>
        <x14:dataValidation type="list" allowBlank="1" showInputMessage="1" showErrorMessage="1" xr:uid="{00000000-0002-0000-0600-000009000000}">
          <x14:formula1>
            <xm:f>'MENU DÉROULANT'!$D$76:$D$77</xm:f>
          </x14:formula1>
          <xm:sqref>G220:G229</xm:sqref>
        </x14:dataValidation>
        <x14:dataValidation type="list" allowBlank="1" showInputMessage="1" showErrorMessage="1" xr:uid="{00000000-0002-0000-0600-00000A000000}">
          <x14:formula1>
            <xm:f>'MENU DÉROULANT'!$C$37:$C$38</xm:f>
          </x14:formula1>
          <xm:sqref>G157</xm:sqref>
        </x14:dataValidation>
        <x14:dataValidation type="list" allowBlank="1" showInputMessage="1" showErrorMessage="1" xr:uid="{00000000-0002-0000-0600-00000B000000}">
          <x14:formula1>
            <xm:f>'MENU DÉROULANT'!$F$37:$F$41</xm:f>
          </x14:formula1>
          <xm:sqref>K160:K165</xm:sqref>
        </x14:dataValidation>
        <x14:dataValidation type="list" allowBlank="1" showInputMessage="1" showErrorMessage="1" xr:uid="{00000000-0002-0000-0600-00000C000000}">
          <x14:formula1>
            <xm:f>'MENU DÉROULANT'!$C$31:$C$35</xm:f>
          </x14:formula1>
          <xm:sqref>H81</xm:sqref>
        </x14:dataValidation>
        <x14:dataValidation type="list" allowBlank="1" showInputMessage="1" showErrorMessage="1" xr:uid="{00000000-0002-0000-0600-00000D000000}">
          <x14:formula1>
            <xm:f>'MENU DÉROULANT'!$D$113:$D$118</xm:f>
          </x14:formula1>
          <xm:sqref>F605:F610 K605:K610</xm:sqref>
        </x14:dataValidation>
        <x14:dataValidation type="list" allowBlank="1" showInputMessage="1" showErrorMessage="1" xr:uid="{00000000-0002-0000-0600-00000E000000}">
          <x14:formula1>
            <xm:f>'MENU DÉROULANT'!$F$31:$F$35</xm:f>
          </x14:formula1>
          <xm:sqref>H120:M120</xm:sqref>
        </x14:dataValidation>
        <x14:dataValidation type="list" allowBlank="1" showInputMessage="1" showErrorMessage="1" xr:uid="{00000000-0002-0000-0600-00000F000000}">
          <x14:formula1>
            <xm:f>'MENU DÉROULANT'!$C$71:$C$73</xm:f>
          </x14:formula1>
          <xm:sqref>H186:K187</xm:sqref>
        </x14:dataValidation>
        <x14:dataValidation type="list" allowBlank="1" showInputMessage="1" showErrorMessage="1" xr:uid="{00000000-0002-0000-0600-000010000000}">
          <x14:formula1>
            <xm:f>'MENU DÉROULANT'!$C$84:$C$86</xm:f>
          </x14:formula1>
          <xm:sqref>H258:K259</xm:sqref>
        </x14:dataValidation>
        <x14:dataValidation type="list" allowBlank="1" showInputMessage="1" showErrorMessage="1" xr:uid="{00000000-0002-0000-0600-000011000000}">
          <x14:formula1>
            <xm:f>'MENU DÉROULANT'!$C$99:$C$103</xm:f>
          </x14:formula1>
          <xm:sqref>F312:H317</xm:sqref>
        </x14:dataValidation>
        <x14:dataValidation type="list" allowBlank="1" showInputMessage="1" showErrorMessage="1" xr:uid="{00000000-0002-0000-0600-000012000000}">
          <x14:formula1>
            <xm:f>'MENU DÉROULANT'!$C$95:$C$97</xm:f>
          </x14:formula1>
          <xm:sqref>H302:K303</xm:sqref>
        </x14:dataValidation>
        <x14:dataValidation type="list" allowBlank="1" showInputMessage="1" showErrorMessage="1" xr:uid="{00000000-0002-0000-0600-000013000000}">
          <x14:formula1>
            <xm:f>'MENU DÉROULANT'!$G$76:$G$77</xm:f>
          </x14:formula1>
          <xm:sqref>H199:I203</xm:sqref>
        </x14:dataValidation>
        <x14:dataValidation type="list" allowBlank="1" showInputMessage="1" showErrorMessage="1" xr:uid="{00000000-0002-0000-0600-000014000000}">
          <x14:formula1>
            <xm:f>'MENU DÉROULANT'!$E$113:$E$117</xm:f>
          </x14:formula1>
          <xm:sqref>F675:F676 K698 F698 K693:K695 F693:F695 K689:K690 F689:F690 K685:K686 F685:F686 K682 F682 K679 F679 K675:K676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249977111117893"/>
    <pageSetUpPr fitToPage="1"/>
  </sheetPr>
  <dimension ref="A1:Q351"/>
  <sheetViews>
    <sheetView zoomScaleNormal="100" workbookViewId="0">
      <selection activeCell="P14" sqref="P14"/>
    </sheetView>
  </sheetViews>
  <sheetFormatPr baseColWidth="10" defaultColWidth="11.44140625" defaultRowHeight="14.4"/>
  <cols>
    <col min="1" max="1" width="3.6640625" style="55" customWidth="1"/>
    <col min="2" max="2" width="20.44140625" style="28" customWidth="1"/>
    <col min="3" max="3" width="1.5546875" style="28" customWidth="1"/>
    <col min="4" max="4" width="25.5546875" style="28" customWidth="1"/>
    <col min="5" max="5" width="13.44140625" style="28" customWidth="1"/>
    <col min="6" max="15" width="11.6640625" style="28" customWidth="1"/>
    <col min="16" max="16" width="74.33203125" style="28" customWidth="1"/>
    <col min="17" max="17" width="28.44140625" style="28" customWidth="1"/>
    <col min="18" max="16384" width="11.44140625" style="28"/>
  </cols>
  <sheetData>
    <row r="1" spans="2:17" s="55" customFormat="1" ht="9" customHeight="1" thickBot="1"/>
    <row r="2" spans="2:17" s="55" customFormat="1" ht="32.25" customHeight="1">
      <c r="B2" s="1233" t="s">
        <v>405</v>
      </c>
      <c r="C2" s="1234"/>
      <c r="D2" s="1235"/>
      <c r="E2" s="1235"/>
      <c r="F2" s="1235"/>
      <c r="G2" s="1235"/>
      <c r="H2" s="1235"/>
      <c r="I2" s="1235"/>
      <c r="J2" s="1235"/>
      <c r="K2" s="1235"/>
      <c r="L2" s="1235"/>
      <c r="M2" s="1235"/>
      <c r="N2" s="1235"/>
      <c r="O2" s="1235"/>
      <c r="P2" s="1235"/>
      <c r="Q2" s="1236"/>
    </row>
    <row r="3" spans="2:17" s="55" customFormat="1" ht="57.75" customHeight="1">
      <c r="B3" s="2253"/>
      <c r="P3" s="2955" t="s">
        <v>2395</v>
      </c>
    </row>
    <row r="4" spans="2:17" ht="31.5" customHeight="1">
      <c r="B4" s="1237" t="s">
        <v>0</v>
      </c>
      <c r="C4" s="1237"/>
      <c r="D4" s="1238"/>
      <c r="E4" s="1238"/>
      <c r="F4" s="1238"/>
      <c r="G4" s="1238"/>
      <c r="H4" s="1238"/>
      <c r="I4" s="1238"/>
      <c r="J4" s="1238"/>
      <c r="K4" s="1238"/>
      <c r="L4" s="1238"/>
      <c r="M4" s="1238"/>
      <c r="N4" s="1238"/>
      <c r="O4" s="1238"/>
      <c r="P4" s="1238"/>
      <c r="Q4" s="1238"/>
    </row>
    <row r="6" spans="2:17" ht="26.25" customHeight="1">
      <c r="B6" s="1239" t="s">
        <v>7</v>
      </c>
      <c r="C6" s="1239"/>
      <c r="D6" s="1239"/>
      <c r="E6" s="1239"/>
      <c r="F6" s="1239"/>
      <c r="G6" s="1239"/>
      <c r="H6" s="1239"/>
      <c r="I6" s="1239"/>
      <c r="J6" s="1239"/>
      <c r="K6" s="1239"/>
      <c r="L6" s="1239"/>
      <c r="M6" s="1239"/>
      <c r="N6" s="1239"/>
      <c r="O6" s="1239"/>
      <c r="P6" s="1239"/>
      <c r="Q6" s="1239"/>
    </row>
    <row r="7" spans="2:17" ht="21">
      <c r="B7" s="1585"/>
      <c r="C7" s="1585"/>
    </row>
    <row r="8" spans="2:17">
      <c r="D8" s="1240" t="str">
        <f>IF(IDENTIFICATION!$D$62='MENU DÉROULANT'!$D$19,"MUNICIPALITÉ :  ",IF(IDENTIFICATION!$D$62='MENU DÉROULANT'!$D$20,"RÉGIE :  ","ORGANISATION :  "))</f>
        <v xml:space="preserve">ORGANISATION :  </v>
      </c>
      <c r="E8" s="1241"/>
      <c r="G8" s="1242" t="str">
        <f>IF(AND(IDENTIFICATION!$D$62='MENU DÉROULANT'!$D$19,IDENTIFICATION!$H$72&lt;&gt;""),IDENTIFICATION!$H$72,IF(AND(IDENTIFICATION!$D$62='MENU DÉROULANT'!$D$20,IDENTIFICATION!$H$81&lt;&gt;""),IDENTIFICATION!$H$81,IF(AND(IDENTIFICATION!$D$62='MENU DÉROULANT'!$D$21,IDENTIFICATION!$H$102&lt;&gt;""),IDENTIFICATION!$H$102,"##")))</f>
        <v>##</v>
      </c>
      <c r="H8" s="1243"/>
      <c r="I8" s="1243"/>
      <c r="J8" s="1243"/>
      <c r="K8" s="1241"/>
      <c r="M8" s="1404"/>
      <c r="N8" s="1346"/>
      <c r="O8" s="2889" t="s">
        <v>2281</v>
      </c>
      <c r="P8" s="2890">
        <f>IDENTIFICATION!$F$126</f>
        <v>0</v>
      </c>
    </row>
    <row r="9" spans="2:17">
      <c r="D9" s="1240" t="str">
        <f>IF(IDENTIFICATION!$D$62='MENU DÉROULANT'!$D$19,"CODE GÉOGRAPHIQUE :  ",IF(IDENTIFICATION!$D$62='MENU DÉROULANT'!$D$20,"CODE DE LA RÉGIE :  ",IF(AND(IDENTIFICATION!$D$62='MENU DÉROULANT'!$D$21,IDENTIFICATION!D102=""),"","CODE DE L'ORGANISATION :  ")))</f>
        <v xml:space="preserve">CODE DE L'ORGANISATION :  </v>
      </c>
      <c r="E9" s="1241"/>
      <c r="G9" s="1242" t="str">
        <f>IF(AND(IDENTIFICATION!$D$62='MENU DÉROULANT'!$D$19,IDENTIFICATION!$D$72&lt;&gt;""),IDENTIFICATION!$D$72,IF(AND(IDENTIFICATION!$D$62='MENU DÉROULANT'!$D$20,IDENTIFICATION!$D$81&lt;&gt;""),IDENTIFICATION!$D$81,IF(AND(IDENTIFICATION!$D$62='MENU DÉROULANT'!$D$21,IDENTIFICATION!$D$102=""),"",IF(AND(IDENTIFICATION!$D$62='MENU DÉROULANT'!$D$21,IDENTIFICATION!$D$102&lt;&gt;""),IDENTIFICATION!$D$102,"##"))))</f>
        <v>##</v>
      </c>
      <c r="H9" s="1243"/>
      <c r="I9" s="1243"/>
      <c r="J9" s="1243"/>
      <c r="K9" s="1241"/>
      <c r="M9" s="104"/>
      <c r="O9" s="1098" t="s">
        <v>2282</v>
      </c>
      <c r="P9" s="2891">
        <f>IDENTIFICATION!$I$126</f>
        <v>0</v>
      </c>
    </row>
    <row r="10" spans="2:17">
      <c r="D10" s="1240" t="str">
        <f>IF(IDENTIFICATION!$D$62='MENU DÉROULANT'!$D$19,"RÉGION ADMINISTRATIVE :  ",IF(IDENTIFICATION!$D$62='MENU DÉROULANT'!$D$20,"RÉGION ADMINISTRATIVE :  ",IF(AND(IDENTIFICATION!$D$62='MENU DÉROULANT'!$D$21,IDENTIFICATION!N102=""),"","RÉGION ADMINISTRATIVE :  ")))</f>
        <v xml:space="preserve">RÉGION ADMINISTRATIVE :  </v>
      </c>
      <c r="E10" s="1241"/>
      <c r="G10" s="1242" t="str">
        <f>IF(AND(IDENTIFICATION!$D$62='MENU DÉROULANT'!$D$19,IDENTIFICATION!$N$72&lt;&gt;""),IDENTIFICATION!$N$72,IF(AND(IDENTIFICATION!$D$62='MENU DÉROULANT'!$D$20,IDENTIFICATION!$N$81&lt;&gt;""),IDENTIFICATION!$N$81,IF(AND(IDENTIFICATION!$D$62='MENU DÉROULANT'!$D$21,IDENTIFICATION!$N$102=""),"",IF(AND(IDENTIFICATION!$D$62='MENU DÉROULANT'!$D$21,IDENTIFICATION!$N$102&lt;&gt;""),IDENTIFICATION!$N$102,"##"))))</f>
        <v>##</v>
      </c>
      <c r="H10" s="1243"/>
      <c r="I10" s="1243"/>
      <c r="J10" s="1243"/>
      <c r="K10" s="1241"/>
      <c r="M10" s="1284"/>
      <c r="N10" s="509"/>
      <c r="O10" s="1411" t="s">
        <v>2283</v>
      </c>
      <c r="P10" s="2892">
        <f>IDENTIFICATION!$L$126</f>
        <v>0</v>
      </c>
    </row>
    <row r="11" spans="2:17">
      <c r="D11" s="1211" t="s">
        <v>4031</v>
      </c>
      <c r="E11" s="1586"/>
      <c r="G11" s="1244" t="str">
        <f>IF(ISBLANK(IDENTIFICATION!$E$116)=TRUE,"##",IDENTIFICATION!$E$116)</f>
        <v>##</v>
      </c>
      <c r="H11" s="1243"/>
      <c r="I11" s="1243"/>
      <c r="J11" s="1243"/>
      <c r="K11" s="1241"/>
      <c r="L11" s="104"/>
      <c r="M11" s="3549" t="s">
        <v>2284</v>
      </c>
      <c r="N11" s="3550"/>
      <c r="O11" s="3550"/>
      <c r="P11" s="3547">
        <f>IDENTIFICATION!$G$142</f>
        <v>0</v>
      </c>
    </row>
    <row r="12" spans="2:17">
      <c r="D12" s="1587"/>
      <c r="E12" s="1588"/>
      <c r="G12" s="1245" t="str">
        <f>IF(IDENTIFICATION!$D$62="","","(")</f>
        <v/>
      </c>
      <c r="H12" s="1246" t="str">
        <f>IF(IDENTIFICATION!$D$62="","",IF(ISBLANK(IDENTIFICATION!$E$118)=TRUE,"##",IDENTIFICATION!$E$118))</f>
        <v/>
      </c>
      <c r="I12" s="1240" t="str">
        <f>IF(IDENTIFICATION!$D$62='MENU DÉROULANT'!$D$19,"  PGA remis par la municipalité)",IF(IDENTIFICATION!$D$62='MENU DÉROULANT'!$D$20,"  PGA remis par la régie)",IF(IDENTIFICATION!$D$62='MENU DÉROULANT'!$D$21,"  PGA réalisé par l'organisation)","")))</f>
        <v/>
      </c>
      <c r="J12" s="1243"/>
      <c r="K12" s="1241"/>
      <c r="L12" s="104"/>
      <c r="M12" s="3551"/>
      <c r="N12" s="3552"/>
      <c r="O12" s="3552"/>
      <c r="P12" s="3548"/>
    </row>
    <row r="13" spans="2:17">
      <c r="D13" s="1240" t="s">
        <v>4030</v>
      </c>
      <c r="E13" s="1241"/>
      <c r="G13" s="1247" t="str">
        <f>IF(ISBLANK(IDENTIFICATION!$F$180)=TRUE,"##",IDENTIFICATION!$F$180)</f>
        <v>##</v>
      </c>
      <c r="H13" s="1243"/>
      <c r="I13" s="1243"/>
      <c r="J13" s="1243"/>
      <c r="K13" s="1241"/>
      <c r="L13" s="104"/>
    </row>
    <row r="14" spans="2:17">
      <c r="O14" s="292" t="s">
        <v>4038</v>
      </c>
      <c r="P14" s="2992" t="str">
        <f>IF(IDENTIFICATION!$D$62='MENU DÉROULANT'!$D$20,"Il n'est pas nécessaire de remplir cette section pour les Régies.","")</f>
        <v/>
      </c>
    </row>
    <row r="16" spans="2:17" ht="31.5" customHeight="1">
      <c r="B16" s="1237" t="s">
        <v>1</v>
      </c>
      <c r="C16" s="1237"/>
      <c r="D16" s="1238"/>
      <c r="E16" s="1238"/>
      <c r="F16" s="1238"/>
      <c r="G16" s="1238"/>
      <c r="H16" s="1238"/>
      <c r="I16" s="1238"/>
      <c r="J16" s="1238"/>
      <c r="K16" s="1238"/>
      <c r="L16" s="1238"/>
      <c r="M16" s="1238"/>
      <c r="N16" s="1238"/>
      <c r="O16" s="1238"/>
      <c r="P16" s="1238"/>
      <c r="Q16" s="1238"/>
    </row>
    <row r="18" spans="1:17" ht="22.5" customHeight="1">
      <c r="B18" s="1239" t="s">
        <v>8</v>
      </c>
      <c r="C18" s="1239"/>
      <c r="D18" s="1239"/>
      <c r="E18" s="1239"/>
      <c r="F18" s="1239"/>
      <c r="G18" s="1239"/>
      <c r="H18" s="1239"/>
      <c r="I18" s="1239"/>
      <c r="J18" s="1239"/>
      <c r="K18" s="1239"/>
      <c r="L18" s="1239"/>
      <c r="M18" s="1239"/>
      <c r="N18" s="1239"/>
      <c r="O18" s="1239"/>
      <c r="P18" s="1239"/>
      <c r="Q18" s="1239"/>
    </row>
    <row r="19" spans="1:17" ht="22.5" customHeight="1">
      <c r="B19" s="1248"/>
      <c r="C19" s="1248"/>
      <c r="D19" s="1248"/>
      <c r="E19" s="1248"/>
      <c r="F19" s="1248"/>
      <c r="G19" s="1248"/>
      <c r="H19" s="1248"/>
      <c r="I19" s="1248"/>
      <c r="J19" s="1248"/>
      <c r="M19" s="1248"/>
      <c r="N19" s="1248"/>
      <c r="O19" s="1248"/>
      <c r="P19" s="1248"/>
      <c r="Q19" s="1248"/>
    </row>
    <row r="20" spans="1:17" s="72" customFormat="1" ht="43.5" customHeight="1">
      <c r="A20" s="82"/>
      <c r="B20" s="1249"/>
      <c r="C20" s="1250"/>
      <c r="D20" s="1251"/>
      <c r="E20" s="1252" t="s">
        <v>22</v>
      </c>
      <c r="F20" s="1253" t="s">
        <v>23</v>
      </c>
      <c r="G20" s="1254" t="s">
        <v>406</v>
      </c>
      <c r="H20" s="1251"/>
      <c r="I20" s="1253" t="s">
        <v>407</v>
      </c>
      <c r="J20" s="1255" t="s">
        <v>24</v>
      </c>
    </row>
    <row r="21" spans="1:17" ht="15" customHeight="1">
      <c r="B21" s="1256"/>
      <c r="C21" s="1257"/>
      <c r="D21" s="1258" t="s">
        <v>408</v>
      </c>
      <c r="E21" s="1259">
        <f>'FORMULAIRE PGA Eau potable'!G91</f>
        <v>0</v>
      </c>
      <c r="F21" s="1260" t="str">
        <f>IF(G21=0,"Aucun",G21)</f>
        <v>Aucun</v>
      </c>
      <c r="G21" s="1261">
        <f>'FORMULAIRE PGA Eau potable'!G89</f>
        <v>0</v>
      </c>
      <c r="H21" s="1262"/>
      <c r="I21" s="1263" t="e">
        <f t="shared" ref="I21:I26" si="0">E21/$E$28</f>
        <v>#DIV/0!</v>
      </c>
      <c r="J21" s="363">
        <f>ROUNDDOWN(AVERAGE('FORMULAIRE PGA Eau potable'!G605,'FORMULAIRE PGA Eau potable'!G607),0)</f>
        <v>0</v>
      </c>
      <c r="K21" s="1361"/>
      <c r="O21" s="2446"/>
      <c r="P21" s="2534"/>
      <c r="Q21" s="2447"/>
    </row>
    <row r="22" spans="1:17" ht="19.5" customHeight="1">
      <c r="B22" s="1264"/>
      <c r="C22" s="1265"/>
      <c r="D22" s="1266" t="s">
        <v>409</v>
      </c>
      <c r="E22" s="1267">
        <f>'FORMULAIRE PGA Eau potable'!G100</f>
        <v>0</v>
      </c>
      <c r="F22" s="1268" t="str">
        <f>IF(G22=0,"Aucun",G22)</f>
        <v>Aucun</v>
      </c>
      <c r="G22" s="1269">
        <f>'FORMULAIRE PGA Eau potable'!G98</f>
        <v>0</v>
      </c>
      <c r="H22" s="1262"/>
      <c r="I22" s="1270" t="e">
        <f t="shared" si="0"/>
        <v>#DIV/0!</v>
      </c>
      <c r="J22" s="1271">
        <f>ROUNDDOWN(AVERAGE('FORMULAIRE PGA Eau potable'!G606,'FORMULAIRE PGA Eau potable'!G608),0)</f>
        <v>0</v>
      </c>
      <c r="K22" s="1361"/>
      <c r="O22" s="1296"/>
      <c r="P22" s="2534"/>
    </row>
    <row r="23" spans="1:17" ht="15" customHeight="1">
      <c r="B23" s="1272"/>
      <c r="C23" s="1273"/>
      <c r="D23" s="1274" t="s">
        <v>410</v>
      </c>
      <c r="E23" s="1275">
        <f>'FORMULAIRE PGA Eau potable'!G112</f>
        <v>0</v>
      </c>
      <c r="F23" s="1276" t="str">
        <f>IF(AND(G23=0,H23=0),"Aucun",CONCATENATE(G23," km; ",H23," ouvrages"))</f>
        <v>Aucun</v>
      </c>
      <c r="G23" s="1286">
        <f>'FORMULAIRE PGA Eau potable'!G108</f>
        <v>0</v>
      </c>
      <c r="H23" s="1287">
        <f>'FORMULAIRE PGA Eau potable'!G110</f>
        <v>0</v>
      </c>
      <c r="I23" s="1288" t="e">
        <f t="shared" si="0"/>
        <v>#DIV/0!</v>
      </c>
      <c r="J23" s="2271"/>
      <c r="K23" s="2449"/>
      <c r="O23" s="1296"/>
      <c r="P23" s="2534"/>
    </row>
    <row r="24" spans="1:17" ht="19.5" customHeight="1">
      <c r="B24" s="1256"/>
      <c r="C24" s="1257"/>
      <c r="D24" s="1277" t="s">
        <v>411</v>
      </c>
      <c r="E24" s="1259">
        <f>'FORMULAIRE PGA Eau potable'!G130</f>
        <v>0</v>
      </c>
      <c r="F24" s="1260" t="str">
        <f>IF(G24=0,"Aucun",G24)</f>
        <v>Aucun</v>
      </c>
      <c r="G24" s="1261">
        <f>'FORMULAIRE PGA Eau potable'!G128</f>
        <v>0</v>
      </c>
      <c r="H24" s="1262"/>
      <c r="I24" s="1263" t="e">
        <f t="shared" si="0"/>
        <v>#DIV/0!</v>
      </c>
      <c r="J24" s="363">
        <f>ROUNDDOWN(AVERAGE('FORMULAIRE PGA Eau potable'!L605,'FORMULAIRE PGA Eau potable'!L607),0)</f>
        <v>0</v>
      </c>
      <c r="K24" s="2449"/>
      <c r="O24" s="2446"/>
    </row>
    <row r="25" spans="1:17" ht="15" customHeight="1">
      <c r="B25" s="1278"/>
      <c r="C25" s="1279"/>
      <c r="D25" s="1280" t="s">
        <v>412</v>
      </c>
      <c r="E25" s="1281">
        <f>'FORMULAIRE PGA Eau potable'!G139</f>
        <v>0</v>
      </c>
      <c r="F25" s="1282" t="str">
        <f>IF(G25=0,"Aucun",G25)</f>
        <v>Aucun</v>
      </c>
      <c r="G25" s="1269">
        <f>'FORMULAIRE PGA Eau potable'!G137</f>
        <v>0</v>
      </c>
      <c r="H25" s="1283"/>
      <c r="I25" s="1270" t="e">
        <f t="shared" si="0"/>
        <v>#DIV/0!</v>
      </c>
      <c r="J25" s="1271">
        <f>ROUNDDOWN(AVERAGE('FORMULAIRE PGA Eau potable'!L606,'FORMULAIRE PGA Eau potable'!L608),0)</f>
        <v>0</v>
      </c>
      <c r="K25" s="2450"/>
      <c r="O25" s="1296"/>
    </row>
    <row r="26" spans="1:17" ht="19.5" customHeight="1">
      <c r="B26" s="1284"/>
      <c r="C26" s="509"/>
      <c r="D26" s="1274" t="s">
        <v>413</v>
      </c>
      <c r="E26" s="1285">
        <f>'FORMULAIRE PGA Eau potable'!G151</f>
        <v>0</v>
      </c>
      <c r="F26" s="1276" t="str">
        <f>IF(AND(G26=0,H26=0),"Aucun",CONCATENATE(G26," km; ",H26," ouvrages"))</f>
        <v>Aucun</v>
      </c>
      <c r="G26" s="1286">
        <f>'FORMULAIRE PGA Eau potable'!G147</f>
        <v>0</v>
      </c>
      <c r="H26" s="1287">
        <f>'FORMULAIRE PGA Eau potable'!G149</f>
        <v>0</v>
      </c>
      <c r="I26" s="1288" t="e">
        <f t="shared" si="0"/>
        <v>#DIV/0!</v>
      </c>
      <c r="J26" s="2271"/>
      <c r="K26" s="2450"/>
      <c r="O26" s="1296"/>
    </row>
    <row r="27" spans="1:17" ht="15" customHeight="1">
      <c r="D27" s="1289"/>
      <c r="E27" s="1290"/>
      <c r="F27" s="1291"/>
      <c r="G27" s="1292"/>
      <c r="H27" s="1293"/>
      <c r="J27" s="1294" t="s">
        <v>414</v>
      </c>
      <c r="K27" s="2451"/>
      <c r="L27" s="1356" t="s">
        <v>415</v>
      </c>
      <c r="O27" s="1296"/>
    </row>
    <row r="28" spans="1:17" ht="19.5" customHeight="1">
      <c r="D28" s="1289" t="s">
        <v>416</v>
      </c>
      <c r="E28" s="3559">
        <f>SUM(E21:E26)</f>
        <v>0</v>
      </c>
      <c r="F28" s="3559"/>
      <c r="G28" s="1292"/>
      <c r="H28" s="1293"/>
      <c r="I28" s="292" t="s">
        <v>417</v>
      </c>
      <c r="J28" s="363">
        <f>IF(I33=1,0,IF(I33=2,J21,IF(I33=3,J22,ROUNDDOWN(AVERAGE(J21:J22),0))))</f>
        <v>0</v>
      </c>
      <c r="K28" s="2451"/>
      <c r="L28" s="1357" t="s">
        <v>418</v>
      </c>
      <c r="O28" s="1296"/>
    </row>
    <row r="29" spans="1:17" ht="15" customHeight="1">
      <c r="D29" s="1289"/>
      <c r="E29" s="3559"/>
      <c r="F29" s="3559"/>
      <c r="G29" s="1292"/>
      <c r="H29" s="1293"/>
      <c r="I29" s="292" t="s">
        <v>419</v>
      </c>
      <c r="J29" s="1295">
        <f>IF(I41=1,0,IF(I41=2,J24,IF(I41=3,J25,ROUNDDOWN(AVERAGE(J24:J25),0))))</f>
        <v>0</v>
      </c>
      <c r="K29" s="2452"/>
      <c r="L29" s="2294" t="s">
        <v>420</v>
      </c>
      <c r="O29" s="1296"/>
    </row>
    <row r="30" spans="1:17" ht="19.5" customHeight="1">
      <c r="B30" s="1297" t="s">
        <v>421</v>
      </c>
      <c r="C30" s="1297"/>
      <c r="D30" s="1298" t="s">
        <v>422</v>
      </c>
      <c r="E30" s="1299"/>
      <c r="F30" s="1293"/>
      <c r="G30" s="1292"/>
      <c r="H30" s="1293"/>
      <c r="J30" s="1295">
        <f>IF(I33=1,J29,IF(I41=1,J28,ROUNDDOWN(AVERAGE(J28:J29),0)))</f>
        <v>0</v>
      </c>
      <c r="K30" s="2452"/>
      <c r="L30" s="1357" t="s">
        <v>423</v>
      </c>
      <c r="O30" s="1296"/>
    </row>
    <row r="31" spans="1:17" ht="15" customHeight="1">
      <c r="J31" s="1296"/>
      <c r="K31" s="2758"/>
      <c r="L31" s="2447"/>
      <c r="M31" s="1296"/>
      <c r="N31" s="1296"/>
      <c r="O31" s="1296"/>
    </row>
    <row r="32" spans="1:17" ht="15.75" customHeight="1">
      <c r="B32" s="2258" t="s">
        <v>25</v>
      </c>
      <c r="C32" s="2259"/>
      <c r="D32" s="2259"/>
      <c r="E32" s="2260"/>
      <c r="F32" s="2261"/>
      <c r="G32" s="2262"/>
      <c r="H32" s="2261"/>
      <c r="I32" s="2259"/>
      <c r="J32" s="1296"/>
      <c r="K32" s="2758"/>
      <c r="L32" s="2447"/>
      <c r="M32" s="1296"/>
      <c r="N32" s="1296"/>
      <c r="O32" s="1296"/>
    </row>
    <row r="33" spans="2:15" ht="19.5" customHeight="1">
      <c r="B33" s="2263" t="s">
        <v>424</v>
      </c>
      <c r="C33" s="2263"/>
      <c r="D33" s="2264">
        <f>'FORMULAIRE PGA Eau potable'!H81</f>
        <v>0</v>
      </c>
      <c r="E33" s="2265"/>
      <c r="F33" s="2266"/>
      <c r="G33" s="2267"/>
      <c r="H33" s="2266"/>
      <c r="I33" s="2264">
        <f>IF('FORMULAIRE PGA Eau potable'!O81="",0,'FORMULAIRE PGA Eau potable'!O81)</f>
        <v>0</v>
      </c>
      <c r="J33" s="1296"/>
      <c r="K33" s="2448"/>
      <c r="O33" s="1296"/>
    </row>
    <row r="34" spans="2:15" ht="15" customHeight="1">
      <c r="B34" s="2259"/>
      <c r="C34" s="2259"/>
      <c r="D34" s="2268" t="s">
        <v>425</v>
      </c>
      <c r="E34" s="3564" t="str">
        <f>IF(I33=1,"Aucun actif lié au sous-service Approvisionnement et traitement dans la municipalité.","")</f>
        <v/>
      </c>
      <c r="F34" s="3564"/>
      <c r="G34" s="3564"/>
      <c r="H34" s="3564"/>
      <c r="I34" s="2259"/>
      <c r="M34" s="1296"/>
      <c r="N34" s="1296"/>
      <c r="O34" s="1296"/>
    </row>
    <row r="35" spans="2:15">
      <c r="B35" s="2269"/>
      <c r="C35" s="2269"/>
      <c r="D35" s="2268"/>
      <c r="E35" s="3564"/>
      <c r="F35" s="3564"/>
      <c r="G35" s="3564"/>
      <c r="H35" s="3564"/>
      <c r="I35" s="2259"/>
      <c r="M35" s="1296"/>
      <c r="N35" s="1296"/>
      <c r="O35" s="1296"/>
    </row>
    <row r="36" spans="2:15" ht="15" customHeight="1">
      <c r="B36" s="2259"/>
      <c r="C36" s="2259"/>
      <c r="D36" s="2268" t="s">
        <v>426</v>
      </c>
      <c r="E36" s="3564" t="str">
        <f>IF(I33=2,"(Aucun actif ponctuel pour Approvisionnement&amp;Traitement)","")</f>
        <v/>
      </c>
      <c r="F36" s="3564"/>
      <c r="G36" s="3564"/>
      <c r="H36" s="3564"/>
      <c r="I36" s="2259"/>
      <c r="M36" s="1296"/>
      <c r="N36" s="1296"/>
      <c r="O36" s="1296"/>
    </row>
    <row r="37" spans="2:15">
      <c r="B37" s="2269"/>
      <c r="C37" s="2269"/>
      <c r="D37" s="2259"/>
      <c r="E37" s="3564"/>
      <c r="F37" s="3564"/>
      <c r="G37" s="3564"/>
      <c r="H37" s="3564"/>
      <c r="I37" s="2259"/>
      <c r="M37" s="1296"/>
      <c r="N37" s="1296"/>
      <c r="O37" s="1296"/>
    </row>
    <row r="38" spans="2:15" ht="15" customHeight="1">
      <c r="B38" s="2259"/>
      <c r="C38" s="2259"/>
      <c r="D38" s="2268" t="s">
        <v>427</v>
      </c>
      <c r="E38" s="3564" t="str">
        <f>IF(I33=3,"(Aucun actif linéaire pour Approvisionnement&amp;Traitement)","")</f>
        <v/>
      </c>
      <c r="F38" s="3564"/>
      <c r="G38" s="3564"/>
      <c r="H38" s="3564"/>
      <c r="I38" s="2259"/>
      <c r="M38" s="1296"/>
      <c r="N38" s="1296"/>
      <c r="O38" s="1296"/>
    </row>
    <row r="39" spans="2:15">
      <c r="B39" s="2269"/>
      <c r="C39" s="2269"/>
      <c r="D39" s="2268"/>
      <c r="E39" s="3564"/>
      <c r="F39" s="3564"/>
      <c r="G39" s="3564"/>
      <c r="H39" s="3564"/>
      <c r="I39" s="2259"/>
      <c r="M39" s="1296"/>
      <c r="N39" s="1296"/>
      <c r="O39" s="1296"/>
    </row>
    <row r="40" spans="2:15">
      <c r="B40" s="2269"/>
      <c r="C40" s="2269"/>
      <c r="D40" s="2268"/>
      <c r="E40" s="2270"/>
      <c r="F40" s="2270"/>
      <c r="G40" s="2270"/>
      <c r="H40" s="2270"/>
      <c r="I40" s="2259"/>
      <c r="M40" s="1296"/>
      <c r="N40" s="1296"/>
      <c r="O40" s="1296"/>
    </row>
    <row r="41" spans="2:15" ht="19.5" customHeight="1">
      <c r="B41" s="2263" t="s">
        <v>428</v>
      </c>
      <c r="C41" s="2263"/>
      <c r="D41" s="2264">
        <f>'FORMULAIRE PGA Eau potable'!H120</f>
        <v>0</v>
      </c>
      <c r="E41" s="2260"/>
      <c r="F41" s="2261"/>
      <c r="G41" s="2262"/>
      <c r="H41" s="2261"/>
      <c r="I41" s="2264">
        <f>IF('FORMULAIRE PGA Eau potable'!O120="",0,'FORMULAIRE PGA Eau potable'!O120)</f>
        <v>0</v>
      </c>
      <c r="J41" s="1296"/>
      <c r="M41" s="1296"/>
      <c r="N41" s="1296"/>
      <c r="O41" s="1296"/>
    </row>
    <row r="42" spans="2:15">
      <c r="B42" s="2269"/>
      <c r="C42" s="2269"/>
      <c r="D42" s="2268" t="s">
        <v>429</v>
      </c>
      <c r="E42" s="3564" t="str">
        <f>IF(I41=1,"Aucun actif lié au sous-service Distribution dans la municipalité.","")</f>
        <v/>
      </c>
      <c r="F42" s="3564"/>
      <c r="G42" s="3564"/>
      <c r="H42" s="3564"/>
      <c r="I42" s="2259"/>
      <c r="J42" s="1296"/>
      <c r="M42" s="1296"/>
      <c r="N42" s="1296"/>
      <c r="O42" s="1296"/>
    </row>
    <row r="43" spans="2:15">
      <c r="B43" s="2269"/>
      <c r="C43" s="2269"/>
      <c r="D43" s="2268"/>
      <c r="E43" s="3564"/>
      <c r="F43" s="3564"/>
      <c r="G43" s="3564"/>
      <c r="H43" s="3564"/>
      <c r="I43" s="2259"/>
      <c r="J43" s="1296"/>
      <c r="M43" s="1296"/>
      <c r="N43" s="1296"/>
      <c r="O43" s="1296"/>
    </row>
    <row r="44" spans="2:15">
      <c r="B44" s="2269"/>
      <c r="C44" s="2269"/>
      <c r="D44" s="2268" t="s">
        <v>426</v>
      </c>
      <c r="E44" s="3564" t="str">
        <f>IF(I41=2,"(Aucun actif ponctuel pour Distribution)","")</f>
        <v/>
      </c>
      <c r="F44" s="3564"/>
      <c r="G44" s="3564"/>
      <c r="H44" s="3564"/>
      <c r="I44" s="2259"/>
      <c r="J44" s="1296"/>
      <c r="M44" s="1296"/>
      <c r="N44" s="1296"/>
      <c r="O44" s="1296"/>
    </row>
    <row r="45" spans="2:15">
      <c r="B45" s="2269"/>
      <c r="C45" s="2269"/>
      <c r="D45" s="2259"/>
      <c r="E45" s="3564"/>
      <c r="F45" s="3564"/>
      <c r="G45" s="3564"/>
      <c r="H45" s="3564"/>
      <c r="I45" s="2259"/>
      <c r="J45" s="1296"/>
      <c r="M45" s="1296"/>
      <c r="N45" s="1296"/>
      <c r="O45" s="1296"/>
    </row>
    <row r="46" spans="2:15">
      <c r="B46" s="2269"/>
      <c r="C46" s="2269"/>
      <c r="D46" s="2268" t="s">
        <v>427</v>
      </c>
      <c r="E46" s="3564" t="str">
        <f>IF(I41=3,"(Aucun actif linéaire pour Distribution)","")</f>
        <v/>
      </c>
      <c r="F46" s="3564"/>
      <c r="G46" s="3564"/>
      <c r="H46" s="3564"/>
      <c r="I46" s="2259"/>
      <c r="J46" s="1296"/>
      <c r="M46" s="1296"/>
      <c r="N46" s="1296"/>
      <c r="O46" s="1296"/>
    </row>
    <row r="47" spans="2:15">
      <c r="B47" s="2259"/>
      <c r="C47" s="2259"/>
      <c r="D47" s="2268"/>
      <c r="E47" s="3564"/>
      <c r="F47" s="3564"/>
      <c r="G47" s="3564"/>
      <c r="H47" s="3564"/>
      <c r="I47" s="2259"/>
      <c r="J47" s="1296"/>
      <c r="O47" s="1296"/>
    </row>
    <row r="48" spans="2:15" ht="18.75" customHeight="1"/>
    <row r="49" spans="1:17" ht="18.75" customHeight="1"/>
    <row r="50" spans="1:17" ht="22.5" customHeight="1">
      <c r="B50" s="1239" t="s">
        <v>9</v>
      </c>
      <c r="C50" s="1239"/>
      <c r="D50" s="1239"/>
      <c r="E50" s="1239"/>
      <c r="F50" s="1239"/>
      <c r="G50" s="1239"/>
      <c r="H50" s="1239"/>
      <c r="I50" s="1239"/>
      <c r="J50" s="1239"/>
      <c r="K50" s="1239"/>
      <c r="L50" s="1239"/>
      <c r="M50" s="1239"/>
      <c r="N50" s="1239"/>
      <c r="O50" s="1239"/>
      <c r="P50" s="1239"/>
      <c r="Q50" s="1239"/>
    </row>
    <row r="51" spans="1:17" ht="18">
      <c r="B51" s="1248"/>
      <c r="C51" s="1248"/>
      <c r="D51" s="1248"/>
      <c r="E51" s="1248"/>
      <c r="F51" s="1248"/>
      <c r="G51" s="1248"/>
      <c r="H51" s="1248"/>
      <c r="I51" s="1248"/>
      <c r="J51" s="1248"/>
      <c r="K51" s="1248"/>
      <c r="L51" s="1248"/>
      <c r="M51" s="1248"/>
      <c r="N51" s="1248"/>
      <c r="O51" s="1248"/>
      <c r="P51" s="1248"/>
    </row>
    <row r="52" spans="1:17" ht="24">
      <c r="B52" s="509"/>
      <c r="C52" s="509"/>
      <c r="D52" s="509"/>
      <c r="E52" s="2283" t="s">
        <v>61</v>
      </c>
      <c r="F52" s="2284" t="s">
        <v>62</v>
      </c>
      <c r="G52" s="2284" t="s">
        <v>2290</v>
      </c>
      <c r="H52" s="2284" t="s">
        <v>64</v>
      </c>
      <c r="I52" s="2284" t="s">
        <v>65</v>
      </c>
      <c r="J52" s="2284" t="s">
        <v>66</v>
      </c>
      <c r="K52" s="2285" t="s">
        <v>430</v>
      </c>
      <c r="L52" s="2284" t="s">
        <v>33</v>
      </c>
      <c r="M52" s="2284" t="s">
        <v>431</v>
      </c>
      <c r="N52" s="2284" t="s">
        <v>432</v>
      </c>
    </row>
    <row r="53" spans="1:17" s="308" customFormat="1" ht="23.25" customHeight="1">
      <c r="A53" s="671"/>
      <c r="B53" s="374" t="s">
        <v>417</v>
      </c>
      <c r="C53" s="374"/>
      <c r="D53" s="374" t="s">
        <v>34</v>
      </c>
      <c r="E53" s="2279">
        <f>'FORMULAIRE PGA Eau potable'!J89</f>
        <v>0</v>
      </c>
      <c r="F53" s="1301">
        <f>'FORMULAIRE PGA Eau potable'!K89</f>
        <v>0</v>
      </c>
      <c r="G53" s="1301">
        <f>'FORMULAIRE PGA Eau potable'!L89</f>
        <v>0</v>
      </c>
      <c r="H53" s="1301">
        <f>'FORMULAIRE PGA Eau potable'!M89</f>
        <v>0</v>
      </c>
      <c r="I53" s="1301">
        <f>'FORMULAIRE PGA Eau potable'!N89</f>
        <v>0</v>
      </c>
      <c r="J53" s="1301">
        <f>IF('FORMULAIRE PGA Eau potable'!O89="",0,'FORMULAIRE PGA Eau potable'!O89)</f>
        <v>0</v>
      </c>
      <c r="K53" s="2281">
        <f>SUM(E53:J53)</f>
        <v>0</v>
      </c>
      <c r="L53" s="308">
        <f>'FORMULAIRE PGA Eau potable'!G609</f>
        <v>0</v>
      </c>
      <c r="M53" s="3555">
        <f>IF(I33=1,0,IF(I33=2,L53,IF(I33=3,L54,ROUNDDOWN(AVERAGE(L53:L54),0))))</f>
        <v>0</v>
      </c>
      <c r="N53" s="3555">
        <f>IF(I33=1,M53,IF(I41=1,M55,ROUNDDOWN(AVERAGE(M53:M56),0)))</f>
        <v>0</v>
      </c>
    </row>
    <row r="54" spans="1:17" s="308" customFormat="1" ht="22.5" customHeight="1">
      <c r="A54" s="671"/>
      <c r="B54" s="2276" t="s">
        <v>417</v>
      </c>
      <c r="C54" s="2276"/>
      <c r="D54" s="2276" t="s">
        <v>35</v>
      </c>
      <c r="E54" s="2280">
        <f>'FORMULAIRE PGA Eau potable'!J98</f>
        <v>0</v>
      </c>
      <c r="F54" s="2277">
        <f>'FORMULAIRE PGA Eau potable'!K98</f>
        <v>0</v>
      </c>
      <c r="G54" s="2277">
        <f>'FORMULAIRE PGA Eau potable'!L98</f>
        <v>0</v>
      </c>
      <c r="H54" s="2277">
        <f>'FORMULAIRE PGA Eau potable'!M98</f>
        <v>0</v>
      </c>
      <c r="I54" s="2277">
        <f>'FORMULAIRE PGA Eau potable'!N98</f>
        <v>0</v>
      </c>
      <c r="J54" s="2277">
        <f>IF('FORMULAIRE PGA Eau potable'!O98="",0,'FORMULAIRE PGA Eau potable'!O98)</f>
        <v>0</v>
      </c>
      <c r="K54" s="2282">
        <f>SUM(E54:J54)</f>
        <v>0</v>
      </c>
      <c r="L54" s="2278">
        <f>'FORMULAIRE PGA Eau potable'!G610</f>
        <v>0</v>
      </c>
      <c r="M54" s="3557"/>
      <c r="N54" s="3556"/>
    </row>
    <row r="55" spans="1:17" s="308" customFormat="1" ht="22.5" customHeight="1">
      <c r="A55" s="671"/>
      <c r="B55" s="374" t="s">
        <v>106</v>
      </c>
      <c r="C55" s="374"/>
      <c r="D55" s="374" t="s">
        <v>34</v>
      </c>
      <c r="E55" s="2279">
        <f>'FORMULAIRE PGA Eau potable'!J128</f>
        <v>0</v>
      </c>
      <c r="F55" s="1301">
        <f>'FORMULAIRE PGA Eau potable'!K128</f>
        <v>0</v>
      </c>
      <c r="G55" s="1301">
        <f>'FORMULAIRE PGA Eau potable'!L128</f>
        <v>0</v>
      </c>
      <c r="H55" s="1301">
        <f>'FORMULAIRE PGA Eau potable'!M128</f>
        <v>0</v>
      </c>
      <c r="I55" s="1301">
        <f>'FORMULAIRE PGA Eau potable'!N128</f>
        <v>0</v>
      </c>
      <c r="J55" s="1301">
        <f>IF('FORMULAIRE PGA Eau potable'!O128="",0,'FORMULAIRE PGA Eau potable'!O128)</f>
        <v>0</v>
      </c>
      <c r="K55" s="2281">
        <f>SUM(E55:J55)</f>
        <v>0</v>
      </c>
      <c r="L55" s="308">
        <f>'FORMULAIRE PGA Eau potable'!L609</f>
        <v>0</v>
      </c>
      <c r="M55" s="3555">
        <f>IF(I41=1,0,IF(I41=2,L55,IF(I41=3,L56,ROUNDDOWN(AVERAGE(L55:L56),0))))</f>
        <v>0</v>
      </c>
      <c r="N55" s="3556"/>
    </row>
    <row r="56" spans="1:17" s="308" customFormat="1" ht="22.5" customHeight="1">
      <c r="A56" s="671"/>
      <c r="B56" s="2276" t="s">
        <v>106</v>
      </c>
      <c r="C56" s="2276"/>
      <c r="D56" s="2276" t="s">
        <v>35</v>
      </c>
      <c r="E56" s="2280">
        <f>'FORMULAIRE PGA Eau potable'!J137</f>
        <v>0</v>
      </c>
      <c r="F56" s="2277">
        <f>'FORMULAIRE PGA Eau potable'!K137</f>
        <v>0</v>
      </c>
      <c r="G56" s="2277">
        <f>'FORMULAIRE PGA Eau potable'!L137</f>
        <v>0</v>
      </c>
      <c r="H56" s="2277">
        <f>'FORMULAIRE PGA Eau potable'!M137</f>
        <v>0</v>
      </c>
      <c r="I56" s="2277">
        <f>'FORMULAIRE PGA Eau potable'!N137</f>
        <v>0</v>
      </c>
      <c r="J56" s="2277">
        <f>IF('FORMULAIRE PGA Eau potable'!O137="",0,'FORMULAIRE PGA Eau potable'!O137)</f>
        <v>0</v>
      </c>
      <c r="K56" s="2282">
        <f>SUM(E56:J56)</f>
        <v>0</v>
      </c>
      <c r="L56" s="2278">
        <f>'FORMULAIRE PGA Eau potable'!L610</f>
        <v>0</v>
      </c>
      <c r="M56" s="3557"/>
      <c r="N56" s="3557"/>
    </row>
    <row r="57" spans="1:17" s="308" customFormat="1" ht="17.25" customHeight="1">
      <c r="A57" s="671"/>
      <c r="B57" s="374"/>
      <c r="C57" s="374"/>
      <c r="D57" s="374"/>
      <c r="E57" s="1301"/>
      <c r="F57" s="1301"/>
      <c r="G57" s="1301"/>
      <c r="H57" s="1301"/>
      <c r="I57" s="1301"/>
      <c r="J57" s="1301"/>
      <c r="K57" s="1302"/>
    </row>
    <row r="59" spans="1:17" ht="31.5" customHeight="1">
      <c r="B59" s="1237" t="s">
        <v>2</v>
      </c>
      <c r="C59" s="1237"/>
      <c r="D59" s="1238"/>
      <c r="E59" s="1238"/>
      <c r="F59" s="1238"/>
      <c r="G59" s="1238"/>
      <c r="H59" s="1238"/>
      <c r="I59" s="1238"/>
      <c r="J59" s="1238"/>
      <c r="K59" s="1238"/>
      <c r="L59" s="1238"/>
      <c r="M59" s="1238"/>
      <c r="N59" s="1238"/>
      <c r="O59" s="1238"/>
      <c r="P59" s="1238"/>
      <c r="Q59" s="1238"/>
    </row>
    <row r="61" spans="1:17" ht="22.5" customHeight="1">
      <c r="B61" s="1239" t="s">
        <v>10</v>
      </c>
      <c r="C61" s="1239"/>
      <c r="D61" s="1239"/>
      <c r="E61" s="1239"/>
      <c r="F61" s="1239"/>
      <c r="G61" s="1239"/>
      <c r="H61" s="1239"/>
      <c r="I61" s="1239"/>
      <c r="J61" s="1239"/>
      <c r="K61" s="1239"/>
      <c r="L61" s="1239"/>
      <c r="M61" s="1239"/>
      <c r="N61" s="1239"/>
      <c r="O61" s="1239"/>
      <c r="P61" s="1239"/>
      <c r="Q61" s="1239"/>
    </row>
    <row r="62" spans="1:17" ht="18">
      <c r="B62" s="1248"/>
      <c r="C62" s="1248"/>
      <c r="D62" s="1248"/>
      <c r="E62" s="1248"/>
      <c r="F62" s="1248"/>
      <c r="G62" s="1248"/>
      <c r="H62" s="1248"/>
      <c r="I62" s="1248"/>
      <c r="J62" s="1248"/>
      <c r="K62" s="1248"/>
      <c r="L62" s="1248"/>
      <c r="M62" s="1248"/>
      <c r="N62" s="1248"/>
      <c r="O62" s="1248"/>
      <c r="P62" s="1248"/>
      <c r="Q62" s="1248"/>
    </row>
    <row r="63" spans="1:17" ht="25.5" customHeight="1">
      <c r="B63" s="1248"/>
      <c r="C63" s="1248"/>
      <c r="D63" s="2888" t="s">
        <v>2280</v>
      </c>
      <c r="E63" s="2886"/>
      <c r="F63" s="2886"/>
      <c r="G63" s="1334"/>
      <c r="H63" s="2888" t="s">
        <v>494</v>
      </c>
      <c r="I63" s="1248"/>
      <c r="L63" s="1248"/>
      <c r="N63" s="1304" t="s">
        <v>33</v>
      </c>
      <c r="O63" s="1305">
        <f>IF(I33=1,'FORMULAIRE PGA Eau potable'!L613,IF(I44=1,'FORMULAIRE PGA Eau potable'!G613,ROUNDDOWN(AVERAGE('FORMULAIRE PGA Eau potable'!G613,'FORMULAIRE PGA Eau potable'!L613),0)))</f>
        <v>0</v>
      </c>
      <c r="P63" s="1248"/>
      <c r="Q63" s="1248"/>
    </row>
    <row r="64" spans="1:17" ht="18">
      <c r="B64" s="1429">
        <v>1</v>
      </c>
      <c r="C64" s="1248"/>
      <c r="D64" s="319">
        <f>'FORMULAIRE PGA Eau potable'!D199</f>
        <v>0</v>
      </c>
      <c r="E64" s="1424"/>
      <c r="F64" s="1424"/>
      <c r="G64" s="1424"/>
      <c r="H64" s="319">
        <f>'FORMULAIRE PGA Eau potable'!J199</f>
        <v>0</v>
      </c>
      <c r="I64" s="1248"/>
      <c r="J64" s="1248"/>
      <c r="K64" s="1248"/>
      <c r="L64" s="1248"/>
      <c r="O64" s="1248"/>
      <c r="P64" s="1248"/>
      <c r="Q64" s="1248"/>
    </row>
    <row r="65" spans="2:17" ht="18">
      <c r="B65" s="1429">
        <v>2</v>
      </c>
      <c r="C65" s="1248"/>
      <c r="D65" s="319">
        <f>'FORMULAIRE PGA Eau potable'!D200</f>
        <v>0</v>
      </c>
      <c r="E65" s="1424"/>
      <c r="F65" s="1424"/>
      <c r="G65" s="1424"/>
      <c r="H65" s="319">
        <f>'FORMULAIRE PGA Eau potable'!J200</f>
        <v>0</v>
      </c>
      <c r="I65" s="1248"/>
      <c r="J65" s="1248"/>
      <c r="K65" s="1248"/>
      <c r="L65" s="1248"/>
      <c r="O65" s="1248"/>
      <c r="P65" s="1248"/>
      <c r="Q65" s="1248"/>
    </row>
    <row r="66" spans="2:17" ht="18">
      <c r="B66" s="1429">
        <v>3</v>
      </c>
      <c r="C66" s="1248"/>
      <c r="D66" s="319">
        <f>'FORMULAIRE PGA Eau potable'!D201</f>
        <v>0</v>
      </c>
      <c r="E66" s="1424"/>
      <c r="F66" s="1424"/>
      <c r="G66" s="1424"/>
      <c r="H66" s="319">
        <f>'FORMULAIRE PGA Eau potable'!J201</f>
        <v>0</v>
      </c>
      <c r="I66" s="1248"/>
      <c r="J66" s="1248"/>
      <c r="K66" s="1248"/>
      <c r="L66" s="1248"/>
      <c r="O66" s="1248"/>
      <c r="P66" s="1248"/>
      <c r="Q66" s="1248"/>
    </row>
    <row r="67" spans="2:17" ht="18">
      <c r="B67" s="1248"/>
      <c r="C67" s="1248"/>
      <c r="D67" s="1248"/>
      <c r="E67" s="1248"/>
      <c r="F67" s="1248"/>
      <c r="G67" s="1248"/>
      <c r="H67" s="1248"/>
      <c r="I67" s="1248"/>
      <c r="J67" s="1248"/>
      <c r="K67" s="1248"/>
      <c r="L67" s="1248"/>
      <c r="O67" s="1248"/>
      <c r="P67" s="1248"/>
      <c r="Q67" s="1248"/>
    </row>
    <row r="68" spans="2:17" ht="18">
      <c r="B68" s="1248"/>
      <c r="C68" s="1248"/>
      <c r="D68" s="1248"/>
      <c r="E68" s="1248"/>
      <c r="F68" s="1248"/>
      <c r="G68" s="1248"/>
      <c r="H68" s="1248"/>
      <c r="I68" s="1248"/>
      <c r="J68" s="1248"/>
      <c r="K68" s="1248"/>
      <c r="L68" s="1248"/>
      <c r="M68" s="1248"/>
      <c r="N68" s="1248"/>
      <c r="O68" s="1248"/>
      <c r="P68" s="1248"/>
      <c r="Q68" s="1248"/>
    </row>
    <row r="69" spans="2:17" ht="22.5" customHeight="1">
      <c r="B69" s="1239" t="s">
        <v>11</v>
      </c>
      <c r="C69" s="1239"/>
      <c r="D69" s="1239"/>
      <c r="E69" s="1239"/>
      <c r="F69" s="1239"/>
      <c r="G69" s="1239"/>
      <c r="H69" s="1239"/>
      <c r="I69" s="1239"/>
      <c r="J69" s="1239"/>
      <c r="K69" s="1239"/>
      <c r="L69" s="1239"/>
      <c r="M69" s="1239"/>
      <c r="N69" s="1239"/>
      <c r="O69" s="1239"/>
      <c r="P69" s="1239"/>
      <c r="Q69" s="1239"/>
    </row>
    <row r="70" spans="2:17" ht="18">
      <c r="B70" s="1248"/>
      <c r="C70" s="1248"/>
      <c r="D70" s="1248"/>
      <c r="E70" s="1248"/>
      <c r="F70" s="1248"/>
      <c r="G70" s="1248"/>
      <c r="H70" s="1248"/>
      <c r="I70" s="1248"/>
      <c r="J70" s="1248"/>
      <c r="K70" s="1248"/>
      <c r="L70" s="1248"/>
      <c r="M70" s="1248"/>
      <c r="N70" s="1248"/>
      <c r="O70" s="1248"/>
      <c r="P70" s="1248"/>
      <c r="Q70" s="1248"/>
    </row>
    <row r="71" spans="2:17" ht="25.5" customHeight="1">
      <c r="D71" s="1306" t="s">
        <v>26</v>
      </c>
      <c r="E71" s="1306" t="s">
        <v>433</v>
      </c>
      <c r="F71" s="1306" t="s">
        <v>434</v>
      </c>
      <c r="G71" s="1307"/>
      <c r="H71" s="308"/>
      <c r="I71" s="1308"/>
      <c r="J71" s="1309" t="str">
        <f>'MENU DÉROULANT'!D76</f>
        <v>Technique</v>
      </c>
      <c r="K71" s="1310" t="str">
        <f>'MENU DÉROULANT'!D77</f>
        <v>Citoyen</v>
      </c>
      <c r="L71" s="319"/>
      <c r="N71" s="1304" t="s">
        <v>33</v>
      </c>
      <c r="O71" s="1305">
        <f>O63</f>
        <v>0</v>
      </c>
    </row>
    <row r="72" spans="2:17" ht="18" customHeight="1">
      <c r="B72" s="292"/>
      <c r="C72" s="292"/>
      <c r="D72" s="1097">
        <f>'FORMULAIRE PGA Eau potable'!D220</f>
        <v>0</v>
      </c>
      <c r="E72" s="1097">
        <f>'FORMULAIRE PGA Eau potable'!F220</f>
        <v>0</v>
      </c>
      <c r="F72" s="1097">
        <f>'FORMULAIRE PGA Eau potable'!G220</f>
        <v>0</v>
      </c>
      <c r="G72" s="28">
        <v>1</v>
      </c>
      <c r="H72" s="1311"/>
      <c r="I72" s="1312" t="str">
        <f>'MENU DÉROULANT'!C76</f>
        <v>Fonction</v>
      </c>
      <c r="J72" s="1313">
        <f>SUMIFS($G$72:$G$81,$E$72:$E$81,I72,$F$72:$F$81,$J$71)</f>
        <v>0</v>
      </c>
      <c r="K72" s="1314">
        <f>SUMIFS($G$72:$G$81,$E$72:$E$81,I72,$F$72:$F$81,$K$71)</f>
        <v>0</v>
      </c>
      <c r="L72" s="319"/>
      <c r="M72" s="319"/>
      <c r="N72" s="148"/>
    </row>
    <row r="73" spans="2:17" ht="18" customHeight="1">
      <c r="B73" s="292"/>
      <c r="C73" s="292"/>
      <c r="D73" s="1097">
        <f>'FORMULAIRE PGA Eau potable'!D221</f>
        <v>0</v>
      </c>
      <c r="E73" s="1097">
        <f>'FORMULAIRE PGA Eau potable'!F221</f>
        <v>0</v>
      </c>
      <c r="F73" s="1097">
        <f>'FORMULAIRE PGA Eau potable'!G221</f>
        <v>0</v>
      </c>
      <c r="G73" s="28">
        <v>1</v>
      </c>
      <c r="H73" s="1311"/>
      <c r="I73" s="1312" t="str">
        <f>'MENU DÉROULANT'!C77</f>
        <v>Qualité</v>
      </c>
      <c r="J73" s="1315">
        <f>SUMIFS($G$72:$G$81,$E$72:$E$81,I73,$F$72:$F$81,$J$71)</f>
        <v>0</v>
      </c>
      <c r="K73" s="1316">
        <f>SUMIFS($G$72:$G$81,$E$72:$E$81,I73,$F$72:$F$81,$K$71)</f>
        <v>0</v>
      </c>
      <c r="L73" s="319"/>
      <c r="M73" s="319"/>
    </row>
    <row r="74" spans="2:17" ht="18" customHeight="1">
      <c r="B74" s="292"/>
      <c r="C74" s="292"/>
      <c r="D74" s="1097">
        <f>'FORMULAIRE PGA Eau potable'!D222</f>
        <v>0</v>
      </c>
      <c r="E74" s="1097">
        <f>'FORMULAIRE PGA Eau potable'!F222</f>
        <v>0</v>
      </c>
      <c r="F74" s="1097">
        <f>'FORMULAIRE PGA Eau potable'!G222</f>
        <v>0</v>
      </c>
      <c r="G74" s="28">
        <v>1</v>
      </c>
      <c r="H74" s="1311"/>
      <c r="I74" s="1312" t="str">
        <f>'MENU DÉROULANT'!C78</f>
        <v>État</v>
      </c>
      <c r="J74" s="1315">
        <f>SUMIFS($G$72:$G$81,$E$72:$E$81,I74,$F$72:$F$81,$J$71)</f>
        <v>0</v>
      </c>
      <c r="K74" s="1316">
        <f>SUMIFS($G$72:$G$81,$E$72:$E$81,I74,$F$72:$F$81,$K$71)</f>
        <v>0</v>
      </c>
      <c r="L74" s="319"/>
      <c r="M74" s="319"/>
      <c r="N74" s="148"/>
    </row>
    <row r="75" spans="2:17" ht="18" customHeight="1">
      <c r="B75" s="292"/>
      <c r="C75" s="292"/>
      <c r="D75" s="1097">
        <f>'FORMULAIRE PGA Eau potable'!D223</f>
        <v>0</v>
      </c>
      <c r="E75" s="1097">
        <f>'FORMULAIRE PGA Eau potable'!F223</f>
        <v>0</v>
      </c>
      <c r="F75" s="1097">
        <f>'FORMULAIRE PGA Eau potable'!G223</f>
        <v>0</v>
      </c>
      <c r="G75" s="28">
        <v>1</v>
      </c>
      <c r="H75" s="1311"/>
      <c r="I75" s="1312" t="str">
        <f>'MENU DÉROULANT'!C79</f>
        <v>Capacité</v>
      </c>
      <c r="J75" s="1315">
        <f>SUMIFS($G$72:$G$81,$E$72:$E$81,I75,$F$72:$F$81,$J$71)</f>
        <v>0</v>
      </c>
      <c r="K75" s="1316">
        <f>SUMIFS($G$72:$G$81,$E$72:$E$81,I75,$F$72:$F$81,$K$71)</f>
        <v>0</v>
      </c>
      <c r="L75" s="319"/>
      <c r="M75" s="319"/>
      <c r="N75" s="148"/>
    </row>
    <row r="76" spans="2:17" ht="18" customHeight="1">
      <c r="B76" s="292"/>
      <c r="C76" s="292"/>
      <c r="D76" s="1097">
        <f>'FORMULAIRE PGA Eau potable'!D224</f>
        <v>0</v>
      </c>
      <c r="E76" s="1097">
        <f>'FORMULAIRE PGA Eau potable'!F224</f>
        <v>0</v>
      </c>
      <c r="F76" s="1097">
        <f>'FORMULAIRE PGA Eau potable'!G224</f>
        <v>0</v>
      </c>
      <c r="G76" s="28">
        <v>1</v>
      </c>
      <c r="H76" s="1311"/>
      <c r="I76" s="1317" t="str">
        <f>'MENU DÉROULANT'!C80</f>
        <v>Autre</v>
      </c>
      <c r="J76" s="1318">
        <f>SUMIFS($G$72:$G$81,$E$72:$E$81,I76,$F$72:$F$81,$J$71)</f>
        <v>0</v>
      </c>
      <c r="K76" s="1319">
        <f>SUMIFS($G$72:$G$81,$E$72:$E$81,I76,$F$72:$F$81,$K$71)</f>
        <v>0</v>
      </c>
      <c r="L76" s="319"/>
      <c r="M76" s="319"/>
      <c r="N76" s="148"/>
    </row>
    <row r="77" spans="2:17" ht="18" customHeight="1">
      <c r="D77" s="1097">
        <f>'FORMULAIRE PGA Eau potable'!D225</f>
        <v>0</v>
      </c>
      <c r="E77" s="1097">
        <f>'FORMULAIRE PGA Eau potable'!F225</f>
        <v>0</v>
      </c>
      <c r="F77" s="1097">
        <f>'FORMULAIRE PGA Eau potable'!G225</f>
        <v>0</v>
      </c>
      <c r="G77" s="28">
        <v>1</v>
      </c>
      <c r="H77" s="1311"/>
      <c r="I77" s="1311"/>
      <c r="K77" s="1097"/>
      <c r="L77" s="319"/>
      <c r="M77" s="319"/>
    </row>
    <row r="78" spans="2:17" ht="18" customHeight="1">
      <c r="D78" s="1097">
        <f>'FORMULAIRE PGA Eau potable'!D226</f>
        <v>0</v>
      </c>
      <c r="E78" s="1097">
        <f>'FORMULAIRE PGA Eau potable'!F226</f>
        <v>0</v>
      </c>
      <c r="F78" s="1097">
        <f>'FORMULAIRE PGA Eau potable'!G226</f>
        <v>0</v>
      </c>
      <c r="G78" s="28">
        <v>1</v>
      </c>
      <c r="H78" s="1311"/>
      <c r="I78" s="1311"/>
      <c r="J78" s="319"/>
      <c r="K78" s="1097"/>
      <c r="L78" s="319"/>
      <c r="M78" s="1320"/>
      <c r="N78" s="319"/>
    </row>
    <row r="79" spans="2:17" ht="18" customHeight="1">
      <c r="D79" s="1097">
        <f>'FORMULAIRE PGA Eau potable'!D227</f>
        <v>0</v>
      </c>
      <c r="E79" s="1097">
        <f>'FORMULAIRE PGA Eau potable'!F227</f>
        <v>0</v>
      </c>
      <c r="F79" s="1097">
        <f>'FORMULAIRE PGA Eau potable'!G227</f>
        <v>0</v>
      </c>
      <c r="G79" s="28">
        <v>1</v>
      </c>
      <c r="H79" s="1311"/>
      <c r="I79" s="1311"/>
      <c r="J79" s="319"/>
      <c r="K79" s="1097"/>
      <c r="L79" s="319"/>
      <c r="M79" s="1320"/>
      <c r="N79" s="319"/>
    </row>
    <row r="80" spans="2:17" ht="18" customHeight="1">
      <c r="D80" s="1097">
        <f>'FORMULAIRE PGA Eau potable'!D228</f>
        <v>0</v>
      </c>
      <c r="E80" s="1097">
        <f>'FORMULAIRE PGA Eau potable'!F228</f>
        <v>0</v>
      </c>
      <c r="F80" s="1097">
        <f>'FORMULAIRE PGA Eau potable'!G228</f>
        <v>0</v>
      </c>
      <c r="G80" s="28">
        <v>1</v>
      </c>
      <c r="H80" s="1311"/>
      <c r="I80" s="1311"/>
      <c r="J80" s="319"/>
      <c r="K80" s="1097"/>
      <c r="L80" s="319"/>
      <c r="M80" s="1320"/>
      <c r="N80" s="319"/>
    </row>
    <row r="81" spans="2:17" ht="18" customHeight="1">
      <c r="D81" s="1097">
        <f>'FORMULAIRE PGA Eau potable'!D229</f>
        <v>0</v>
      </c>
      <c r="E81" s="1097">
        <f>'FORMULAIRE PGA Eau potable'!F229</f>
        <v>0</v>
      </c>
      <c r="F81" s="1097">
        <f>'FORMULAIRE PGA Eau potable'!G229</f>
        <v>0</v>
      </c>
      <c r="G81" s="28">
        <v>1</v>
      </c>
      <c r="H81" s="1311"/>
      <c r="I81" s="1311"/>
      <c r="J81" s="319"/>
      <c r="K81" s="1097"/>
      <c r="L81" s="319"/>
      <c r="M81" s="1320"/>
      <c r="N81" s="319"/>
    </row>
    <row r="82" spans="2:17" ht="18" customHeight="1">
      <c r="D82" s="1097"/>
      <c r="E82" s="1097"/>
      <c r="F82" s="1097"/>
      <c r="H82" s="1311"/>
      <c r="I82" s="1311"/>
      <c r="J82" s="319"/>
      <c r="K82" s="1097"/>
      <c r="L82" s="319"/>
      <c r="M82" s="1320"/>
      <c r="N82" s="319"/>
    </row>
    <row r="83" spans="2:17">
      <c r="M83" s="1097"/>
    </row>
    <row r="84" spans="2:17" ht="22.5" customHeight="1">
      <c r="B84" s="1239" t="s">
        <v>12</v>
      </c>
      <c r="C84" s="1239"/>
      <c r="D84" s="1239"/>
      <c r="E84" s="1239"/>
      <c r="F84" s="1239"/>
      <c r="G84" s="1239"/>
      <c r="H84" s="1239"/>
      <c r="I84" s="1239"/>
      <c r="J84" s="1239"/>
      <c r="K84" s="1239"/>
      <c r="L84" s="1239"/>
      <c r="M84" s="1239"/>
      <c r="N84" s="1239"/>
      <c r="O84" s="1239"/>
      <c r="P84" s="1239"/>
      <c r="Q84" s="1239"/>
    </row>
    <row r="86" spans="2:17" ht="25.5" customHeight="1">
      <c r="D86" s="1970" t="s">
        <v>26</v>
      </c>
      <c r="E86" s="1321" t="s">
        <v>435</v>
      </c>
      <c r="F86" s="1321" t="s">
        <v>436</v>
      </c>
      <c r="G86" s="72"/>
      <c r="H86" s="1321"/>
      <c r="I86" s="3553" t="s">
        <v>435</v>
      </c>
      <c r="J86" s="3554"/>
      <c r="K86" s="3553" t="s">
        <v>436</v>
      </c>
      <c r="L86" s="3554"/>
      <c r="N86" s="1304" t="s">
        <v>33</v>
      </c>
      <c r="O86" s="1305">
        <f>O63</f>
        <v>0</v>
      </c>
    </row>
    <row r="87" spans="2:17">
      <c r="D87" s="292">
        <f>'FORMULAIRE PGA Eau potable'!D220</f>
        <v>0</v>
      </c>
      <c r="E87" s="319">
        <f>'FORMULAIRE PGA Eau potable'!H220</f>
        <v>0</v>
      </c>
      <c r="F87" s="319">
        <f>'FORMULAIRE PGA Eau potable'!I220</f>
        <v>0</v>
      </c>
      <c r="I87" s="1322" t="str">
        <f>IF(E87=$G$94,"h",IF(E87=$G$95,"g",IF((E87=$G$96),"i","")))</f>
        <v/>
      </c>
      <c r="J87" s="1262" t="str">
        <f>IF(E87=$G$97,"Inconnu","")</f>
        <v/>
      </c>
      <c r="K87" s="1323" t="str">
        <f>IF(F87=$J$94,5,IF(F87=$J$95,0,IF((F87=$J$96),6,"")))</f>
        <v/>
      </c>
      <c r="L87" s="1324" t="str">
        <f>IF(F87=$J$97,"Aucun","")</f>
        <v/>
      </c>
    </row>
    <row r="88" spans="2:17">
      <c r="D88" s="292">
        <f>'FORMULAIRE PGA Eau potable'!D221</f>
        <v>0</v>
      </c>
      <c r="E88" s="319">
        <f>'FORMULAIRE PGA Eau potable'!H221</f>
        <v>0</v>
      </c>
      <c r="F88" s="319">
        <f>'FORMULAIRE PGA Eau potable'!I221</f>
        <v>0</v>
      </c>
      <c r="I88" s="1322" t="str">
        <f>IF(E88=$G$94,"h",IF(E88=$G$95,"g",IF((E88=$G$96),"i","")))</f>
        <v/>
      </c>
      <c r="J88" s="1262" t="str">
        <f>IF(E88=$G$97,"Inconnu","")</f>
        <v/>
      </c>
      <c r="K88" s="1323" t="str">
        <f>IF(F88=$J$94,5,IF(F88=$J$95,0,IF((F88=$J$96),6,"")))</f>
        <v/>
      </c>
      <c r="L88" s="1324" t="str">
        <f>IF(F88=$J$97,"Aucun","")</f>
        <v/>
      </c>
    </row>
    <row r="89" spans="2:17">
      <c r="D89" s="292">
        <f>'FORMULAIRE PGA Eau potable'!D222</f>
        <v>0</v>
      </c>
      <c r="E89" s="319">
        <f>'FORMULAIRE PGA Eau potable'!H222</f>
        <v>0</v>
      </c>
      <c r="F89" s="319">
        <f>'FORMULAIRE PGA Eau potable'!I222</f>
        <v>0</v>
      </c>
      <c r="I89" s="1325" t="str">
        <f>IF(E89=$G$94,"h",IF(E89=$G$95,"g",IF((E89=$G$96),"i","")))</f>
        <v/>
      </c>
      <c r="J89" s="1326" t="str">
        <f>IF(E89=$G$97,"Inconnu","")</f>
        <v/>
      </c>
      <c r="K89" s="1327" t="str">
        <f>IF(F89=$J$94,5,IF(F89=$J$95,0,IF((F89=$J$96),6,"")))</f>
        <v/>
      </c>
      <c r="L89" s="1328" t="str">
        <f>IF(F89=$J$97,"Aucun","")</f>
        <v/>
      </c>
    </row>
    <row r="90" spans="2:17">
      <c r="I90" s="1329" t="str">
        <f>IF(E90=$G$94,"h",IF(E90=$G$95,"g",IF((E90=$G$96),"i","")))</f>
        <v/>
      </c>
      <c r="J90" s="1330" t="str">
        <f>IF(E90=$G$97,"Inconnu","")</f>
        <v/>
      </c>
      <c r="K90" s="1329" t="str">
        <f>IF(F90=$J$94,5,IF(F90=$J$95,0,IF((F90=$J$96),6,"")))</f>
        <v/>
      </c>
      <c r="L90" s="1331" t="str">
        <f>IF(F90=$J$97,"Aucun","")</f>
        <v/>
      </c>
    </row>
    <row r="91" spans="2:17">
      <c r="I91" s="1325" t="str">
        <f>IF(E91=$G$94,"h",IF(E91=$G$95,"g",IF((E91=$G$96),"i","")))</f>
        <v/>
      </c>
      <c r="J91" s="1326" t="str">
        <f>IF(E91=$G$97,"Inconnu","")</f>
        <v/>
      </c>
      <c r="K91" s="1325" t="str">
        <f>IF(F91=$J$94,5,IF(F91=$J$95,0,IF((F91=$J$96),6,"")))</f>
        <v/>
      </c>
      <c r="L91" s="1328" t="str">
        <f>IF(F91=$J$97,"Aucun","")</f>
        <v/>
      </c>
    </row>
    <row r="92" spans="2:17">
      <c r="I92" s="1320"/>
      <c r="K92" s="1320"/>
    </row>
    <row r="93" spans="2:17" ht="15.6">
      <c r="F93" s="1332"/>
      <c r="G93" s="1333" t="s">
        <v>437</v>
      </c>
      <c r="H93" s="1334"/>
      <c r="I93" s="1332"/>
      <c r="J93" s="1333" t="s">
        <v>438</v>
      </c>
      <c r="K93" s="1320"/>
    </row>
    <row r="94" spans="2:17">
      <c r="G94" s="1320" t="str">
        <f>'MENU DÉROULANT'!E76</f>
        <v>Amélioration</v>
      </c>
      <c r="H94" s="319"/>
      <c r="J94" s="1320" t="str">
        <f>'MENU DÉROULANT'!F76</f>
        <v>Augmenter la performance</v>
      </c>
      <c r="K94" s="1320"/>
    </row>
    <row r="95" spans="2:17">
      <c r="G95" s="1320" t="str">
        <f>'MENU DÉROULANT'!E77</f>
        <v>Stabilité</v>
      </c>
      <c r="H95" s="319"/>
      <c r="J95" s="1320" t="str">
        <f>'MENU DÉROULANT'!F77</f>
        <v>Maintenir la performance</v>
      </c>
      <c r="K95" s="1320"/>
    </row>
    <row r="96" spans="2:17">
      <c r="G96" s="1320" t="str">
        <f>'MENU DÉROULANT'!E78</f>
        <v>Détérioration</v>
      </c>
      <c r="H96" s="319"/>
      <c r="J96" s="1320" t="str">
        <f>'MENU DÉROULANT'!F78</f>
        <v>Diminuer la performance</v>
      </c>
      <c r="K96" s="1320"/>
    </row>
    <row r="97" spans="2:17">
      <c r="G97" s="1320" t="str">
        <f>'MENU DÉROULANT'!E79</f>
        <v>Inconnu</v>
      </c>
      <c r="J97" s="1320" t="str">
        <f>'MENU DÉROULANT'!F79</f>
        <v>Aucun objectif pour le moment</v>
      </c>
      <c r="K97" s="319"/>
    </row>
    <row r="98" spans="2:17">
      <c r="G98" s="1320"/>
      <c r="J98" s="1320"/>
      <c r="K98" s="319"/>
    </row>
    <row r="99" spans="2:17">
      <c r="I99" s="319"/>
      <c r="K99" s="319"/>
    </row>
    <row r="100" spans="2:17" ht="31.5" customHeight="1">
      <c r="B100" s="1237" t="s">
        <v>3</v>
      </c>
      <c r="C100" s="1237"/>
      <c r="D100" s="1238"/>
      <c r="E100" s="1238"/>
      <c r="F100" s="1238"/>
      <c r="G100" s="1238"/>
      <c r="H100" s="1238"/>
      <c r="I100" s="1238"/>
      <c r="J100" s="1238"/>
      <c r="K100" s="1238"/>
      <c r="L100" s="1238"/>
      <c r="M100" s="1238"/>
      <c r="N100" s="1238"/>
      <c r="O100" s="1238"/>
      <c r="P100" s="1238"/>
      <c r="Q100" s="1238"/>
    </row>
    <row r="102" spans="2:17" ht="22.5" customHeight="1">
      <c r="B102" s="1239" t="s">
        <v>13</v>
      </c>
      <c r="C102" s="1239"/>
      <c r="D102" s="1239"/>
      <c r="E102" s="1239"/>
      <c r="F102" s="1239"/>
      <c r="G102" s="1239"/>
      <c r="H102" s="1239"/>
      <c r="I102" s="1239"/>
      <c r="J102" s="1239"/>
      <c r="K102" s="1239"/>
      <c r="L102" s="1239"/>
      <c r="M102" s="1239"/>
      <c r="N102" s="1239"/>
      <c r="O102" s="1239"/>
      <c r="P102" s="1239"/>
      <c r="Q102" s="1239"/>
    </row>
    <row r="104" spans="2:17" ht="18">
      <c r="D104" s="1335" t="str">
        <f>'FORMULAIRE PGA Eau potable'!D311</f>
        <v>Catégories de changements</v>
      </c>
    </row>
    <row r="105" spans="2:17">
      <c r="D105" s="1320" t="str">
        <f>'FORMULAIRE PGA Eau potable'!D312</f>
        <v>Démographiques</v>
      </c>
      <c r="E105" s="1336">
        <f>'FORMULAIRE PGA Eau potable'!F312</f>
        <v>0</v>
      </c>
      <c r="I105" s="28">
        <f t="shared" ref="I105:I110" si="1">IF(E105=$L$109,4,IF(E105=$L$108,3,IF(E105=$L$107,2,IF(E105=$L$106,1,0))))</f>
        <v>0</v>
      </c>
      <c r="K105" s="28" t="s">
        <v>439</v>
      </c>
      <c r="L105" s="1337" t="str">
        <f>'MENU DÉROULANT'!C99</f>
        <v>Aucun changement n'est anticipé.</v>
      </c>
    </row>
    <row r="106" spans="2:17">
      <c r="D106" s="1320" t="str">
        <f>'FORMULAIRE PGA Eau potable'!D313</f>
        <v>Climatiques</v>
      </c>
      <c r="E106" s="1336">
        <f>'FORMULAIRE PGA Eau potable'!F313</f>
        <v>0</v>
      </c>
      <c r="I106" s="28">
        <f t="shared" si="1"/>
        <v>0</v>
      </c>
      <c r="L106" s="1337" t="str">
        <f>'MENU DÉROULANT'!C100</f>
        <v>Des changements sont anticipés à court terme (1-4 ans).</v>
      </c>
    </row>
    <row r="107" spans="2:17">
      <c r="D107" s="1320" t="str">
        <f>'FORMULAIRE PGA Eau potable'!D314</f>
        <v>Cadre légal et règlementaire</v>
      </c>
      <c r="E107" s="1336">
        <f>'FORMULAIRE PGA Eau potable'!F314</f>
        <v>0</v>
      </c>
      <c r="I107" s="28">
        <f t="shared" si="1"/>
        <v>0</v>
      </c>
      <c r="L107" s="1337" t="str">
        <f>'MENU DÉROULANT'!C101</f>
        <v>Des changements sont anticipés à moyen terme (5-7 ans).</v>
      </c>
    </row>
    <row r="108" spans="2:17">
      <c r="D108" s="1320" t="str">
        <f>'FORMULAIRE PGA Eau potable'!D315</f>
        <v>Économiques</v>
      </c>
      <c r="E108" s="1336">
        <f>'FORMULAIRE PGA Eau potable'!F315</f>
        <v>0</v>
      </c>
      <c r="I108" s="28">
        <f t="shared" si="1"/>
        <v>0</v>
      </c>
      <c r="L108" s="1337" t="str">
        <f>'MENU DÉROULANT'!C102</f>
        <v>Des changements sont à prévoir à long terme (8-10 ans).</v>
      </c>
    </row>
    <row r="109" spans="2:17">
      <c r="D109" s="1320" t="str">
        <f>'FORMULAIRE PGA Eau potable'!D316</f>
        <v>Technologiques</v>
      </c>
      <c r="E109" s="1336">
        <f>'FORMULAIRE PGA Eau potable'!F316</f>
        <v>0</v>
      </c>
      <c r="I109" s="28">
        <f t="shared" si="1"/>
        <v>0</v>
      </c>
      <c r="L109" s="1337" t="str">
        <f>'MENU DÉROULANT'!C103</f>
        <v>Des changements sont à prévoir continuellement sur 10 ans.</v>
      </c>
    </row>
    <row r="110" spans="2:17">
      <c r="D110" s="1320" t="str">
        <f>CONCATENATE(K110,L110)</f>
        <v xml:space="preserve">Autre </v>
      </c>
      <c r="E110" s="1336">
        <f>'FORMULAIRE PGA Eau potable'!F317</f>
        <v>0</v>
      </c>
      <c r="I110" s="28">
        <f t="shared" si="1"/>
        <v>0</v>
      </c>
      <c r="K110" s="1338" t="s">
        <v>42</v>
      </c>
      <c r="L110" s="3562" t="str">
        <f>IF('FORMULAIRE PGA Eau potable'!E317=0,"",CONCATENATE("(",'FORMULAIRE PGA Eau potable'!E317,")"))</f>
        <v/>
      </c>
      <c r="M110" s="3562"/>
      <c r="N110" s="3562"/>
    </row>
    <row r="112" spans="2:17" ht="24.75" customHeight="1">
      <c r="D112" s="1339"/>
      <c r="K112" s="1340" t="s">
        <v>440</v>
      </c>
      <c r="L112" s="1341">
        <f>IF(I33=1,'FORMULAIRE PGA Eau potable'!L621,IF(I44=1,'FORMULAIRE PGA Eau potable'!G621,ROUNDDOWN(AVERAGE('FORMULAIRE PGA Eau potable'!G621,'FORMULAIRE PGA Eau potable'!L621),0)))</f>
        <v>0</v>
      </c>
    </row>
    <row r="115" spans="2:17" ht="22.5" customHeight="1">
      <c r="B115" s="1239" t="s">
        <v>14</v>
      </c>
      <c r="C115" s="1239"/>
      <c r="D115" s="1239"/>
      <c r="E115" s="1239"/>
      <c r="F115" s="1239"/>
      <c r="G115" s="1239"/>
      <c r="H115" s="1239"/>
      <c r="I115" s="1239"/>
      <c r="J115" s="1239"/>
      <c r="K115" s="1239"/>
      <c r="L115" s="1239"/>
      <c r="M115" s="1239"/>
      <c r="N115" s="1239"/>
      <c r="O115" s="1239"/>
      <c r="P115" s="1239"/>
      <c r="Q115" s="1239"/>
    </row>
    <row r="117" spans="2:17" ht="18">
      <c r="D117" s="1335" t="str">
        <f>'FORMULAIRE PGA Eau potable'!D268</f>
        <v>Catégories de risques</v>
      </c>
    </row>
    <row r="118" spans="2:17">
      <c r="D118" s="1320" t="str">
        <f>CONCATENATE(K123,L123)</f>
        <v xml:space="preserve">Autre </v>
      </c>
      <c r="E118" s="1336">
        <f>'FORMULAIRE PGA Eau potable'!F274</f>
        <v>0</v>
      </c>
      <c r="I118" s="28">
        <f t="shared" ref="I118:I123" si="2">IF(E118=$L$121,3,IF(E118=$L$120,2,IF(E118=$L$119,1,0)))</f>
        <v>0</v>
      </c>
      <c r="K118" s="28" t="s">
        <v>439</v>
      </c>
      <c r="L118" s="319" t="str">
        <f>'MENU DÉROULANT'!C88</f>
        <v>Aucun risque associé n'a été déterminé.</v>
      </c>
    </row>
    <row r="119" spans="2:17">
      <c r="D119" s="1320" t="str">
        <f>'FORMULAIRE PGA Eau potable'!D272</f>
        <v>Manque d'informations</v>
      </c>
      <c r="E119" s="1336">
        <f>'FORMULAIRE PGA Eau potable'!F272</f>
        <v>0</v>
      </c>
      <c r="I119" s="28">
        <f t="shared" si="2"/>
        <v>0</v>
      </c>
      <c r="L119" s="319" t="str">
        <f>'MENU DÉROULANT'!C89</f>
        <v>Les risques associés sont de niveau modéré ou faible.</v>
      </c>
    </row>
    <row r="120" spans="2:17">
      <c r="D120" s="1320" t="str">
        <f>'FORMULAIRE PGA Eau potable'!D273</f>
        <v>Changements climatiques</v>
      </c>
      <c r="E120" s="1336">
        <f>'FORMULAIRE PGA Eau potable'!F273</f>
        <v>0</v>
      </c>
      <c r="I120" s="28">
        <f t="shared" si="2"/>
        <v>0</v>
      </c>
      <c r="L120" s="319" t="str">
        <f>'MENU DÉROULANT'!C90</f>
        <v>Certains risques associés sont de niveau élevé.</v>
      </c>
    </row>
    <row r="121" spans="2:17">
      <c r="D121" s="1320" t="str">
        <f>'FORMULAIRE PGA Eau potable'!D271</f>
        <v>Sous-financement</v>
      </c>
      <c r="E121" s="1336">
        <f>'FORMULAIRE PGA Eau potable'!F271</f>
        <v>0</v>
      </c>
      <c r="I121" s="28">
        <f t="shared" si="2"/>
        <v>0</v>
      </c>
      <c r="L121" s="319" t="str">
        <f>'MENU DÉROULANT'!C91</f>
        <v>Certains risques associés sont de niveau très élevé.</v>
      </c>
    </row>
    <row r="122" spans="2:17">
      <c r="D122" s="1320" t="str">
        <f>'FORMULAIRE PGA Eau potable'!D270</f>
        <v>Dotation de personnel</v>
      </c>
      <c r="E122" s="1336">
        <f>'FORMULAIRE PGA Eau potable'!F270</f>
        <v>0</v>
      </c>
      <c r="I122" s="28">
        <f t="shared" si="2"/>
        <v>0</v>
      </c>
    </row>
    <row r="123" spans="2:17">
      <c r="D123" s="1320" t="str">
        <f>'FORMULAIRE PGA Eau potable'!D269</f>
        <v>Actifs critiques</v>
      </c>
      <c r="E123" s="1336">
        <f>'FORMULAIRE PGA Eau potable'!F269</f>
        <v>0</v>
      </c>
      <c r="I123" s="28">
        <f t="shared" si="2"/>
        <v>0</v>
      </c>
      <c r="K123" s="1343" t="s">
        <v>42</v>
      </c>
      <c r="L123" s="3562" t="str">
        <f>IF('FORMULAIRE PGA Eau potable'!E274=0,"",CONCATENATE("(",'FORMULAIRE PGA Eau potable'!E274,")"))</f>
        <v/>
      </c>
      <c r="M123" s="3562"/>
      <c r="N123" s="3562"/>
    </row>
    <row r="125" spans="2:17" ht="24.75" customHeight="1">
      <c r="K125" s="1340" t="s">
        <v>440</v>
      </c>
      <c r="L125" s="1341">
        <f>IF(I33=1,'FORMULAIRE PGA Eau potable'!L617,IF(I44=1,'FORMULAIRE PGA Eau potable'!G617,ROUNDDOWN(AVERAGE('FORMULAIRE PGA Eau potable'!G617,'FORMULAIRE PGA Eau potable'!L617),0)))</f>
        <v>0</v>
      </c>
    </row>
    <row r="129" spans="2:17" ht="31.5" customHeight="1">
      <c r="B129" s="1237" t="s">
        <v>4</v>
      </c>
      <c r="C129" s="1237"/>
      <c r="D129" s="1238"/>
      <c r="E129" s="1238"/>
      <c r="F129" s="1238"/>
      <c r="G129" s="1238"/>
      <c r="H129" s="1238"/>
      <c r="I129" s="1238"/>
      <c r="J129" s="1238"/>
      <c r="K129" s="1238"/>
      <c r="L129" s="1238"/>
      <c r="M129" s="1238"/>
      <c r="N129" s="1238"/>
      <c r="O129" s="1238"/>
      <c r="P129" s="1238"/>
      <c r="Q129" s="1238"/>
    </row>
    <row r="132" spans="2:17" ht="22.5" customHeight="1">
      <c r="B132" s="1239" t="s">
        <v>15</v>
      </c>
      <c r="C132" s="1239"/>
      <c r="D132" s="1239"/>
      <c r="E132" s="1239"/>
      <c r="F132" s="1239"/>
      <c r="G132" s="1239"/>
      <c r="H132" s="1239"/>
      <c r="I132" s="1239"/>
      <c r="J132" s="1239"/>
      <c r="K132" s="1239"/>
      <c r="L132" s="1239"/>
      <c r="M132" s="1239"/>
      <c r="N132" s="1239"/>
      <c r="O132" s="1239"/>
      <c r="P132" s="1239"/>
      <c r="Q132" s="1239"/>
    </row>
    <row r="133" spans="2:17" ht="21">
      <c r="B133" s="1344"/>
      <c r="C133" s="1344"/>
    </row>
    <row r="134" spans="2:17" ht="24.75" customHeight="1">
      <c r="D134" s="1345" t="s">
        <v>441</v>
      </c>
      <c r="E134" s="1299"/>
      <c r="F134" s="1299"/>
      <c r="G134" s="1299"/>
      <c r="H134" s="1299"/>
      <c r="I134" s="1299"/>
      <c r="J134" s="1299"/>
      <c r="K134" s="1299"/>
      <c r="L134" s="1299"/>
      <c r="M134" s="1299"/>
      <c r="N134" s="1299"/>
      <c r="O134" s="1299"/>
    </row>
    <row r="135" spans="2:17" ht="6" customHeight="1">
      <c r="B135" s="1344"/>
      <c r="C135" s="1344"/>
    </row>
    <row r="136" spans="2:17" ht="6" customHeight="1">
      <c r="B136" s="1344"/>
      <c r="C136" s="1344"/>
    </row>
    <row r="137" spans="2:17">
      <c r="B137" s="308"/>
      <c r="C137" s="308"/>
      <c r="D137" s="1346"/>
      <c r="E137" s="1346">
        <f>'FORMULAIRE PGA Eau potable'!E410</f>
        <v>0</v>
      </c>
      <c r="F137" s="1346">
        <f>E137+1</f>
        <v>1</v>
      </c>
      <c r="G137" s="1346">
        <f t="shared" ref="G137:N137" si="3">F137+1</f>
        <v>2</v>
      </c>
      <c r="H137" s="1346">
        <f t="shared" si="3"/>
        <v>3</v>
      </c>
      <c r="I137" s="1346">
        <f t="shared" si="3"/>
        <v>4</v>
      </c>
      <c r="J137" s="1346">
        <f t="shared" si="3"/>
        <v>5</v>
      </c>
      <c r="K137" s="1346">
        <f t="shared" si="3"/>
        <v>6</v>
      </c>
      <c r="L137" s="1346">
        <f t="shared" si="3"/>
        <v>7</v>
      </c>
      <c r="M137" s="1346">
        <f t="shared" si="3"/>
        <v>8</v>
      </c>
      <c r="N137" s="1346">
        <f t="shared" si="3"/>
        <v>9</v>
      </c>
      <c r="O137" s="1347" t="s">
        <v>442</v>
      </c>
    </row>
    <row r="138" spans="2:17">
      <c r="D138" s="1348" t="s">
        <v>100</v>
      </c>
      <c r="E138" s="1349">
        <f>E192+E209</f>
        <v>0</v>
      </c>
      <c r="F138" s="1349">
        <f>E138</f>
        <v>0</v>
      </c>
      <c r="G138" s="1349">
        <f t="shared" ref="G138:N138" si="4">F138</f>
        <v>0</v>
      </c>
      <c r="H138" s="1349">
        <f t="shared" si="4"/>
        <v>0</v>
      </c>
      <c r="I138" s="1349">
        <f t="shared" si="4"/>
        <v>0</v>
      </c>
      <c r="J138" s="1349">
        <f t="shared" si="4"/>
        <v>0</v>
      </c>
      <c r="K138" s="1349">
        <f t="shared" si="4"/>
        <v>0</v>
      </c>
      <c r="L138" s="1349">
        <f t="shared" si="4"/>
        <v>0</v>
      </c>
      <c r="M138" s="1349">
        <f t="shared" si="4"/>
        <v>0</v>
      </c>
      <c r="N138" s="1349">
        <f t="shared" si="4"/>
        <v>0</v>
      </c>
      <c r="O138" s="1350">
        <f t="shared" ref="O138:O143" si="5">SUM(E138:N138)</f>
        <v>0</v>
      </c>
    </row>
    <row r="139" spans="2:17">
      <c r="D139" s="903" t="s">
        <v>101</v>
      </c>
      <c r="E139" s="1299">
        <f>E193+E210</f>
        <v>0</v>
      </c>
      <c r="F139" s="1299">
        <f t="shared" ref="F139:N139" si="6">F193+F210</f>
        <v>0</v>
      </c>
      <c r="G139" s="1299">
        <f t="shared" si="6"/>
        <v>0</v>
      </c>
      <c r="H139" s="1299">
        <f t="shared" si="6"/>
        <v>0</v>
      </c>
      <c r="I139" s="1299">
        <f t="shared" si="6"/>
        <v>0</v>
      </c>
      <c r="J139" s="1299">
        <f t="shared" si="6"/>
        <v>0</v>
      </c>
      <c r="K139" s="1299">
        <f t="shared" si="6"/>
        <v>0</v>
      </c>
      <c r="L139" s="1299">
        <f t="shared" si="6"/>
        <v>0</v>
      </c>
      <c r="M139" s="1299">
        <f t="shared" si="6"/>
        <v>0</v>
      </c>
      <c r="N139" s="1299">
        <f t="shared" si="6"/>
        <v>0</v>
      </c>
      <c r="O139" s="1299">
        <f t="shared" si="5"/>
        <v>0</v>
      </c>
    </row>
    <row r="140" spans="2:17">
      <c r="D140" s="903" t="s">
        <v>102</v>
      </c>
      <c r="E140" s="1299">
        <f t="shared" ref="E140:N143" si="7">E194+E211</f>
        <v>0</v>
      </c>
      <c r="F140" s="1299">
        <f t="shared" si="7"/>
        <v>0</v>
      </c>
      <c r="G140" s="1299">
        <f t="shared" si="7"/>
        <v>0</v>
      </c>
      <c r="H140" s="1299">
        <f t="shared" si="7"/>
        <v>0</v>
      </c>
      <c r="I140" s="1299">
        <f t="shared" si="7"/>
        <v>0</v>
      </c>
      <c r="J140" s="1299">
        <f t="shared" si="7"/>
        <v>0</v>
      </c>
      <c r="K140" s="1299">
        <f t="shared" si="7"/>
        <v>0</v>
      </c>
      <c r="L140" s="1299">
        <f t="shared" si="7"/>
        <v>0</v>
      </c>
      <c r="M140" s="1299">
        <f t="shared" si="7"/>
        <v>0</v>
      </c>
      <c r="N140" s="1299">
        <f t="shared" si="7"/>
        <v>0</v>
      </c>
      <c r="O140" s="1299">
        <f t="shared" si="5"/>
        <v>0</v>
      </c>
    </row>
    <row r="141" spans="2:17">
      <c r="D141" s="903" t="s">
        <v>103</v>
      </c>
      <c r="E141" s="1299">
        <f t="shared" si="7"/>
        <v>0</v>
      </c>
      <c r="F141" s="1299">
        <f t="shared" si="7"/>
        <v>0</v>
      </c>
      <c r="G141" s="1299">
        <f t="shared" si="7"/>
        <v>0</v>
      </c>
      <c r="H141" s="1299">
        <f t="shared" si="7"/>
        <v>0</v>
      </c>
      <c r="I141" s="1299">
        <f t="shared" si="7"/>
        <v>0</v>
      </c>
      <c r="J141" s="1299">
        <f t="shared" si="7"/>
        <v>0</v>
      </c>
      <c r="K141" s="1299">
        <f t="shared" si="7"/>
        <v>0</v>
      </c>
      <c r="L141" s="1299">
        <f t="shared" si="7"/>
        <v>0</v>
      </c>
      <c r="M141" s="1299">
        <f t="shared" si="7"/>
        <v>0</v>
      </c>
      <c r="N141" s="1299">
        <f t="shared" si="7"/>
        <v>0</v>
      </c>
      <c r="O141" s="1299">
        <f t="shared" si="5"/>
        <v>0</v>
      </c>
    </row>
    <row r="142" spans="2:17">
      <c r="D142" s="903" t="s">
        <v>104</v>
      </c>
      <c r="E142" s="1299">
        <f t="shared" si="7"/>
        <v>0</v>
      </c>
      <c r="F142" s="1299">
        <f t="shared" si="7"/>
        <v>0</v>
      </c>
      <c r="G142" s="1299">
        <f t="shared" si="7"/>
        <v>0</v>
      </c>
      <c r="H142" s="1299">
        <f t="shared" si="7"/>
        <v>0</v>
      </c>
      <c r="I142" s="1299">
        <f t="shared" si="7"/>
        <v>0</v>
      </c>
      <c r="J142" s="1299">
        <f t="shared" si="7"/>
        <v>0</v>
      </c>
      <c r="K142" s="1299">
        <f t="shared" si="7"/>
        <v>0</v>
      </c>
      <c r="L142" s="1299">
        <f t="shared" si="7"/>
        <v>0</v>
      </c>
      <c r="M142" s="1299">
        <f t="shared" si="7"/>
        <v>0</v>
      </c>
      <c r="N142" s="1299">
        <f t="shared" si="7"/>
        <v>0</v>
      </c>
      <c r="O142" s="1299">
        <f t="shared" si="5"/>
        <v>0</v>
      </c>
    </row>
    <row r="143" spans="2:17">
      <c r="D143" s="1351" t="s">
        <v>105</v>
      </c>
      <c r="E143" s="1352">
        <f t="shared" si="7"/>
        <v>0</v>
      </c>
      <c r="F143" s="1352">
        <f t="shared" si="7"/>
        <v>0</v>
      </c>
      <c r="G143" s="1352">
        <f t="shared" si="7"/>
        <v>0</v>
      </c>
      <c r="H143" s="1352">
        <f t="shared" si="7"/>
        <v>0</v>
      </c>
      <c r="I143" s="1352">
        <f t="shared" si="7"/>
        <v>0</v>
      </c>
      <c r="J143" s="1352">
        <f t="shared" si="7"/>
        <v>0</v>
      </c>
      <c r="K143" s="1352">
        <f t="shared" si="7"/>
        <v>0</v>
      </c>
      <c r="L143" s="1352">
        <f t="shared" si="7"/>
        <v>0</v>
      </c>
      <c r="M143" s="1352">
        <f t="shared" si="7"/>
        <v>0</v>
      </c>
      <c r="N143" s="1352">
        <f t="shared" si="7"/>
        <v>0</v>
      </c>
      <c r="O143" s="1352">
        <f t="shared" si="5"/>
        <v>0</v>
      </c>
    </row>
    <row r="144" spans="2:17">
      <c r="D144" s="903"/>
      <c r="E144" s="1299"/>
      <c r="F144" s="1299"/>
      <c r="G144" s="1299"/>
      <c r="H144" s="1299"/>
      <c r="I144" s="1299"/>
      <c r="J144" s="1299"/>
      <c r="K144" s="1299"/>
      <c r="L144" s="1299"/>
      <c r="M144" s="1299"/>
      <c r="N144" s="1299"/>
      <c r="O144" s="1299"/>
    </row>
    <row r="145" spans="2:16" ht="24.75" customHeight="1">
      <c r="D145" s="1345" t="s">
        <v>29</v>
      </c>
      <c r="E145" s="1299"/>
      <c r="F145" s="1299"/>
      <c r="H145" s="1299"/>
      <c r="I145" s="1299"/>
      <c r="J145" s="1299"/>
      <c r="M145" s="1299"/>
      <c r="N145" s="1299"/>
      <c r="O145" s="1299"/>
    </row>
    <row r="146" spans="2:16" ht="7.5" customHeight="1">
      <c r="D146" s="903"/>
      <c r="E146" s="1299"/>
      <c r="F146" s="1299"/>
      <c r="G146" s="1299"/>
      <c r="H146" s="1299"/>
      <c r="I146" s="1299"/>
      <c r="J146" s="1299"/>
      <c r="K146" s="1299"/>
      <c r="L146" s="1299"/>
      <c r="M146" s="1299"/>
      <c r="N146" s="1299"/>
      <c r="O146" s="1299"/>
    </row>
    <row r="147" spans="2:16" ht="18">
      <c r="B147" s="1353"/>
      <c r="C147" s="1353"/>
      <c r="E147" s="1971" t="s">
        <v>443</v>
      </c>
      <c r="F147" s="1354" t="s">
        <v>444</v>
      </c>
      <c r="G147" s="1354" t="s">
        <v>445</v>
      </c>
      <c r="H147" s="1354" t="s">
        <v>414</v>
      </c>
      <c r="I147" s="1299"/>
      <c r="K147" s="3560" t="s">
        <v>428</v>
      </c>
      <c r="L147" s="3561"/>
      <c r="M147" s="1354" t="s">
        <v>444</v>
      </c>
      <c r="N147" s="1354" t="s">
        <v>445</v>
      </c>
      <c r="O147" s="1354" t="s">
        <v>414</v>
      </c>
    </row>
    <row r="148" spans="2:16">
      <c r="E148" s="1097" t="s">
        <v>67</v>
      </c>
      <c r="F148" s="148">
        <f>'FORMULAIRE PGA Eau potable'!G630</f>
        <v>0</v>
      </c>
      <c r="G148" s="1355">
        <v>0.5</v>
      </c>
      <c r="H148" s="3558">
        <f>ROUNDDOWN((F148*G148+F149*G149),0)</f>
        <v>0</v>
      </c>
      <c r="I148" s="1299"/>
      <c r="J148" s="1299"/>
      <c r="L148" s="1097" t="s">
        <v>67</v>
      </c>
      <c r="M148" s="148">
        <f>'FORMULAIRE PGA Eau potable'!L630</f>
        <v>0</v>
      </c>
      <c r="N148" s="1355">
        <v>0.5</v>
      </c>
      <c r="O148" s="3558">
        <f>ROUNDDOWN((M148*N148+M149*N149),0)</f>
        <v>0</v>
      </c>
      <c r="P148" s="1356" t="s">
        <v>415</v>
      </c>
    </row>
    <row r="149" spans="2:16">
      <c r="E149" s="1097" t="s">
        <v>68</v>
      </c>
      <c r="F149" s="148">
        <f>'FORMULAIRE PGA Eau potable'!G625</f>
        <v>0</v>
      </c>
      <c r="G149" s="1355">
        <v>0.5</v>
      </c>
      <c r="H149" s="3558"/>
      <c r="I149" s="1299"/>
      <c r="L149" s="1097" t="s">
        <v>68</v>
      </c>
      <c r="M149" s="148">
        <f>'FORMULAIRE PGA Eau potable'!L625</f>
        <v>0</v>
      </c>
      <c r="N149" s="1355">
        <v>0.5</v>
      </c>
      <c r="O149" s="3558"/>
      <c r="P149" s="1357" t="s">
        <v>446</v>
      </c>
    </row>
    <row r="150" spans="2:16">
      <c r="E150" s="1097" t="s">
        <v>69</v>
      </c>
      <c r="F150" s="148">
        <f>'FORMULAIRE PGA Eau potable'!G631</f>
        <v>0</v>
      </c>
      <c r="G150" s="1355">
        <f>2/3/3</f>
        <v>0.22222222222222221</v>
      </c>
      <c r="H150" s="3558">
        <f>ROUNDDOWN((F150*G150+F151*G151+F152*G152+F154*G154+F155*G155+F156*G156),0)</f>
        <v>0</v>
      </c>
      <c r="I150" s="1299"/>
      <c r="L150" s="1097" t="s">
        <v>69</v>
      </c>
      <c r="M150" s="148">
        <f>'FORMULAIRE PGA Eau potable'!L631</f>
        <v>0</v>
      </c>
      <c r="N150" s="1355">
        <f>2/3/3</f>
        <v>0.22222222222222221</v>
      </c>
      <c r="O150" s="3558">
        <f>ROUNDDOWN((M150*N150+M151*N151+M152*N152+M154*N154+M155*N155+M156*N156),0)</f>
        <v>0</v>
      </c>
      <c r="P150" s="1357" t="s">
        <v>447</v>
      </c>
    </row>
    <row r="151" spans="2:16">
      <c r="E151" s="1097" t="s">
        <v>70</v>
      </c>
      <c r="F151" s="148">
        <f>'FORMULAIRE PGA Eau potable'!G626</f>
        <v>0</v>
      </c>
      <c r="G151" s="1355">
        <f>2/3/3</f>
        <v>0.22222222222222221</v>
      </c>
      <c r="H151" s="3558"/>
      <c r="I151" s="1299"/>
      <c r="L151" s="1097" t="s">
        <v>70</v>
      </c>
      <c r="M151" s="148">
        <f>'FORMULAIRE PGA Eau potable'!L626</f>
        <v>0</v>
      </c>
      <c r="N151" s="1355">
        <f>2/3/3</f>
        <v>0.22222222222222221</v>
      </c>
      <c r="O151" s="3558"/>
      <c r="P151" s="1357" t="s">
        <v>448</v>
      </c>
    </row>
    <row r="152" spans="2:16">
      <c r="E152" s="1097" t="s">
        <v>71</v>
      </c>
      <c r="F152" s="148">
        <f>'FORMULAIRE PGA Eau potable'!G627</f>
        <v>0</v>
      </c>
      <c r="G152" s="1355">
        <f>2/3/3</f>
        <v>0.22222222222222221</v>
      </c>
      <c r="H152" s="3558"/>
      <c r="I152" s="1299"/>
      <c r="L152" s="1097" t="s">
        <v>71</v>
      </c>
      <c r="M152" s="148">
        <f>'FORMULAIRE PGA Eau potable'!L627</f>
        <v>0</v>
      </c>
      <c r="N152" s="1355">
        <f>2/3/3</f>
        <v>0.22222222222222221</v>
      </c>
      <c r="O152" s="3558"/>
      <c r="P152" s="1357" t="s">
        <v>449</v>
      </c>
    </row>
    <row r="153" spans="2:16">
      <c r="E153" s="1300" t="s">
        <v>450</v>
      </c>
      <c r="G153" s="1355"/>
      <c r="H153" s="3558"/>
      <c r="I153" s="1299"/>
      <c r="L153" s="1300" t="s">
        <v>450</v>
      </c>
      <c r="N153" s="1355"/>
      <c r="O153" s="3558"/>
      <c r="P153" s="1357" t="s">
        <v>451</v>
      </c>
    </row>
    <row r="154" spans="2:16">
      <c r="E154" s="1097" t="s">
        <v>72</v>
      </c>
      <c r="F154" s="148">
        <f>'FORMULAIRE PGA Eau potable'!G614</f>
        <v>0</v>
      </c>
      <c r="G154" s="1355">
        <f>1/3/3</f>
        <v>0.1111111111111111</v>
      </c>
      <c r="H154" s="3558"/>
      <c r="I154" s="1299"/>
      <c r="J154" s="1354"/>
      <c r="L154" s="1097" t="s">
        <v>72</v>
      </c>
      <c r="M154" s="148">
        <f>'FORMULAIRE PGA Eau potable'!L614</f>
        <v>0</v>
      </c>
      <c r="N154" s="1355">
        <f>1/3/3</f>
        <v>0.1111111111111111</v>
      </c>
      <c r="O154" s="3558"/>
    </row>
    <row r="155" spans="2:16">
      <c r="E155" s="1097" t="s">
        <v>73</v>
      </c>
      <c r="F155" s="148">
        <f>'FORMULAIRE PGA Eau potable'!G618</f>
        <v>0</v>
      </c>
      <c r="G155" s="1355">
        <f>1/3/3</f>
        <v>0.1111111111111111</v>
      </c>
      <c r="H155" s="3558"/>
      <c r="I155" s="1299"/>
      <c r="J155" s="1299"/>
      <c r="L155" s="1097" t="s">
        <v>73</v>
      </c>
      <c r="M155" s="148">
        <f>'FORMULAIRE PGA Eau potable'!L618</f>
        <v>0</v>
      </c>
      <c r="N155" s="1355">
        <f>1/3/3</f>
        <v>0.1111111111111111</v>
      </c>
      <c r="O155" s="3558"/>
    </row>
    <row r="156" spans="2:16">
      <c r="E156" s="1097" t="s">
        <v>74</v>
      </c>
      <c r="F156" s="148">
        <f>'FORMULAIRE PGA Eau potable'!G622</f>
        <v>0</v>
      </c>
      <c r="G156" s="1355">
        <f>1/3/3</f>
        <v>0.1111111111111111</v>
      </c>
      <c r="H156" s="3558"/>
      <c r="I156" s="1299"/>
      <c r="J156" s="1299"/>
      <c r="L156" s="1097" t="s">
        <v>74</v>
      </c>
      <c r="M156" s="148">
        <f>'FORMULAIRE PGA Eau potable'!L622</f>
        <v>0</v>
      </c>
      <c r="N156" s="1355">
        <f>1/3/3</f>
        <v>0.1111111111111111</v>
      </c>
      <c r="O156" s="3558"/>
    </row>
    <row r="157" spans="2:16">
      <c r="D157" s="1097"/>
      <c r="E157" s="148"/>
      <c r="F157" s="1358"/>
      <c r="G157" s="1358"/>
      <c r="H157" s="1358"/>
      <c r="I157" s="1299"/>
      <c r="J157" s="1299"/>
      <c r="K157" s="1097"/>
      <c r="L157" s="148"/>
      <c r="M157" s="1358"/>
      <c r="N157" s="1358"/>
      <c r="O157" s="1358"/>
    </row>
    <row r="158" spans="2:16" ht="18.75" customHeight="1">
      <c r="D158" s="3560" t="s">
        <v>452</v>
      </c>
      <c r="E158" s="3561"/>
      <c r="F158" s="1354" t="s">
        <v>444</v>
      </c>
      <c r="G158" s="1354" t="s">
        <v>445</v>
      </c>
      <c r="H158" s="1354" t="s">
        <v>414</v>
      </c>
      <c r="I158" s="1359"/>
      <c r="J158" s="1359"/>
      <c r="K158" s="1360" t="s">
        <v>453</v>
      </c>
      <c r="L158" s="148"/>
      <c r="M158" s="1358"/>
      <c r="N158" s="1358"/>
      <c r="O158" s="1358"/>
    </row>
    <row r="159" spans="2:16">
      <c r="E159" s="1097" t="s">
        <v>67</v>
      </c>
      <c r="F159" s="148">
        <f>IF($I$33=1,M148,IF($I$41=1,F148,AVERAGE(F148,M148)))</f>
        <v>0</v>
      </c>
      <c r="G159" s="1355">
        <v>0.5</v>
      </c>
      <c r="H159" s="3558">
        <f>ROUNDDOWN((F159*G159+F160*G160),0)</f>
        <v>0</v>
      </c>
      <c r="I159" s="148">
        <v>0.15</v>
      </c>
      <c r="J159" s="148">
        <f>(F159*I159)</f>
        <v>0</v>
      </c>
      <c r="K159" s="3558">
        <f>ROUNDDOWN(SUM(J159:J167),0)</f>
        <v>0</v>
      </c>
      <c r="L159" s="148"/>
      <c r="M159" s="1358"/>
      <c r="N159" s="1358"/>
      <c r="O159" s="1358"/>
      <c r="P159" s="1357" t="s">
        <v>454</v>
      </c>
    </row>
    <row r="160" spans="2:16">
      <c r="E160" s="1097" t="s">
        <v>68</v>
      </c>
      <c r="F160" s="148">
        <f t="shared" ref="F160:F167" si="8">IF($I$33=1,M149,IF($I$41=1,F149,AVERAGE(F149,M149)))</f>
        <v>0</v>
      </c>
      <c r="G160" s="1355">
        <v>0.5</v>
      </c>
      <c r="H160" s="3558"/>
      <c r="I160" s="148">
        <v>0.15</v>
      </c>
      <c r="J160" s="148">
        <f t="shared" ref="J160:J167" si="9">(F160*I160)</f>
        <v>0</v>
      </c>
      <c r="K160" s="3558"/>
      <c r="L160" s="148"/>
      <c r="M160" s="1358"/>
      <c r="N160" s="1358"/>
      <c r="O160" s="1358"/>
    </row>
    <row r="161" spans="2:17">
      <c r="E161" s="1097" t="s">
        <v>69</v>
      </c>
      <c r="F161" s="148">
        <f t="shared" si="8"/>
        <v>0</v>
      </c>
      <c r="G161" s="1355">
        <f>2/3/3</f>
        <v>0.22222222222222221</v>
      </c>
      <c r="H161" s="3558">
        <f>ROUNDDOWN((F161*G161+F162*G162+F163*G163+F165*G165+F166*G166+F167*G167),0)</f>
        <v>0</v>
      </c>
      <c r="I161" s="1355">
        <v>0.15</v>
      </c>
      <c r="J161" s="148">
        <f t="shared" si="9"/>
        <v>0</v>
      </c>
      <c r="K161" s="3558"/>
      <c r="L161" s="148"/>
      <c r="M161" s="1358"/>
      <c r="N161" s="1358"/>
      <c r="O161" s="1358"/>
    </row>
    <row r="162" spans="2:17">
      <c r="E162" s="1097" t="s">
        <v>70</v>
      </c>
      <c r="F162" s="148">
        <f t="shared" si="8"/>
        <v>0</v>
      </c>
      <c r="G162" s="1355">
        <f>2/3/3</f>
        <v>0.22222222222222221</v>
      </c>
      <c r="H162" s="3558"/>
      <c r="I162" s="1355">
        <v>0.15</v>
      </c>
      <c r="J162" s="148">
        <f t="shared" si="9"/>
        <v>0</v>
      </c>
      <c r="K162" s="3558"/>
      <c r="L162" s="148"/>
      <c r="M162" s="1358"/>
      <c r="N162" s="1358"/>
      <c r="O162" s="1358"/>
    </row>
    <row r="163" spans="2:17">
      <c r="E163" s="1097" t="s">
        <v>71</v>
      </c>
      <c r="F163" s="148">
        <f t="shared" si="8"/>
        <v>0</v>
      </c>
      <c r="G163" s="1355">
        <f>2/3/3</f>
        <v>0.22222222222222221</v>
      </c>
      <c r="H163" s="3558"/>
      <c r="I163" s="1355">
        <v>0.15</v>
      </c>
      <c r="J163" s="148">
        <f t="shared" si="9"/>
        <v>0</v>
      </c>
      <c r="K163" s="3558"/>
      <c r="L163" s="148"/>
      <c r="M163" s="1358"/>
      <c r="N163" s="1358"/>
      <c r="O163" s="1358"/>
    </row>
    <row r="164" spans="2:17">
      <c r="E164" s="1300" t="s">
        <v>450</v>
      </c>
      <c r="F164" s="148"/>
      <c r="G164" s="1355"/>
      <c r="H164" s="3558"/>
      <c r="I164" s="1355"/>
      <c r="J164" s="148"/>
      <c r="K164" s="3558"/>
      <c r="L164" s="148"/>
      <c r="M164" s="1358"/>
      <c r="N164" s="1358"/>
      <c r="O164" s="1358"/>
    </row>
    <row r="165" spans="2:17">
      <c r="E165" s="1097" t="s">
        <v>72</v>
      </c>
      <c r="F165" s="148">
        <f t="shared" si="8"/>
        <v>0</v>
      </c>
      <c r="G165" s="1355">
        <f>1/3/3</f>
        <v>0.1111111111111111</v>
      </c>
      <c r="H165" s="3558"/>
      <c r="I165" s="1355">
        <f>0.25/3</f>
        <v>8.3333333333333329E-2</v>
      </c>
      <c r="J165" s="148">
        <f t="shared" si="9"/>
        <v>0</v>
      </c>
      <c r="K165" s="3558"/>
      <c r="L165" s="148"/>
      <c r="M165" s="1358"/>
      <c r="N165" s="1358"/>
      <c r="O165" s="1358"/>
      <c r="P165" s="1356" t="s">
        <v>455</v>
      </c>
    </row>
    <row r="166" spans="2:17">
      <c r="E166" s="1097" t="s">
        <v>73</v>
      </c>
      <c r="F166" s="148">
        <f t="shared" si="8"/>
        <v>0</v>
      </c>
      <c r="G166" s="1355">
        <f>1/3/3</f>
        <v>0.1111111111111111</v>
      </c>
      <c r="H166" s="3558"/>
      <c r="I166" s="1355">
        <f>0.25/3</f>
        <v>8.3333333333333329E-2</v>
      </c>
      <c r="J166" s="148">
        <f t="shared" si="9"/>
        <v>0</v>
      </c>
      <c r="K166" s="3558"/>
      <c r="L166" s="148"/>
      <c r="M166" s="1358"/>
      <c r="N166" s="1358"/>
      <c r="O166" s="1358"/>
      <c r="P166" s="1357" t="s">
        <v>456</v>
      </c>
    </row>
    <row r="167" spans="2:17">
      <c r="E167" s="1097" t="s">
        <v>74</v>
      </c>
      <c r="F167" s="148">
        <f t="shared" si="8"/>
        <v>0</v>
      </c>
      <c r="G167" s="1355">
        <f>1/3/3</f>
        <v>0.1111111111111111</v>
      </c>
      <c r="H167" s="3558"/>
      <c r="I167" s="1355">
        <f>0.25/3</f>
        <v>8.3333333333333329E-2</v>
      </c>
      <c r="J167" s="148">
        <f t="shared" si="9"/>
        <v>0</v>
      </c>
      <c r="K167" s="3558"/>
      <c r="L167" s="148"/>
      <c r="M167" s="1358"/>
      <c r="N167" s="1358"/>
      <c r="O167" s="1358"/>
      <c r="P167" s="1357" t="s">
        <v>457</v>
      </c>
    </row>
    <row r="168" spans="2:17">
      <c r="D168" s="1097"/>
      <c r="E168" s="148"/>
      <c r="F168" s="1358"/>
      <c r="G168" s="1358"/>
      <c r="H168" s="1358"/>
      <c r="I168" s="1299"/>
      <c r="J168" s="1299"/>
      <c r="K168" s="1097"/>
      <c r="L168" s="148"/>
      <c r="M168" s="1358"/>
      <c r="N168" s="1358"/>
      <c r="O168" s="1358"/>
    </row>
    <row r="171" spans="2:17" ht="22.5" customHeight="1">
      <c r="B171" s="1239" t="s">
        <v>458</v>
      </c>
      <c r="C171" s="1239"/>
      <c r="D171" s="1239"/>
      <c r="E171" s="1239"/>
      <c r="F171" s="1239"/>
      <c r="G171" s="1239"/>
      <c r="H171" s="1239"/>
      <c r="I171" s="1239"/>
      <c r="J171" s="1239"/>
      <c r="K171" s="1239"/>
      <c r="L171" s="1239"/>
      <c r="M171" s="1239"/>
      <c r="N171" s="1239"/>
      <c r="O171" s="1239"/>
      <c r="P171" s="1239"/>
      <c r="Q171" s="1239"/>
    </row>
    <row r="172" spans="2:17" ht="21">
      <c r="B172" s="1344"/>
      <c r="C172" s="1344"/>
    </row>
    <row r="173" spans="2:17" ht="21">
      <c r="B173" s="1344"/>
      <c r="C173" s="1344"/>
      <c r="D173" s="1345" t="s">
        <v>459</v>
      </c>
      <c r="J173" s="1345" t="s">
        <v>29</v>
      </c>
    </row>
    <row r="174" spans="2:17" ht="9" customHeight="1">
      <c r="B174" s="1344"/>
      <c r="C174" s="1344"/>
    </row>
    <row r="175" spans="2:17" ht="33" customHeight="1">
      <c r="D175" s="3563" t="s">
        <v>460</v>
      </c>
      <c r="E175" s="3563"/>
      <c r="F175" s="1362" t="s">
        <v>100</v>
      </c>
      <c r="G175" s="1097" t="s">
        <v>461</v>
      </c>
      <c r="J175" s="509"/>
      <c r="K175" s="1352"/>
      <c r="L175" s="1363" t="s">
        <v>414</v>
      </c>
      <c r="M175" s="1299"/>
    </row>
    <row r="176" spans="2:17">
      <c r="D176" s="1364" t="s">
        <v>101</v>
      </c>
      <c r="E176" s="1365">
        <f>O139/10</f>
        <v>0</v>
      </c>
      <c r="F176" s="1365">
        <f>'FORMULAIRE PGA Eau potable'!F351+'FORMULAIRE PGA Eau potable'!F361</f>
        <v>0</v>
      </c>
      <c r="G176" s="1366">
        <f t="shared" ref="G176:G181" si="10">F176-E176</f>
        <v>0</v>
      </c>
      <c r="K176" s="1367" t="s">
        <v>462</v>
      </c>
      <c r="L176" s="296">
        <f>ROUNDDOWN((F161*0.75+$F$165*0.25/3+$F$166*0.25/3+$F$167*0.25/3),0)</f>
        <v>0</v>
      </c>
      <c r="O176" s="1368" t="s">
        <v>463</v>
      </c>
      <c r="P176" s="1357" t="s">
        <v>464</v>
      </c>
    </row>
    <row r="177" spans="1:17">
      <c r="D177" s="903" t="s">
        <v>102</v>
      </c>
      <c r="E177" s="1369">
        <f>O140/10</f>
        <v>0</v>
      </c>
      <c r="F177" s="1369">
        <f>'FORMULAIRE PGA Eau potable'!H351+'FORMULAIRE PGA Eau potable'!H361</f>
        <v>0</v>
      </c>
      <c r="G177" s="1370">
        <f t="shared" si="10"/>
        <v>0</v>
      </c>
      <c r="K177" s="1367" t="s">
        <v>103</v>
      </c>
      <c r="L177" s="296">
        <f>ROUNDDOWN((F162*0.75+$F$165*0.25/3+$F$166*0.25/3+$F$167*0.25/3),0)</f>
        <v>0</v>
      </c>
      <c r="O177" s="1371"/>
      <c r="P177" s="1357"/>
    </row>
    <row r="178" spans="1:17">
      <c r="D178" s="903" t="s">
        <v>103</v>
      </c>
      <c r="E178" s="1369">
        <f>O141/10</f>
        <v>0</v>
      </c>
      <c r="F178" s="1369">
        <f>'FORMULAIRE PGA Eau potable'!K351+'FORMULAIRE PGA Eau potable'!K361</f>
        <v>0</v>
      </c>
      <c r="G178" s="1370">
        <f t="shared" si="10"/>
        <v>0</v>
      </c>
      <c r="K178" s="1367" t="s">
        <v>465</v>
      </c>
      <c r="L178" s="296">
        <f>ROUNDDOWN((F163*0.75+$F$165*0.25/3+$F$166*0.25/3+$F$167*0.25/3),0)</f>
        <v>0</v>
      </c>
      <c r="O178" s="1368" t="s">
        <v>463</v>
      </c>
      <c r="P178" s="1357" t="s">
        <v>446</v>
      </c>
    </row>
    <row r="179" spans="1:17">
      <c r="D179" s="903" t="s">
        <v>104</v>
      </c>
      <c r="E179" s="1369">
        <f>O142/10</f>
        <v>0</v>
      </c>
      <c r="F179" s="1369">
        <f>'FORMULAIRE PGA Eau potable'!M351+'FORMULAIRE PGA Eau potable'!M361</f>
        <v>0</v>
      </c>
      <c r="G179" s="1370">
        <f t="shared" si="10"/>
        <v>0</v>
      </c>
      <c r="P179" s="1357" t="s">
        <v>447</v>
      </c>
    </row>
    <row r="180" spans="1:17">
      <c r="D180" s="1351" t="s">
        <v>105</v>
      </c>
      <c r="E180" s="1372">
        <f>O143/10</f>
        <v>0</v>
      </c>
      <c r="F180" s="1372">
        <f>'FORMULAIRE PGA Eau potable'!O351+'FORMULAIRE PGA Eau potable'!O361</f>
        <v>0</v>
      </c>
      <c r="G180" s="1373">
        <f t="shared" si="10"/>
        <v>0</v>
      </c>
      <c r="P180" s="1357" t="s">
        <v>466</v>
      </c>
    </row>
    <row r="181" spans="1:17">
      <c r="D181" s="903" t="s">
        <v>467</v>
      </c>
      <c r="E181" s="1370">
        <f>SUM(E176:E180)</f>
        <v>0</v>
      </c>
      <c r="F181" s="1370">
        <f>SUM(F176:F180)</f>
        <v>0</v>
      </c>
      <c r="G181" s="1370">
        <f t="shared" si="10"/>
        <v>0</v>
      </c>
      <c r="K181" s="148"/>
      <c r="P181" s="1357" t="s">
        <v>468</v>
      </c>
    </row>
    <row r="182" spans="1:17">
      <c r="P182" s="1357" t="s">
        <v>451</v>
      </c>
    </row>
    <row r="185" spans="1:17" ht="22.5" customHeight="1">
      <c r="B185" s="1239" t="s">
        <v>99</v>
      </c>
      <c r="C185" s="1239"/>
      <c r="D185" s="1239"/>
      <c r="E185" s="1239"/>
      <c r="F185" s="1239"/>
      <c r="G185" s="1239"/>
      <c r="H185" s="1239"/>
      <c r="I185" s="1239"/>
      <c r="J185" s="1239"/>
      <c r="K185" s="1239"/>
      <c r="L185" s="1239"/>
      <c r="M185" s="1239"/>
      <c r="N185" s="1239"/>
      <c r="O185" s="1239"/>
      <c r="P185" s="1239"/>
      <c r="Q185" s="1239"/>
    </row>
    <row r="186" spans="1:17" ht="18">
      <c r="B186" s="1248"/>
      <c r="C186" s="1248"/>
      <c r="D186" s="1248"/>
      <c r="E186" s="1248"/>
      <c r="F186" s="1248"/>
      <c r="G186" s="1248"/>
      <c r="H186" s="1248"/>
      <c r="I186" s="1248"/>
      <c r="J186" s="1248"/>
      <c r="K186" s="1248"/>
      <c r="L186" s="1248"/>
      <c r="M186" s="1248"/>
      <c r="N186" s="1248"/>
      <c r="O186" s="1248"/>
      <c r="P186" s="1248"/>
      <c r="Q186" s="1248"/>
    </row>
    <row r="187" spans="1:17" ht="26.25" customHeight="1">
      <c r="B187" s="1344"/>
      <c r="C187" s="1344"/>
      <c r="D187" s="1345" t="s">
        <v>469</v>
      </c>
      <c r="I187" s="1345"/>
    </row>
    <row r="188" spans="1:17" ht="22.5" customHeight="1">
      <c r="B188" s="1344"/>
      <c r="C188" s="1344"/>
    </row>
    <row r="189" spans="1:17" ht="21">
      <c r="B189" s="1344"/>
      <c r="C189" s="1344"/>
      <c r="D189" s="1374" t="s">
        <v>443</v>
      </c>
      <c r="E189" s="72"/>
    </row>
    <row r="190" spans="1:17" ht="9.75" customHeight="1">
      <c r="B190" s="1344"/>
      <c r="C190" s="1344"/>
      <c r="D190" s="1375"/>
      <c r="E190" s="72"/>
    </row>
    <row r="191" spans="1:17" s="72" customFormat="1" ht="20.25" customHeight="1">
      <c r="A191" s="82"/>
      <c r="D191" s="1376"/>
      <c r="E191" s="1250">
        <f>'FORMULAIRE PGA Eau potable'!E410</f>
        <v>0</v>
      </c>
      <c r="F191" s="1250">
        <f>E191+1</f>
        <v>1</v>
      </c>
      <c r="G191" s="1250">
        <f t="shared" ref="G191:N191" si="11">F191+1</f>
        <v>2</v>
      </c>
      <c r="H191" s="1250">
        <f t="shared" si="11"/>
        <v>3</v>
      </c>
      <c r="I191" s="1250">
        <f t="shared" si="11"/>
        <v>4</v>
      </c>
      <c r="J191" s="1250">
        <f t="shared" si="11"/>
        <v>5</v>
      </c>
      <c r="K191" s="1250">
        <f t="shared" si="11"/>
        <v>6</v>
      </c>
      <c r="L191" s="1250">
        <f t="shared" si="11"/>
        <v>7</v>
      </c>
      <c r="M191" s="1250">
        <f t="shared" si="11"/>
        <v>8</v>
      </c>
      <c r="N191" s="1250">
        <f t="shared" si="11"/>
        <v>9</v>
      </c>
      <c r="O191" s="1377" t="s">
        <v>442</v>
      </c>
    </row>
    <row r="192" spans="1:17">
      <c r="D192" s="1378" t="s">
        <v>100</v>
      </c>
      <c r="E192" s="1379">
        <f>'FORMULAIRE PGA Eau potable'!F355</f>
        <v>0</v>
      </c>
      <c r="F192" s="1380">
        <f>E192</f>
        <v>0</v>
      </c>
      <c r="G192" s="1380">
        <f t="shared" ref="G192:N192" si="12">F192</f>
        <v>0</v>
      </c>
      <c r="H192" s="1380">
        <f t="shared" si="12"/>
        <v>0</v>
      </c>
      <c r="I192" s="1380">
        <f t="shared" si="12"/>
        <v>0</v>
      </c>
      <c r="J192" s="1380">
        <f t="shared" si="12"/>
        <v>0</v>
      </c>
      <c r="K192" s="1380">
        <f t="shared" si="12"/>
        <v>0</v>
      </c>
      <c r="L192" s="1380">
        <f t="shared" si="12"/>
        <v>0</v>
      </c>
      <c r="M192" s="1380">
        <f t="shared" si="12"/>
        <v>0</v>
      </c>
      <c r="N192" s="1380">
        <f t="shared" si="12"/>
        <v>0</v>
      </c>
      <c r="O192" s="1381">
        <f t="shared" ref="O192:O198" si="13">SUM(E192:N192)</f>
        <v>0</v>
      </c>
    </row>
    <row r="193" spans="1:16">
      <c r="B193" s="903"/>
      <c r="C193" s="903"/>
      <c r="D193" s="903" t="s">
        <v>101</v>
      </c>
      <c r="E193" s="1382">
        <f>'FORMULAIRE PGA Eau potable'!E412</f>
        <v>0</v>
      </c>
      <c r="F193" s="1382">
        <f>'FORMULAIRE PGA Eau potable'!F412</f>
        <v>0</v>
      </c>
      <c r="G193" s="1382">
        <f>'FORMULAIRE PGA Eau potable'!G412</f>
        <v>0</v>
      </c>
      <c r="H193" s="1382">
        <f>'FORMULAIRE PGA Eau potable'!H412</f>
        <v>0</v>
      </c>
      <c r="I193" s="1382">
        <f>'FORMULAIRE PGA Eau potable'!I412</f>
        <v>0</v>
      </c>
      <c r="J193" s="1382">
        <f>'FORMULAIRE PGA Eau potable'!J412</f>
        <v>0</v>
      </c>
      <c r="K193" s="1382">
        <f>'FORMULAIRE PGA Eau potable'!K412</f>
        <v>0</v>
      </c>
      <c r="L193" s="1382">
        <f>'FORMULAIRE PGA Eau potable'!L412</f>
        <v>0</v>
      </c>
      <c r="M193" s="1382">
        <f>'FORMULAIRE PGA Eau potable'!M412</f>
        <v>0</v>
      </c>
      <c r="N193" s="1382">
        <f>'FORMULAIRE PGA Eau potable'!N412</f>
        <v>0</v>
      </c>
      <c r="O193" s="1383">
        <f t="shared" si="13"/>
        <v>0</v>
      </c>
      <c r="P193" s="1384" t="str">
        <f>IF(ISERR(O193/$O$198)=TRUE,"",(O193/$O$198))</f>
        <v/>
      </c>
    </row>
    <row r="194" spans="1:16">
      <c r="B194" s="903"/>
      <c r="C194" s="903"/>
      <c r="D194" s="903" t="s">
        <v>102</v>
      </c>
      <c r="E194" s="1382">
        <f>'FORMULAIRE PGA Eau potable'!E419</f>
        <v>0</v>
      </c>
      <c r="F194" s="1382">
        <f>'FORMULAIRE PGA Eau potable'!F419</f>
        <v>0</v>
      </c>
      <c r="G194" s="1382">
        <f>'FORMULAIRE PGA Eau potable'!G419</f>
        <v>0</v>
      </c>
      <c r="H194" s="1382">
        <f>'FORMULAIRE PGA Eau potable'!H419</f>
        <v>0</v>
      </c>
      <c r="I194" s="1382">
        <f>'FORMULAIRE PGA Eau potable'!I419</f>
        <v>0</v>
      </c>
      <c r="J194" s="1382">
        <f>'FORMULAIRE PGA Eau potable'!J419</f>
        <v>0</v>
      </c>
      <c r="K194" s="1382">
        <f>'FORMULAIRE PGA Eau potable'!K419</f>
        <v>0</v>
      </c>
      <c r="L194" s="1382">
        <f>'FORMULAIRE PGA Eau potable'!L419</f>
        <v>0</v>
      </c>
      <c r="M194" s="1382">
        <f>'FORMULAIRE PGA Eau potable'!M419</f>
        <v>0</v>
      </c>
      <c r="N194" s="1382">
        <f>'FORMULAIRE PGA Eau potable'!N419</f>
        <v>0</v>
      </c>
      <c r="O194" s="1383">
        <f t="shared" si="13"/>
        <v>0</v>
      </c>
      <c r="P194" s="1384" t="str">
        <f>IF(ISERR(O194/$O$198)=TRUE,"",(O194/$O$198))</f>
        <v/>
      </c>
    </row>
    <row r="195" spans="1:16">
      <c r="B195" s="903"/>
      <c r="C195" s="903"/>
      <c r="D195" s="903" t="s">
        <v>103</v>
      </c>
      <c r="E195" s="1382">
        <f>'FORMULAIRE PGA Eau potable'!E427</f>
        <v>0</v>
      </c>
      <c r="F195" s="1382">
        <f>'FORMULAIRE PGA Eau potable'!F427</f>
        <v>0</v>
      </c>
      <c r="G195" s="1382">
        <f>'FORMULAIRE PGA Eau potable'!G427</f>
        <v>0</v>
      </c>
      <c r="H195" s="1382">
        <f>'FORMULAIRE PGA Eau potable'!H427</f>
        <v>0</v>
      </c>
      <c r="I195" s="1382">
        <f>'FORMULAIRE PGA Eau potable'!I427</f>
        <v>0</v>
      </c>
      <c r="J195" s="1382">
        <f>'FORMULAIRE PGA Eau potable'!J427</f>
        <v>0</v>
      </c>
      <c r="K195" s="1382">
        <f>'FORMULAIRE PGA Eau potable'!K427</f>
        <v>0</v>
      </c>
      <c r="L195" s="1382">
        <f>'FORMULAIRE PGA Eau potable'!L427</f>
        <v>0</v>
      </c>
      <c r="M195" s="1382">
        <f>'FORMULAIRE PGA Eau potable'!M427</f>
        <v>0</v>
      </c>
      <c r="N195" s="1382">
        <f>'FORMULAIRE PGA Eau potable'!N427</f>
        <v>0</v>
      </c>
      <c r="O195" s="1383">
        <f t="shared" si="13"/>
        <v>0</v>
      </c>
      <c r="P195" s="1384" t="str">
        <f>IF(ISERR(O195/$O$198)=TRUE,"",(O195/$O$198))</f>
        <v/>
      </c>
    </row>
    <row r="196" spans="1:16">
      <c r="B196" s="903"/>
      <c r="C196" s="903"/>
      <c r="D196" s="903" t="s">
        <v>104</v>
      </c>
      <c r="E196" s="1382">
        <f>'FORMULAIRE PGA Eau potable'!E436</f>
        <v>0</v>
      </c>
      <c r="F196" s="1382">
        <f>'FORMULAIRE PGA Eau potable'!F436</f>
        <v>0</v>
      </c>
      <c r="G196" s="1382">
        <f>'FORMULAIRE PGA Eau potable'!G436</f>
        <v>0</v>
      </c>
      <c r="H196" s="1382">
        <f>'FORMULAIRE PGA Eau potable'!H436</f>
        <v>0</v>
      </c>
      <c r="I196" s="1382">
        <f>'FORMULAIRE PGA Eau potable'!I436</f>
        <v>0</v>
      </c>
      <c r="J196" s="1382">
        <f>'FORMULAIRE PGA Eau potable'!J436</f>
        <v>0</v>
      </c>
      <c r="K196" s="1382">
        <f>'FORMULAIRE PGA Eau potable'!K436</f>
        <v>0</v>
      </c>
      <c r="L196" s="1382">
        <f>'FORMULAIRE PGA Eau potable'!L436</f>
        <v>0</v>
      </c>
      <c r="M196" s="1382">
        <f>'FORMULAIRE PGA Eau potable'!M436</f>
        <v>0</v>
      </c>
      <c r="N196" s="1382">
        <f>'FORMULAIRE PGA Eau potable'!N436</f>
        <v>0</v>
      </c>
      <c r="O196" s="1383">
        <f t="shared" si="13"/>
        <v>0</v>
      </c>
      <c r="P196" s="1384" t="str">
        <f>IF(ISERR(O196/$O$198)=TRUE,"",(O196/$O$198))</f>
        <v/>
      </c>
    </row>
    <row r="197" spans="1:16">
      <c r="B197" s="903"/>
      <c r="C197" s="903"/>
      <c r="D197" s="903" t="s">
        <v>105</v>
      </c>
      <c r="E197" s="1382">
        <f>'FORMULAIRE PGA Eau potable'!E442</f>
        <v>0</v>
      </c>
      <c r="F197" s="1382">
        <f>'FORMULAIRE PGA Eau potable'!F442</f>
        <v>0</v>
      </c>
      <c r="G197" s="1382">
        <f>'FORMULAIRE PGA Eau potable'!G442</f>
        <v>0</v>
      </c>
      <c r="H197" s="1382">
        <f>'FORMULAIRE PGA Eau potable'!H442</f>
        <v>0</v>
      </c>
      <c r="I197" s="1382">
        <f>'FORMULAIRE PGA Eau potable'!I442</f>
        <v>0</v>
      </c>
      <c r="J197" s="1382">
        <f>'FORMULAIRE PGA Eau potable'!J442</f>
        <v>0</v>
      </c>
      <c r="K197" s="1382">
        <f>'FORMULAIRE PGA Eau potable'!K442</f>
        <v>0</v>
      </c>
      <c r="L197" s="1382">
        <f>'FORMULAIRE PGA Eau potable'!L442</f>
        <v>0</v>
      </c>
      <c r="M197" s="1382">
        <f>'FORMULAIRE PGA Eau potable'!M442</f>
        <v>0</v>
      </c>
      <c r="N197" s="1382">
        <f>'FORMULAIRE PGA Eau potable'!N442</f>
        <v>0</v>
      </c>
      <c r="O197" s="1383">
        <f t="shared" si="13"/>
        <v>0</v>
      </c>
      <c r="P197" s="1384" t="str">
        <f>IF(ISERR(O197/$O$198)=TRUE,"",(O197/$O$198))</f>
        <v/>
      </c>
    </row>
    <row r="198" spans="1:16" ht="18.75" customHeight="1">
      <c r="B198" s="903"/>
      <c r="C198" s="903"/>
      <c r="D198" s="1385" t="s">
        <v>467</v>
      </c>
      <c r="E198" s="1386">
        <f>SUM(E193:E197)</f>
        <v>0</v>
      </c>
      <c r="F198" s="1386">
        <f t="shared" ref="F198:N198" si="14">SUM(F193:F197)</f>
        <v>0</v>
      </c>
      <c r="G198" s="1386">
        <f t="shared" si="14"/>
        <v>0</v>
      </c>
      <c r="H198" s="1386">
        <f t="shared" si="14"/>
        <v>0</v>
      </c>
      <c r="I198" s="1386">
        <f t="shared" si="14"/>
        <v>0</v>
      </c>
      <c r="J198" s="1386">
        <f t="shared" si="14"/>
        <v>0</v>
      </c>
      <c r="K198" s="1386">
        <f t="shared" si="14"/>
        <v>0</v>
      </c>
      <c r="L198" s="1386">
        <f t="shared" si="14"/>
        <v>0</v>
      </c>
      <c r="M198" s="1386">
        <f t="shared" si="14"/>
        <v>0</v>
      </c>
      <c r="N198" s="1386">
        <f t="shared" si="14"/>
        <v>0</v>
      </c>
      <c r="O198" s="1387">
        <f t="shared" si="13"/>
        <v>0</v>
      </c>
      <c r="P198" s="1388">
        <f>IF(O226=0,0,O198/O226)</f>
        <v>0</v>
      </c>
    </row>
    <row r="199" spans="1:16">
      <c r="B199" s="903"/>
      <c r="C199" s="903"/>
      <c r="D199" s="903"/>
      <c r="E199" s="1382"/>
      <c r="F199" s="1382"/>
      <c r="G199" s="1382"/>
      <c r="H199" s="1382"/>
      <c r="I199" s="1382"/>
      <c r="J199" s="1382"/>
      <c r="K199" s="1382"/>
      <c r="L199" s="1382"/>
      <c r="M199" s="1382"/>
      <c r="N199" s="1382"/>
      <c r="O199" s="1382"/>
      <c r="P199" s="1388"/>
    </row>
    <row r="200" spans="1:16">
      <c r="B200" s="903"/>
      <c r="C200" s="903"/>
      <c r="D200" s="903"/>
      <c r="E200" s="1382"/>
      <c r="F200" s="1382"/>
      <c r="G200" s="1382"/>
      <c r="H200" s="1382"/>
      <c r="I200" s="1382"/>
      <c r="J200" s="1382"/>
      <c r="K200" s="1382"/>
      <c r="L200" s="1382"/>
      <c r="M200" s="1382"/>
      <c r="N200" s="1382"/>
      <c r="O200" s="1382"/>
      <c r="P200" s="1388"/>
    </row>
    <row r="201" spans="1:16" ht="21.75" customHeight="1">
      <c r="B201" s="903"/>
      <c r="C201" s="903"/>
      <c r="D201" s="1389" t="s">
        <v>33</v>
      </c>
      <c r="E201" s="2505"/>
      <c r="F201" s="1395"/>
      <c r="G201" s="2506"/>
      <c r="H201" s="1395"/>
      <c r="I201" s="2507"/>
      <c r="J201" s="1395"/>
      <c r="L201" s="2508"/>
      <c r="M201" s="1395"/>
      <c r="N201" s="2509"/>
      <c r="O201" s="1395"/>
    </row>
    <row r="202" spans="1:16" ht="18.75" customHeight="1">
      <c r="B202" s="903"/>
      <c r="C202" s="903"/>
      <c r="D202" s="1390">
        <f>H150</f>
        <v>0</v>
      </c>
      <c r="E202" s="1361"/>
      <c r="F202" s="2511"/>
      <c r="G202" s="2511"/>
      <c r="H202" s="2511"/>
      <c r="I202" s="2511"/>
      <c r="J202" s="2511"/>
      <c r="K202" s="2511"/>
      <c r="M202" s="2511"/>
      <c r="N202" s="2511"/>
      <c r="O202" s="2511"/>
      <c r="P202" s="2511"/>
    </row>
    <row r="203" spans="1:16" ht="11.25" customHeight="1">
      <c r="B203" s="903"/>
      <c r="C203" s="903"/>
      <c r="D203" s="903"/>
      <c r="E203" s="2510"/>
      <c r="F203" s="1382"/>
      <c r="G203" s="1382"/>
      <c r="H203" s="2510"/>
      <c r="I203" s="1382"/>
      <c r="J203" s="1382"/>
      <c r="K203" s="1382"/>
      <c r="L203" s="1382"/>
      <c r="M203" s="1382"/>
      <c r="N203" s="1382"/>
      <c r="O203" s="1382"/>
      <c r="P203" s="1388"/>
    </row>
    <row r="204" spans="1:16">
      <c r="B204" s="903"/>
      <c r="C204" s="903"/>
      <c r="D204" s="903"/>
      <c r="E204" s="1382"/>
      <c r="F204" s="1382"/>
      <c r="G204" s="1382"/>
      <c r="H204" s="1382"/>
      <c r="I204" s="1382"/>
      <c r="J204" s="1382"/>
      <c r="N204" s="1382"/>
      <c r="O204" s="1382"/>
      <c r="P204" s="1388"/>
    </row>
    <row r="205" spans="1:16" ht="18" customHeight="1">
      <c r="D205" s="1097"/>
      <c r="E205" s="1097"/>
    </row>
    <row r="206" spans="1:16" ht="21" customHeight="1">
      <c r="D206" s="1374" t="s">
        <v>428</v>
      </c>
      <c r="E206" s="72"/>
    </row>
    <row r="207" spans="1:16" ht="9.75" customHeight="1">
      <c r="B207" s="1344"/>
      <c r="C207" s="1344"/>
      <c r="D207" s="1375"/>
      <c r="E207" s="72"/>
    </row>
    <row r="208" spans="1:16" s="72" customFormat="1" ht="20.25" customHeight="1">
      <c r="A208" s="82"/>
      <c r="D208" s="1376"/>
      <c r="E208" s="1250">
        <f>'FORMULAIRE PGA Eau potable'!E410</f>
        <v>0</v>
      </c>
      <c r="F208" s="1250">
        <f t="shared" ref="F208:N208" si="15">E208+1</f>
        <v>1</v>
      </c>
      <c r="G208" s="1250">
        <f t="shared" si="15"/>
        <v>2</v>
      </c>
      <c r="H208" s="1250">
        <f t="shared" si="15"/>
        <v>3</v>
      </c>
      <c r="I208" s="1250">
        <f t="shared" si="15"/>
        <v>4</v>
      </c>
      <c r="J208" s="1250">
        <f t="shared" si="15"/>
        <v>5</v>
      </c>
      <c r="K208" s="1250">
        <f t="shared" si="15"/>
        <v>6</v>
      </c>
      <c r="L208" s="1250">
        <f t="shared" si="15"/>
        <v>7</v>
      </c>
      <c r="M208" s="1250">
        <f t="shared" si="15"/>
        <v>8</v>
      </c>
      <c r="N208" s="1250">
        <f t="shared" si="15"/>
        <v>9</v>
      </c>
      <c r="O208" s="1377" t="s">
        <v>442</v>
      </c>
    </row>
    <row r="209" spans="2:16">
      <c r="D209" s="1378" t="s">
        <v>100</v>
      </c>
      <c r="E209" s="1379">
        <f>'FORMULAIRE PGA Eau potable'!F365</f>
        <v>0</v>
      </c>
      <c r="F209" s="1379">
        <f>E209</f>
        <v>0</v>
      </c>
      <c r="G209" s="1379">
        <f t="shared" ref="G209:N209" si="16">F209</f>
        <v>0</v>
      </c>
      <c r="H209" s="1379">
        <f t="shared" si="16"/>
        <v>0</v>
      </c>
      <c r="I209" s="1379">
        <f t="shared" si="16"/>
        <v>0</v>
      </c>
      <c r="J209" s="1379">
        <f t="shared" si="16"/>
        <v>0</v>
      </c>
      <c r="K209" s="1379">
        <f t="shared" si="16"/>
        <v>0</v>
      </c>
      <c r="L209" s="1379">
        <f t="shared" si="16"/>
        <v>0</v>
      </c>
      <c r="M209" s="1379">
        <f t="shared" si="16"/>
        <v>0</v>
      </c>
      <c r="N209" s="1379">
        <f t="shared" si="16"/>
        <v>0</v>
      </c>
      <c r="O209" s="1381">
        <f t="shared" ref="O209:O215" si="17">SUM(E209:N209)</f>
        <v>0</v>
      </c>
    </row>
    <row r="210" spans="2:16">
      <c r="D210" s="903" t="s">
        <v>101</v>
      </c>
      <c r="E210" s="1382">
        <f>'FORMULAIRE PGA Eau potable'!E457</f>
        <v>0</v>
      </c>
      <c r="F210" s="1382">
        <f>'FORMULAIRE PGA Eau potable'!F457</f>
        <v>0</v>
      </c>
      <c r="G210" s="1382">
        <f>'FORMULAIRE PGA Eau potable'!G457</f>
        <v>0</v>
      </c>
      <c r="H210" s="1382">
        <f>'FORMULAIRE PGA Eau potable'!H457</f>
        <v>0</v>
      </c>
      <c r="I210" s="1382">
        <f>'FORMULAIRE PGA Eau potable'!I457</f>
        <v>0</v>
      </c>
      <c r="J210" s="1382">
        <f>'FORMULAIRE PGA Eau potable'!J457</f>
        <v>0</v>
      </c>
      <c r="K210" s="1382">
        <f>'FORMULAIRE PGA Eau potable'!K457</f>
        <v>0</v>
      </c>
      <c r="L210" s="1382">
        <f>'FORMULAIRE PGA Eau potable'!L457</f>
        <v>0</v>
      </c>
      <c r="M210" s="1382">
        <f>'FORMULAIRE PGA Eau potable'!M457</f>
        <v>0</v>
      </c>
      <c r="N210" s="1382">
        <f>'FORMULAIRE PGA Eau potable'!N457</f>
        <v>0</v>
      </c>
      <c r="O210" s="1383">
        <f t="shared" si="17"/>
        <v>0</v>
      </c>
      <c r="P210" s="1384" t="str">
        <f>IF(ISERR(O210/$O$215)=TRUE,"",(O210/$O$215))</f>
        <v/>
      </c>
    </row>
    <row r="211" spans="2:16">
      <c r="D211" s="903" t="s">
        <v>102</v>
      </c>
      <c r="E211" s="1382">
        <f>'FORMULAIRE PGA Eau potable'!E464</f>
        <v>0</v>
      </c>
      <c r="F211" s="1382">
        <f>'FORMULAIRE PGA Eau potable'!F464</f>
        <v>0</v>
      </c>
      <c r="G211" s="1382">
        <f>'FORMULAIRE PGA Eau potable'!G464</f>
        <v>0</v>
      </c>
      <c r="H211" s="1382">
        <f>'FORMULAIRE PGA Eau potable'!H464</f>
        <v>0</v>
      </c>
      <c r="I211" s="1382">
        <f>'FORMULAIRE PGA Eau potable'!I464</f>
        <v>0</v>
      </c>
      <c r="J211" s="1382">
        <f>'FORMULAIRE PGA Eau potable'!J464</f>
        <v>0</v>
      </c>
      <c r="K211" s="1382">
        <f>'FORMULAIRE PGA Eau potable'!K464</f>
        <v>0</v>
      </c>
      <c r="L211" s="1382">
        <f>'FORMULAIRE PGA Eau potable'!L464</f>
        <v>0</v>
      </c>
      <c r="M211" s="1382">
        <f>'FORMULAIRE PGA Eau potable'!M464</f>
        <v>0</v>
      </c>
      <c r="N211" s="1382">
        <f>'FORMULAIRE PGA Eau potable'!N464</f>
        <v>0</v>
      </c>
      <c r="O211" s="1383">
        <f t="shared" si="17"/>
        <v>0</v>
      </c>
      <c r="P211" s="1384" t="str">
        <f>IF(ISERR(O211/$O$215)=TRUE,"",(O211/$O$215))</f>
        <v/>
      </c>
    </row>
    <row r="212" spans="2:16">
      <c r="D212" s="903" t="s">
        <v>103</v>
      </c>
      <c r="E212" s="1382">
        <f>'FORMULAIRE PGA Eau potable'!E472</f>
        <v>0</v>
      </c>
      <c r="F212" s="1382">
        <f>'FORMULAIRE PGA Eau potable'!F472</f>
        <v>0</v>
      </c>
      <c r="G212" s="1382">
        <f>'FORMULAIRE PGA Eau potable'!G472</f>
        <v>0</v>
      </c>
      <c r="H212" s="1382">
        <f>'FORMULAIRE PGA Eau potable'!H472</f>
        <v>0</v>
      </c>
      <c r="I212" s="1382">
        <f>'FORMULAIRE PGA Eau potable'!I472</f>
        <v>0</v>
      </c>
      <c r="J212" s="1382">
        <f>'FORMULAIRE PGA Eau potable'!J472</f>
        <v>0</v>
      </c>
      <c r="K212" s="1382">
        <f>'FORMULAIRE PGA Eau potable'!K472</f>
        <v>0</v>
      </c>
      <c r="L212" s="1382">
        <f>'FORMULAIRE PGA Eau potable'!L472</f>
        <v>0</v>
      </c>
      <c r="M212" s="1382">
        <f>'FORMULAIRE PGA Eau potable'!M472</f>
        <v>0</v>
      </c>
      <c r="N212" s="1382">
        <f>'FORMULAIRE PGA Eau potable'!N472</f>
        <v>0</v>
      </c>
      <c r="O212" s="1383">
        <f t="shared" si="17"/>
        <v>0</v>
      </c>
      <c r="P212" s="1384" t="str">
        <f>IF(ISERR(O212/$O$215)=TRUE,"",(O212/$O$215))</f>
        <v/>
      </c>
    </row>
    <row r="213" spans="2:16">
      <c r="D213" s="903" t="s">
        <v>104</v>
      </c>
      <c r="E213" s="1382">
        <f>'FORMULAIRE PGA Eau potable'!E481</f>
        <v>0</v>
      </c>
      <c r="F213" s="1382">
        <f>'FORMULAIRE PGA Eau potable'!F481</f>
        <v>0</v>
      </c>
      <c r="G213" s="1382">
        <f>'FORMULAIRE PGA Eau potable'!G481</f>
        <v>0</v>
      </c>
      <c r="H213" s="1382">
        <f>'FORMULAIRE PGA Eau potable'!H481</f>
        <v>0</v>
      </c>
      <c r="I213" s="1382">
        <f>'FORMULAIRE PGA Eau potable'!I481</f>
        <v>0</v>
      </c>
      <c r="J213" s="1382">
        <f>'FORMULAIRE PGA Eau potable'!J481</f>
        <v>0</v>
      </c>
      <c r="K213" s="1382">
        <f>'FORMULAIRE PGA Eau potable'!K481</f>
        <v>0</v>
      </c>
      <c r="L213" s="1382">
        <f>'FORMULAIRE PGA Eau potable'!L481</f>
        <v>0</v>
      </c>
      <c r="M213" s="1382">
        <f>'FORMULAIRE PGA Eau potable'!M481</f>
        <v>0</v>
      </c>
      <c r="N213" s="1382">
        <f>'FORMULAIRE PGA Eau potable'!N481</f>
        <v>0</v>
      </c>
      <c r="O213" s="1383">
        <f t="shared" si="17"/>
        <v>0</v>
      </c>
      <c r="P213" s="1384" t="str">
        <f>IF(ISERR(O213/$O$215)=TRUE,"",(O213/$O$215))</f>
        <v/>
      </c>
    </row>
    <row r="214" spans="2:16">
      <c r="D214" s="903" t="s">
        <v>105</v>
      </c>
      <c r="E214" s="1382">
        <f>'FORMULAIRE PGA Eau potable'!E487</f>
        <v>0</v>
      </c>
      <c r="F214" s="1382">
        <f>'FORMULAIRE PGA Eau potable'!F487</f>
        <v>0</v>
      </c>
      <c r="G214" s="1382">
        <f>'FORMULAIRE PGA Eau potable'!G487</f>
        <v>0</v>
      </c>
      <c r="H214" s="1382">
        <f>'FORMULAIRE PGA Eau potable'!H487</f>
        <v>0</v>
      </c>
      <c r="I214" s="1382">
        <f>'FORMULAIRE PGA Eau potable'!I487</f>
        <v>0</v>
      </c>
      <c r="J214" s="1382">
        <f>'FORMULAIRE PGA Eau potable'!J487</f>
        <v>0</v>
      </c>
      <c r="K214" s="1382">
        <f>'FORMULAIRE PGA Eau potable'!K487</f>
        <v>0</v>
      </c>
      <c r="L214" s="1382">
        <f>'FORMULAIRE PGA Eau potable'!L487</f>
        <v>0</v>
      </c>
      <c r="M214" s="1382">
        <f>'FORMULAIRE PGA Eau potable'!M487</f>
        <v>0</v>
      </c>
      <c r="N214" s="1382">
        <f>'FORMULAIRE PGA Eau potable'!N487</f>
        <v>0</v>
      </c>
      <c r="O214" s="1383">
        <f t="shared" si="17"/>
        <v>0</v>
      </c>
      <c r="P214" s="1384" t="str">
        <f>IF(ISERR(O214/$O$215)=TRUE,"",(O214/$O$215))</f>
        <v/>
      </c>
    </row>
    <row r="215" spans="2:16" ht="21" customHeight="1">
      <c r="D215" s="1385" t="s">
        <v>467</v>
      </c>
      <c r="E215" s="1386">
        <f t="shared" ref="E215:N215" si="18">SUM(E210:E214)</f>
        <v>0</v>
      </c>
      <c r="F215" s="1386">
        <f t="shared" si="18"/>
        <v>0</v>
      </c>
      <c r="G215" s="1386">
        <f t="shared" si="18"/>
        <v>0</v>
      </c>
      <c r="H215" s="1386">
        <f t="shared" si="18"/>
        <v>0</v>
      </c>
      <c r="I215" s="1386">
        <f t="shared" si="18"/>
        <v>0</v>
      </c>
      <c r="J215" s="1386">
        <f t="shared" si="18"/>
        <v>0</v>
      </c>
      <c r="K215" s="1386">
        <f t="shared" si="18"/>
        <v>0</v>
      </c>
      <c r="L215" s="1386">
        <f t="shared" si="18"/>
        <v>0</v>
      </c>
      <c r="M215" s="1386">
        <f t="shared" si="18"/>
        <v>0</v>
      </c>
      <c r="N215" s="1386">
        <f t="shared" si="18"/>
        <v>0</v>
      </c>
      <c r="O215" s="1387">
        <f t="shared" si="17"/>
        <v>0</v>
      </c>
      <c r="P215" s="1388">
        <f>IF(O226=0,0,O215/O226)</f>
        <v>0</v>
      </c>
    </row>
    <row r="216" spans="2:16">
      <c r="B216" s="903"/>
      <c r="C216" s="903"/>
      <c r="D216" s="903"/>
      <c r="E216" s="1382"/>
      <c r="F216" s="1382"/>
      <c r="G216" s="1382"/>
      <c r="H216" s="1382"/>
      <c r="I216" s="1382"/>
      <c r="J216" s="1382"/>
      <c r="K216" s="1382"/>
      <c r="L216" s="1382"/>
      <c r="M216" s="1382"/>
      <c r="N216" s="1382"/>
      <c r="O216" s="1382"/>
      <c r="P216" s="1388"/>
    </row>
    <row r="217" spans="2:16">
      <c r="B217" s="903"/>
      <c r="C217" s="903"/>
      <c r="D217" s="903"/>
      <c r="E217" s="1382"/>
      <c r="F217" s="1382"/>
      <c r="G217" s="1382"/>
      <c r="H217" s="1382"/>
      <c r="I217" s="1382"/>
      <c r="J217" s="1382"/>
      <c r="K217" s="1382"/>
      <c r="L217" s="1382"/>
      <c r="M217" s="1382"/>
      <c r="N217" s="1382"/>
      <c r="O217" s="1382"/>
      <c r="P217" s="1388"/>
    </row>
    <row r="218" spans="2:16" ht="21.75" customHeight="1">
      <c r="B218" s="903"/>
      <c r="C218" s="903"/>
      <c r="D218" s="1389" t="s">
        <v>33</v>
      </c>
      <c r="E218" s="2505"/>
      <c r="F218" s="1395"/>
      <c r="G218" s="2506"/>
      <c r="H218" s="1395"/>
      <c r="I218" s="2507"/>
      <c r="J218" s="1395"/>
      <c r="L218" s="2508"/>
      <c r="M218" s="1395"/>
      <c r="N218" s="2509"/>
      <c r="O218" s="1395"/>
    </row>
    <row r="219" spans="2:16" ht="18.75" customHeight="1">
      <c r="B219" s="903"/>
      <c r="C219" s="903"/>
      <c r="D219" s="1390">
        <f>O150</f>
        <v>0</v>
      </c>
      <c r="E219" s="1361"/>
      <c r="F219" s="2511"/>
      <c r="G219" s="2511"/>
      <c r="H219" s="2511"/>
      <c r="I219" s="2511"/>
      <c r="J219" s="2511"/>
      <c r="K219" s="2511"/>
      <c r="M219" s="2511"/>
      <c r="N219" s="2511"/>
      <c r="O219" s="2511"/>
      <c r="P219" s="2511"/>
    </row>
    <row r="220" spans="2:16" ht="11.25" customHeight="1">
      <c r="B220" s="903"/>
      <c r="C220" s="903"/>
      <c r="D220" s="903"/>
      <c r="E220" s="2510"/>
      <c r="F220" s="1382"/>
      <c r="G220" s="1382"/>
      <c r="H220" s="2510"/>
      <c r="I220" s="1382"/>
      <c r="J220" s="1382"/>
      <c r="K220" s="1382"/>
      <c r="L220" s="1382"/>
      <c r="M220" s="1382"/>
      <c r="N220" s="1382"/>
      <c r="O220" s="1382"/>
      <c r="P220" s="1388"/>
    </row>
    <row r="221" spans="2:16">
      <c r="B221" s="903"/>
      <c r="C221" s="903"/>
      <c r="D221" s="903"/>
      <c r="E221" s="1382"/>
      <c r="F221" s="1382"/>
      <c r="G221" s="1382"/>
      <c r="H221" s="1382"/>
      <c r="I221" s="1382"/>
      <c r="J221" s="1382"/>
      <c r="N221" s="1382"/>
      <c r="O221" s="1382"/>
      <c r="P221" s="1388"/>
    </row>
    <row r="222" spans="2:16" ht="20.25" customHeight="1"/>
    <row r="224" spans="2:16" ht="21.75" customHeight="1">
      <c r="D224" s="1374" t="s">
        <v>452</v>
      </c>
    </row>
    <row r="225" spans="1:17" ht="7.5" customHeight="1">
      <c r="D225" s="1375"/>
    </row>
    <row r="226" spans="1:17" ht="20.25" customHeight="1">
      <c r="D226" s="1385" t="s">
        <v>467</v>
      </c>
      <c r="E226" s="1386">
        <f>E198+E215</f>
        <v>0</v>
      </c>
      <c r="F226" s="1386">
        <f t="shared" ref="F226:N226" si="19">F198+F215</f>
        <v>0</v>
      </c>
      <c r="G226" s="1386">
        <f t="shared" si="19"/>
        <v>0</v>
      </c>
      <c r="H226" s="1386">
        <f t="shared" si="19"/>
        <v>0</v>
      </c>
      <c r="I226" s="1386">
        <f t="shared" si="19"/>
        <v>0</v>
      </c>
      <c r="J226" s="1386">
        <f t="shared" si="19"/>
        <v>0</v>
      </c>
      <c r="K226" s="1386">
        <f t="shared" si="19"/>
        <v>0</v>
      </c>
      <c r="L226" s="1386">
        <f t="shared" si="19"/>
        <v>0</v>
      </c>
      <c r="M226" s="1386">
        <f t="shared" si="19"/>
        <v>0</v>
      </c>
      <c r="N226" s="1386">
        <f t="shared" si="19"/>
        <v>0</v>
      </c>
      <c r="O226" s="1387">
        <f>O198+O215</f>
        <v>0</v>
      </c>
    </row>
    <row r="229" spans="1:17" ht="22.5" customHeight="1">
      <c r="B229" s="1239" t="s">
        <v>16</v>
      </c>
      <c r="C229" s="1239"/>
      <c r="D229" s="1239"/>
      <c r="E229" s="1239"/>
      <c r="F229" s="1239"/>
      <c r="G229" s="1239"/>
      <c r="H229" s="1239"/>
      <c r="I229" s="1239"/>
      <c r="J229" s="1239"/>
      <c r="K229" s="1239"/>
      <c r="L229" s="1239"/>
      <c r="M229" s="1239"/>
      <c r="N229" s="1239"/>
      <c r="O229" s="1239"/>
      <c r="P229" s="1239"/>
      <c r="Q229" s="1239"/>
    </row>
    <row r="231" spans="1:17" ht="26.25" customHeight="1">
      <c r="B231" s="1344"/>
      <c r="C231" s="1344"/>
      <c r="D231" s="1345" t="s">
        <v>30</v>
      </c>
      <c r="I231" s="1345"/>
    </row>
    <row r="232" spans="1:17" ht="22.5" customHeight="1">
      <c r="B232" s="1344"/>
      <c r="C232" s="1344"/>
    </row>
    <row r="233" spans="1:17" ht="15" customHeight="1"/>
    <row r="234" spans="1:17" ht="15" customHeight="1">
      <c r="E234" s="2514"/>
      <c r="F234" s="614"/>
      <c r="G234" s="614"/>
      <c r="H234" s="614"/>
      <c r="I234" s="614"/>
      <c r="J234" s="614"/>
      <c r="K234" s="614"/>
      <c r="L234" s="614"/>
    </row>
    <row r="235" spans="1:17" ht="20.25" customHeight="1">
      <c r="E235" s="2514" t="s">
        <v>2288</v>
      </c>
      <c r="F235" s="1429"/>
      <c r="G235" s="1429"/>
      <c r="H235" s="2513"/>
      <c r="I235" s="614"/>
      <c r="J235" s="614"/>
      <c r="K235" s="614"/>
      <c r="L235" s="614"/>
    </row>
    <row r="236" spans="1:17" s="72" customFormat="1" ht="19.5" customHeight="1">
      <c r="A236" s="82"/>
      <c r="E236" s="2515"/>
      <c r="F236" s="2516" t="s">
        <v>31</v>
      </c>
      <c r="G236" s="1429"/>
      <c r="H236" s="2513"/>
      <c r="I236" s="614"/>
      <c r="J236" s="614"/>
      <c r="K236" s="614"/>
      <c r="L236" s="614"/>
      <c r="M236" s="1370">
        <f>'FORMULAIRE PGA Eau potable'!O413+'FORMULAIRE PGA Eau potable'!O420+'FORMULAIRE PGA Eau potable'!O458+'FORMULAIRE PGA Eau potable'!O465</f>
        <v>0</v>
      </c>
      <c r="N236" s="1394" t="e">
        <f>M236/$L$247</f>
        <v>#DIV/0!</v>
      </c>
      <c r="O236" s="28"/>
    </row>
    <row r="237" spans="1:17" s="72" customFormat="1" ht="19.5" customHeight="1">
      <c r="A237" s="82"/>
      <c r="E237" s="2515"/>
      <c r="F237" s="2516" t="s">
        <v>75</v>
      </c>
      <c r="G237" s="2517"/>
      <c r="H237" s="2517"/>
      <c r="I237" s="614"/>
      <c r="J237" s="614"/>
      <c r="K237" s="614"/>
      <c r="L237" s="614"/>
      <c r="M237" s="1370">
        <f>'FORMULAIRE PGA Eau potable'!O428+'FORMULAIRE PGA Eau potable'!O437+'FORMULAIRE PGA Eau potable'!O443+'FORMULAIRE PGA Eau potable'!O473+'FORMULAIRE PGA Eau potable'!O482+'FORMULAIRE PGA Eau potable'!O488</f>
        <v>0</v>
      </c>
      <c r="N237" s="1394" t="e">
        <f>M237/$L$247</f>
        <v>#DIV/0!</v>
      </c>
      <c r="O237" s="28"/>
    </row>
    <row r="238" spans="1:17" ht="12" customHeight="1">
      <c r="E238" s="614"/>
      <c r="F238" s="2516"/>
      <c r="G238" s="2517"/>
      <c r="H238" s="2517"/>
      <c r="I238" s="614"/>
      <c r="J238" s="614"/>
      <c r="K238" s="614"/>
      <c r="L238" s="614"/>
      <c r="M238" s="1370"/>
      <c r="N238" s="1394"/>
    </row>
    <row r="239" spans="1:17" ht="20.25" customHeight="1">
      <c r="E239" s="2514" t="s">
        <v>48</v>
      </c>
      <c r="F239" s="2516"/>
      <c r="G239" s="2517"/>
      <c r="H239" s="2517"/>
      <c r="I239" s="614"/>
      <c r="J239" s="614"/>
      <c r="K239" s="614"/>
      <c r="L239" s="614"/>
      <c r="M239" s="1370"/>
      <c r="N239" s="1394"/>
    </row>
    <row r="240" spans="1:17" ht="19.5" customHeight="1">
      <c r="E240" s="2515"/>
      <c r="F240" s="2516" t="s">
        <v>76</v>
      </c>
      <c r="G240" s="2517"/>
      <c r="H240" s="2517"/>
      <c r="I240" s="614"/>
      <c r="J240" s="614"/>
      <c r="K240" s="614"/>
      <c r="L240" s="614"/>
      <c r="M240" s="1370">
        <f>'FORMULAIRE PGA Eau potable'!O429+'FORMULAIRE PGA Eau potable'!O474</f>
        <v>0</v>
      </c>
      <c r="N240" s="1394" t="e">
        <f>M240/$L$247</f>
        <v>#DIV/0!</v>
      </c>
    </row>
    <row r="241" spans="4:16" ht="12" customHeight="1">
      <c r="E241" s="614"/>
      <c r="F241" s="2516"/>
      <c r="G241" s="2517"/>
      <c r="H241" s="2517"/>
      <c r="I241" s="614"/>
      <c r="J241" s="614"/>
      <c r="K241" s="614"/>
      <c r="L241" s="614"/>
      <c r="M241" s="1370"/>
      <c r="N241" s="1394"/>
    </row>
    <row r="242" spans="4:16" ht="20.25" customHeight="1">
      <c r="E242" s="2514" t="s">
        <v>49</v>
      </c>
      <c r="F242" s="2516"/>
      <c r="G242" s="2517"/>
      <c r="H242" s="2517"/>
      <c r="I242" s="614"/>
      <c r="J242" s="614"/>
      <c r="K242" s="614"/>
      <c r="L242" s="614"/>
      <c r="N242" s="1394"/>
    </row>
    <row r="243" spans="4:16" ht="19.5" customHeight="1">
      <c r="E243" s="2515"/>
      <c r="F243" s="2516" t="s">
        <v>77</v>
      </c>
      <c r="G243" s="614"/>
      <c r="H243" s="614"/>
      <c r="I243" s="614"/>
      <c r="J243" s="614"/>
      <c r="K243" s="614"/>
      <c r="L243" s="614"/>
      <c r="M243" s="1370">
        <f>'FORMULAIRE PGA Eau potable'!O415+'FORMULAIRE PGA Eau potable'!O422+'FORMULAIRE PGA Eau potable'!O460+'FORMULAIRE PGA Eau potable'!O467</f>
        <v>0</v>
      </c>
      <c r="N243" s="1394" t="e">
        <f>M243/$L$247</f>
        <v>#DIV/0!</v>
      </c>
    </row>
    <row r="244" spans="4:16" ht="19.5" customHeight="1">
      <c r="E244" s="2515"/>
      <c r="F244" s="2516" t="s">
        <v>78</v>
      </c>
      <c r="G244" s="614"/>
      <c r="H244" s="614"/>
      <c r="I244" s="614"/>
      <c r="J244" s="614"/>
      <c r="K244" s="614"/>
      <c r="L244" s="614"/>
      <c r="M244" s="1370">
        <f>H253+H255+H257+K253+K255+K257</f>
        <v>0</v>
      </c>
      <c r="N244" s="1394" t="e">
        <f>M244/$L$247</f>
        <v>#DIV/0!</v>
      </c>
      <c r="O244" s="1394" t="e">
        <f>SUM(N236:N244)</f>
        <v>#DIV/0!</v>
      </c>
    </row>
    <row r="245" spans="4:16" ht="15" customHeight="1">
      <c r="F245" s="2512"/>
      <c r="G245" s="1396"/>
      <c r="H245" s="1370"/>
    </row>
    <row r="246" spans="4:16" ht="17.25" customHeight="1">
      <c r="G246" s="1396"/>
      <c r="H246" s="1370"/>
      <c r="M246" s="1391"/>
    </row>
    <row r="247" spans="4:16" ht="26.25" customHeight="1">
      <c r="D247" s="1389" t="s">
        <v>33</v>
      </c>
      <c r="F247" s="1395"/>
      <c r="G247" s="1396"/>
      <c r="H247" s="1370"/>
      <c r="L247" s="3559">
        <f>SUM(M236:M244)</f>
        <v>0</v>
      </c>
      <c r="M247" s="3559"/>
      <c r="N247" s="3559"/>
    </row>
    <row r="248" spans="4:16" ht="15" customHeight="1">
      <c r="D248" s="1390">
        <f>H161</f>
        <v>0</v>
      </c>
      <c r="E248" s="1396"/>
      <c r="F248" s="1396"/>
      <c r="G248" s="1396"/>
      <c r="H248" s="1370"/>
    </row>
    <row r="249" spans="4:16" ht="24" customHeight="1"/>
    <row r="250" spans="4:16" ht="17.25" customHeight="1">
      <c r="F250" s="1395"/>
      <c r="G250" s="1396"/>
      <c r="H250" s="1370"/>
    </row>
    <row r="251" spans="4:16" ht="28.5" customHeight="1">
      <c r="E251" s="1395"/>
      <c r="F251" s="1397"/>
      <c r="G251" s="1346"/>
      <c r="H251" s="1398" t="s">
        <v>31</v>
      </c>
      <c r="I251" s="1399"/>
      <c r="J251" s="1346"/>
      <c r="K251" s="1398" t="s">
        <v>32</v>
      </c>
      <c r="M251" s="2518" t="s">
        <v>33</v>
      </c>
      <c r="N251" s="2521" t="s">
        <v>470</v>
      </c>
      <c r="O251" s="2522" t="s">
        <v>471</v>
      </c>
      <c r="P251" s="1401"/>
    </row>
    <row r="252" spans="4:16" ht="21" customHeight="1">
      <c r="D252" s="509"/>
      <c r="E252" s="509"/>
      <c r="F252" s="1402" t="s">
        <v>417</v>
      </c>
      <c r="G252" s="1403" t="s">
        <v>106</v>
      </c>
      <c r="H252" s="1972" t="s">
        <v>472</v>
      </c>
      <c r="I252" s="1402" t="s">
        <v>417</v>
      </c>
      <c r="J252" s="1403" t="s">
        <v>106</v>
      </c>
      <c r="K252" s="1972" t="s">
        <v>472</v>
      </c>
      <c r="M252" s="1404"/>
      <c r="N252" s="1346"/>
      <c r="O252" s="1330"/>
    </row>
    <row r="253" spans="4:16" ht="38.25" customHeight="1">
      <c r="D253" s="1404"/>
      <c r="E253" s="1405" t="s">
        <v>72</v>
      </c>
      <c r="F253" s="1406">
        <f>'FORMULAIRE PGA Eau potable'!O416+'FORMULAIRE PGA Eau potable'!O423</f>
        <v>0</v>
      </c>
      <c r="G253" s="1407">
        <f>'FORMULAIRE PGA Eau potable'!O461+'FORMULAIRE PGA Eau potable'!O468</f>
        <v>0</v>
      </c>
      <c r="H253" s="1408">
        <f>F253+G253</f>
        <v>0</v>
      </c>
      <c r="I253" s="1406">
        <f>'FORMULAIRE PGA Eau potable'!O431+'FORMULAIRE PGA Eau potable'!O439+'FORMULAIRE PGA Eau potable'!O445</f>
        <v>0</v>
      </c>
      <c r="J253" s="1407">
        <f>'FORMULAIRE PGA Eau potable'!O476+'FORMULAIRE PGA Eau potable'!O484+'FORMULAIRE PGA Eau potable'!O490</f>
        <v>0</v>
      </c>
      <c r="K253" s="1408">
        <f>I253+J253</f>
        <v>0</v>
      </c>
      <c r="M253" s="1329">
        <f>ROUNDDOWN(F165,0)</f>
        <v>0</v>
      </c>
      <c r="N253" s="2532">
        <f>IF(ISERR(H253),0,H253)</f>
        <v>0</v>
      </c>
      <c r="O253" s="2533">
        <f>IF(ISERR(K253),0,K253)</f>
        <v>0</v>
      </c>
    </row>
    <row r="254" spans="4:16" ht="9" customHeight="1">
      <c r="D254" s="1284"/>
      <c r="E254" s="1411"/>
      <c r="F254" s="1284"/>
      <c r="G254" s="509"/>
      <c r="H254" s="1326"/>
      <c r="I254" s="1284"/>
      <c r="J254" s="509"/>
      <c r="K254" s="1326"/>
      <c r="M254" s="1284"/>
      <c r="N254" s="2530"/>
      <c r="O254" s="2531"/>
    </row>
    <row r="255" spans="4:16" ht="38.25" customHeight="1">
      <c r="D255" s="104"/>
      <c r="E255" s="1405" t="s">
        <v>73</v>
      </c>
      <c r="F255" s="1406">
        <f>'FORMULAIRE PGA Eau potable'!O417+'FORMULAIRE PGA Eau potable'!O424</f>
        <v>0</v>
      </c>
      <c r="G255" s="1407">
        <f>'FORMULAIRE PGA Eau potable'!O462+'FORMULAIRE PGA Eau potable'!O469</f>
        <v>0</v>
      </c>
      <c r="H255" s="1408">
        <f>F255+G255</f>
        <v>0</v>
      </c>
      <c r="I255" s="1406">
        <f>'FORMULAIRE PGA Eau potable'!O432+'FORMULAIRE PGA Eau potable'!O440+'FORMULAIRE PGA Eau potable'!O446</f>
        <v>0</v>
      </c>
      <c r="J255" s="1407">
        <f>'FORMULAIRE PGA Eau potable'!O477+'FORMULAIRE PGA Eau potable'!O485+'FORMULAIRE PGA Eau potable'!O491</f>
        <v>0</v>
      </c>
      <c r="K255" s="1408">
        <f>I255+J255</f>
        <v>0</v>
      </c>
      <c r="M255" s="1322">
        <f>ROUNDDOWN(F166,0)</f>
        <v>0</v>
      </c>
      <c r="N255" s="2528">
        <f>IF(ISERR(H255),0,H255)</f>
        <v>0</v>
      </c>
      <c r="O255" s="2520">
        <f>IF(ISERR(K255),0,K255)</f>
        <v>0</v>
      </c>
    </row>
    <row r="256" spans="4:16" ht="9" customHeight="1">
      <c r="D256" s="1284"/>
      <c r="E256" s="1411"/>
      <c r="F256" s="1412"/>
      <c r="G256" s="1413"/>
      <c r="H256" s="1414"/>
      <c r="I256" s="1412"/>
      <c r="J256" s="1413"/>
      <c r="K256" s="1414"/>
      <c r="M256" s="1284"/>
      <c r="N256" s="2530"/>
      <c r="O256" s="2531"/>
    </row>
    <row r="257" spans="2:17" ht="38.25" customHeight="1">
      <c r="D257" s="104"/>
      <c r="E257" s="1405" t="s">
        <v>74</v>
      </c>
      <c r="F257" s="1406">
        <f>'FORMULAIRE PGA Eau potable'!O418+'FORMULAIRE PGA Eau potable'!O425</f>
        <v>0</v>
      </c>
      <c r="G257" s="1407">
        <f>'FORMULAIRE PGA Eau potable'!O463+'FORMULAIRE PGA Eau potable'!O470</f>
        <v>0</v>
      </c>
      <c r="H257" s="1408">
        <f>F257+G257</f>
        <v>0</v>
      </c>
      <c r="I257" s="1406">
        <f>'FORMULAIRE PGA Eau potable'!O433+'FORMULAIRE PGA Eau potable'!O441+'FORMULAIRE PGA Eau potable'!O447</f>
        <v>0</v>
      </c>
      <c r="J257" s="1407">
        <f>'FORMULAIRE PGA Eau potable'!O478+'FORMULAIRE PGA Eau potable'!O486+'FORMULAIRE PGA Eau potable'!O492</f>
        <v>0</v>
      </c>
      <c r="K257" s="1408">
        <f>I257+J257</f>
        <v>0</v>
      </c>
      <c r="M257" s="1322">
        <f>ROUNDDOWN(F167,0)</f>
        <v>0</v>
      </c>
      <c r="N257" s="2528">
        <f>IF(ISERR(H257),0,H257)</f>
        <v>0</v>
      </c>
      <c r="O257" s="2520">
        <f>IF(ISERR(K257),0,K257)</f>
        <v>0</v>
      </c>
    </row>
    <row r="258" spans="2:17" ht="9" customHeight="1">
      <c r="D258" s="1284"/>
      <c r="E258" s="1411"/>
      <c r="F258" s="1415"/>
      <c r="G258" s="1416"/>
      <c r="H258" s="1417"/>
      <c r="I258" s="1412"/>
      <c r="J258" s="1416"/>
      <c r="K258" s="1414"/>
      <c r="M258" s="1284"/>
      <c r="N258" s="509"/>
      <c r="O258" s="1326"/>
    </row>
    <row r="259" spans="2:17" ht="17.25" customHeight="1">
      <c r="F259" s="1396"/>
      <c r="G259" s="1396"/>
      <c r="H259" s="1370"/>
    </row>
    <row r="262" spans="2:17" ht="31.5" customHeight="1">
      <c r="B262" s="1237" t="s">
        <v>5</v>
      </c>
      <c r="C262" s="1237"/>
      <c r="D262" s="1238"/>
      <c r="E262" s="1238"/>
      <c r="F262" s="1238"/>
      <c r="G262" s="1238"/>
      <c r="H262" s="1238"/>
      <c r="I262" s="1238"/>
      <c r="J262" s="1238"/>
      <c r="K262" s="1238"/>
      <c r="L262" s="1238"/>
      <c r="M262" s="1238"/>
      <c r="N262" s="1238"/>
      <c r="O262" s="1238"/>
      <c r="P262" s="1238"/>
      <c r="Q262" s="1238"/>
    </row>
    <row r="264" spans="2:17" ht="22.5" customHeight="1">
      <c r="B264" s="1239" t="s">
        <v>17</v>
      </c>
      <c r="C264" s="1239"/>
      <c r="D264" s="1239"/>
      <c r="E264" s="1239"/>
      <c r="F264" s="1239"/>
      <c r="G264" s="1239"/>
      <c r="H264" s="1239"/>
      <c r="I264" s="1239"/>
      <c r="J264" s="1239"/>
      <c r="K264" s="1239"/>
      <c r="L264" s="1239"/>
      <c r="M264" s="1239"/>
      <c r="N264" s="1239"/>
      <c r="O264" s="1239"/>
      <c r="P264" s="1239"/>
      <c r="Q264" s="1239"/>
    </row>
    <row r="265" spans="2:17" ht="21">
      <c r="B265" s="1344"/>
      <c r="C265" s="1344"/>
    </row>
    <row r="266" spans="2:17" ht="17.25" customHeight="1">
      <c r="D266" s="509"/>
      <c r="E266" s="509"/>
      <c r="F266" s="1333" t="s">
        <v>473</v>
      </c>
    </row>
    <row r="267" spans="2:17">
      <c r="E267" s="1097" t="s">
        <v>417</v>
      </c>
      <c r="F267" s="1097" t="s">
        <v>106</v>
      </c>
    </row>
    <row r="268" spans="2:17">
      <c r="D268" s="1320" t="str">
        <f>'FORMULAIRE PGA Eau potable'!C520</f>
        <v>Coûts prévisionnels totaux (besoins totaux)</v>
      </c>
      <c r="E268" s="1369">
        <f>'FORMULAIRE PGA Eau potable'!O520</f>
        <v>0</v>
      </c>
      <c r="F268" s="1369">
        <f>'FORMULAIRE PGA Eau potable'!O547</f>
        <v>0</v>
      </c>
    </row>
    <row r="269" spans="2:17" ht="15.6">
      <c r="D269" s="1320" t="str">
        <f>'FORMULAIRE PGA Eau potable'!C521</f>
        <v>Revenus du gouvernement provincial</v>
      </c>
      <c r="E269" s="1369">
        <f>'FORMULAIRE PGA Eau potable'!O521</f>
        <v>0</v>
      </c>
      <c r="F269" s="1369">
        <f>'FORMULAIRE PGA Eau potable'!O548</f>
        <v>0</v>
      </c>
      <c r="L269" s="1332" t="s">
        <v>474</v>
      </c>
      <c r="M269" s="509"/>
      <c r="N269" s="509"/>
    </row>
    <row r="270" spans="2:17">
      <c r="D270" s="1320" t="str">
        <f>'FORMULAIRE PGA Eau potable'!C522</f>
        <v xml:space="preserve">Revenus générés </v>
      </c>
      <c r="E270" s="1369">
        <f>'FORMULAIRE PGA Eau potable'!O522</f>
        <v>0</v>
      </c>
      <c r="F270" s="1369">
        <f>'FORMULAIRE PGA Eau potable'!O549</f>
        <v>0</v>
      </c>
    </row>
    <row r="271" spans="2:17">
      <c r="D271" s="1320" t="str">
        <f>'FORMULAIRE PGA Eau potable'!C523</f>
        <v xml:space="preserve">Budget total planifié </v>
      </c>
      <c r="E271" s="1369">
        <f>'FORMULAIRE PGA Eau potable'!O523</f>
        <v>0</v>
      </c>
      <c r="F271" s="1369">
        <f>'FORMULAIRE PGA Eau potable'!O550</f>
        <v>0</v>
      </c>
      <c r="L271" s="1098" t="s">
        <v>475</v>
      </c>
      <c r="M271" s="1394" t="e">
        <f>(E271+F271)/(E268+F268)</f>
        <v>#DIV/0!</v>
      </c>
      <c r="N271" s="1418" t="str">
        <f>IF(ISERR(M271)=TRUE,"",M271)</f>
        <v/>
      </c>
    </row>
    <row r="272" spans="2:17">
      <c r="D272" s="1320" t="str">
        <f>'FORMULAIRE PGA Eau potable'!C524</f>
        <v>Déficit de financement</v>
      </c>
      <c r="E272" s="1369">
        <f>'FORMULAIRE PGA Eau potable'!O524</f>
        <v>0</v>
      </c>
      <c r="F272" s="1369">
        <f>'FORMULAIRE PGA Eau potable'!O551</f>
        <v>0</v>
      </c>
      <c r="L272" s="1098" t="s">
        <v>476</v>
      </c>
      <c r="M272" s="1394" t="e">
        <f>(E270+F270)/(E271+F271)</f>
        <v>#DIV/0!</v>
      </c>
      <c r="N272" s="1419" t="str">
        <f>IF(ISERR(M272)=TRUE,"",M272)</f>
        <v/>
      </c>
    </row>
    <row r="274" spans="2:17" ht="20.25" customHeight="1">
      <c r="D274" s="1341" t="s">
        <v>477</v>
      </c>
      <c r="K274" s="1332" t="s">
        <v>33</v>
      </c>
      <c r="L274" s="1332"/>
      <c r="M274" s="1332"/>
      <c r="N274" s="1332"/>
      <c r="O274" s="509"/>
    </row>
    <row r="275" spans="2:17">
      <c r="E275" s="1097"/>
      <c r="F275" s="319" t="s">
        <v>83</v>
      </c>
      <c r="M275" s="1320"/>
      <c r="N275" s="1320" t="s">
        <v>478</v>
      </c>
      <c r="O275" s="1320" t="s">
        <v>94</v>
      </c>
    </row>
    <row r="276" spans="2:17">
      <c r="B276" s="1098" t="s">
        <v>417</v>
      </c>
      <c r="C276" s="1098"/>
      <c r="D276" s="1098" t="s">
        <v>479</v>
      </c>
      <c r="E276" s="1420">
        <f>E271</f>
        <v>0</v>
      </c>
      <c r="F276" s="1420">
        <f>E272</f>
        <v>0</v>
      </c>
      <c r="K276" s="1320" t="str">
        <f>'FORMULAIRE PGA Eau potable'!C634</f>
        <v>Financement estimé pour le fonctionnement</v>
      </c>
      <c r="L276" s="1320" t="s">
        <v>417</v>
      </c>
      <c r="M276" s="319">
        <f>'FORMULAIRE PGA Eau potable'!G634</f>
        <v>0</v>
      </c>
      <c r="N276" s="1421">
        <f>IF($I$33=1,M277,IF($I$41=1,M276,ROUNDDOWN(AVERAGE(M276:M277),0)))</f>
        <v>0</v>
      </c>
      <c r="O276" s="1422">
        <f>IF($I$33=1,ROUNDDOWN(AVERAGE(M277,M279),0),IF($I$41=1,ROUNDDOWN(AVERAGE(M276,M278),0),ROUNDDOWN(AVERAGE(M276:M279),0)))</f>
        <v>0</v>
      </c>
    </row>
    <row r="277" spans="2:17">
      <c r="B277" s="1098"/>
      <c r="C277" s="1098"/>
      <c r="D277" s="1098" t="s">
        <v>441</v>
      </c>
      <c r="E277" s="1420">
        <f>E268</f>
        <v>0</v>
      </c>
      <c r="F277" s="319">
        <v>0</v>
      </c>
      <c r="L277" s="1320" t="s">
        <v>106</v>
      </c>
      <c r="M277" s="28">
        <f>'FORMULAIRE PGA Eau potable'!L634</f>
        <v>0</v>
      </c>
      <c r="N277" s="1423"/>
    </row>
    <row r="278" spans="2:17">
      <c r="B278" s="1098" t="s">
        <v>419</v>
      </c>
      <c r="C278" s="1098"/>
      <c r="D278" s="1098" t="s">
        <v>441</v>
      </c>
      <c r="E278" s="1420">
        <f>F268</f>
        <v>0</v>
      </c>
      <c r="F278" s="319">
        <v>0</v>
      </c>
      <c r="J278" s="1320"/>
      <c r="K278" s="1320" t="str">
        <f>'FORMULAIRE PGA Eau potable'!C631</f>
        <v>Coûts prévus pour l'exploitation et pour l'entretien</v>
      </c>
      <c r="L278" s="1320" t="s">
        <v>417</v>
      </c>
      <c r="M278" s="319">
        <f>'FORMULAIRE PGA Eau potable'!G631</f>
        <v>0</v>
      </c>
      <c r="N278" s="1423"/>
    </row>
    <row r="279" spans="2:17">
      <c r="B279" s="1098"/>
      <c r="C279" s="1098"/>
      <c r="D279" s="1098" t="s">
        <v>479</v>
      </c>
      <c r="E279" s="1420">
        <f>F271</f>
        <v>0</v>
      </c>
      <c r="F279" s="1420">
        <f>F272</f>
        <v>0</v>
      </c>
      <c r="L279" s="1320" t="s">
        <v>106</v>
      </c>
      <c r="M279" s="28">
        <f>'FORMULAIRE PGA Eau potable'!L631</f>
        <v>0</v>
      </c>
    </row>
    <row r="280" spans="2:17">
      <c r="B280" s="1098"/>
      <c r="C280" s="1098"/>
      <c r="D280" s="1098"/>
      <c r="E280" s="1420"/>
      <c r="F280" s="1420"/>
    </row>
    <row r="282" spans="2:17" ht="22.5" customHeight="1">
      <c r="B282" s="1239" t="s">
        <v>18</v>
      </c>
      <c r="C282" s="1239"/>
      <c r="D282" s="1239"/>
      <c r="E282" s="1239"/>
      <c r="F282" s="1239"/>
      <c r="G282" s="1239"/>
      <c r="H282" s="1239"/>
      <c r="I282" s="1239"/>
      <c r="J282" s="1239"/>
      <c r="K282" s="1239"/>
      <c r="L282" s="1239"/>
      <c r="M282" s="1239"/>
      <c r="N282" s="1239"/>
      <c r="O282" s="1239"/>
      <c r="P282" s="1239"/>
      <c r="Q282" s="1239"/>
    </row>
    <row r="284" spans="2:17" ht="17.25" customHeight="1">
      <c r="D284" s="509"/>
      <c r="E284" s="509"/>
      <c r="F284" s="1333" t="s">
        <v>473</v>
      </c>
    </row>
    <row r="285" spans="2:17">
      <c r="E285" s="1097" t="s">
        <v>417</v>
      </c>
      <c r="F285" s="1097" t="s">
        <v>106</v>
      </c>
    </row>
    <row r="286" spans="2:17">
      <c r="D286" s="1320" t="str">
        <f>'FORMULAIRE PGA Eau potable'!C527</f>
        <v>Coûts prévisionnels totaux (besoins totaux)</v>
      </c>
      <c r="E286" s="1369">
        <f>'FORMULAIRE PGA Eau potable'!O527</f>
        <v>0</v>
      </c>
      <c r="F286" s="1369">
        <f>'FORMULAIRE PGA Eau potable'!O554</f>
        <v>0</v>
      </c>
    </row>
    <row r="287" spans="2:17">
      <c r="D287" s="1320" t="str">
        <f>'FORMULAIRE PGA Eau potable'!C528</f>
        <v>Excédent de fonctionnement</v>
      </c>
      <c r="E287" s="1369">
        <f>'FORMULAIRE PGA Eau potable'!O528</f>
        <v>0</v>
      </c>
      <c r="F287" s="1369">
        <f>'FORMULAIRE PGA Eau potable'!O555</f>
        <v>0</v>
      </c>
    </row>
    <row r="288" spans="2:17" ht="15.6">
      <c r="D288" s="1320" t="str">
        <f>'FORMULAIRE PGA Eau potable'!C529</f>
        <v>Financement du gouvernement provincial</v>
      </c>
      <c r="E288" s="1369">
        <f>'FORMULAIRE PGA Eau potable'!O529</f>
        <v>0</v>
      </c>
      <c r="F288" s="1369">
        <f>'FORMULAIRE PGA Eau potable'!O556</f>
        <v>0</v>
      </c>
      <c r="L288" s="1332" t="s">
        <v>474</v>
      </c>
      <c r="M288" s="509"/>
      <c r="N288" s="509"/>
    </row>
    <row r="289" spans="2:17">
      <c r="D289" s="1320" t="str">
        <f>'FORMULAIRE PGA Eau potable'!C530</f>
        <v>Autres types de financement</v>
      </c>
      <c r="E289" s="1369">
        <f>'FORMULAIRE PGA Eau potable'!O530</f>
        <v>0</v>
      </c>
      <c r="F289" s="1369">
        <f>'FORMULAIRE PGA Eau potable'!O557</f>
        <v>0</v>
      </c>
    </row>
    <row r="290" spans="2:17">
      <c r="D290" s="1320" t="str">
        <f>'FORMULAIRE PGA Eau potable'!C531</f>
        <v xml:space="preserve">Budget total planifié </v>
      </c>
      <c r="E290" s="1369">
        <f>'FORMULAIRE PGA Eau potable'!O531</f>
        <v>0</v>
      </c>
      <c r="F290" s="1369">
        <f>'FORMULAIRE PGA Eau potable'!O558</f>
        <v>0</v>
      </c>
      <c r="L290" s="1098" t="s">
        <v>480</v>
      </c>
      <c r="M290" s="1394" t="e">
        <f>(E290+F290)/(E286+F286)</f>
        <v>#DIV/0!</v>
      </c>
      <c r="N290" s="1418" t="str">
        <f>IF(ISERR(M290)=TRUE,"",M290)</f>
        <v/>
      </c>
    </row>
    <row r="291" spans="2:17">
      <c r="D291" s="1320" t="str">
        <f>'FORMULAIRE PGA Eau potable'!C532</f>
        <v>Déficit de financement</v>
      </c>
      <c r="E291" s="1369">
        <f>'FORMULAIRE PGA Eau potable'!O532</f>
        <v>0</v>
      </c>
      <c r="F291" s="1369">
        <f>'FORMULAIRE PGA Eau potable'!O559</f>
        <v>0</v>
      </c>
      <c r="L291" s="1098" t="s">
        <v>481</v>
      </c>
      <c r="M291" s="1394" t="e">
        <f>(E289+F289)/(E290+F290)</f>
        <v>#DIV/0!</v>
      </c>
      <c r="N291" s="1419" t="str">
        <f>IF(ISERR(M291)=TRUE,"",M291)</f>
        <v/>
      </c>
    </row>
    <row r="292" spans="2:17">
      <c r="D292" s="1320"/>
      <c r="E292" s="1369"/>
      <c r="F292" s="1369"/>
    </row>
    <row r="293" spans="2:17" ht="21" customHeight="1">
      <c r="D293" s="1341" t="s">
        <v>482</v>
      </c>
      <c r="K293" s="1332" t="s">
        <v>33</v>
      </c>
      <c r="L293" s="1332"/>
      <c r="M293" s="1332"/>
      <c r="N293" s="1332"/>
      <c r="O293" s="1332"/>
    </row>
    <row r="294" spans="2:17">
      <c r="E294" s="1097"/>
      <c r="F294" s="28" t="s">
        <v>83</v>
      </c>
      <c r="L294" s="1320"/>
      <c r="N294" s="1320" t="s">
        <v>478</v>
      </c>
      <c r="O294" s="1320" t="s">
        <v>94</v>
      </c>
    </row>
    <row r="295" spans="2:17">
      <c r="B295" s="1098" t="s">
        <v>417</v>
      </c>
      <c r="C295" s="1098"/>
      <c r="D295" s="1098" t="s">
        <v>479</v>
      </c>
      <c r="E295" s="1420">
        <f>E290</f>
        <v>0</v>
      </c>
      <c r="F295" s="1420">
        <f>E291</f>
        <v>0</v>
      </c>
      <c r="K295" s="1320" t="str">
        <f>'FORMULAIRE PGA Eau potable'!C635</f>
        <v>Financement estimé pour le renouvellement</v>
      </c>
      <c r="L295" s="1320" t="s">
        <v>417</v>
      </c>
      <c r="M295" s="319">
        <f>'FORMULAIRE PGA Eau potable'!G635</f>
        <v>0</v>
      </c>
      <c r="N295" s="1421">
        <f>IF($I$33=1,M296,IF($I$41=1,M295,ROUNDDOWN(AVERAGE(M295:M296),0)))</f>
        <v>0</v>
      </c>
      <c r="O295" s="1422">
        <f>IF($I$33=1,ROUNDDOWN(AVERAGE(M296,M298),0),IF($I$41=1,ROUNDDOWN(AVERAGE(M295,M297),0),ROUNDDOWN(AVERAGE(M295:M298),0)))</f>
        <v>0</v>
      </c>
    </row>
    <row r="296" spans="2:17">
      <c r="B296" s="1098"/>
      <c r="C296" s="1098"/>
      <c r="D296" s="1098" t="s">
        <v>441</v>
      </c>
      <c r="E296" s="1420">
        <f>E286</f>
        <v>0</v>
      </c>
      <c r="F296" s="319">
        <v>0</v>
      </c>
      <c r="L296" s="1320" t="s">
        <v>106</v>
      </c>
      <c r="M296" s="28">
        <f>'FORMULAIRE PGA Eau potable'!L635</f>
        <v>0</v>
      </c>
      <c r="N296" s="1423"/>
    </row>
    <row r="297" spans="2:17">
      <c r="B297" s="1098" t="s">
        <v>419</v>
      </c>
      <c r="C297" s="1098"/>
      <c r="D297" s="1098" t="s">
        <v>441</v>
      </c>
      <c r="E297" s="1420">
        <f>F286</f>
        <v>0</v>
      </c>
      <c r="F297" s="319">
        <v>0</v>
      </c>
      <c r="K297" s="1320" t="str">
        <f>'FORMULAIRE PGA Eau potable'!C626</f>
        <v>Coûts prévus pour le renouvellement</v>
      </c>
      <c r="L297" s="1320" t="s">
        <v>417</v>
      </c>
      <c r="M297" s="319">
        <f>'FORMULAIRE PGA Eau potable'!G626</f>
        <v>0</v>
      </c>
    </row>
    <row r="298" spans="2:17">
      <c r="B298" s="1098"/>
      <c r="C298" s="1098"/>
      <c r="D298" s="1098" t="s">
        <v>479</v>
      </c>
      <c r="E298" s="1420">
        <f>F290</f>
        <v>0</v>
      </c>
      <c r="F298" s="1420">
        <f>F291</f>
        <v>0</v>
      </c>
      <c r="L298" s="1320" t="s">
        <v>106</v>
      </c>
      <c r="M298" s="28">
        <f>'FORMULAIRE PGA Eau potable'!L626</f>
        <v>0</v>
      </c>
    </row>
    <row r="299" spans="2:17">
      <c r="B299" s="1098"/>
      <c r="C299" s="1098"/>
      <c r="D299" s="1098"/>
      <c r="E299" s="1420"/>
      <c r="F299" s="1420"/>
    </row>
    <row r="300" spans="2:17">
      <c r="B300" s="1098"/>
      <c r="C300" s="1098"/>
      <c r="D300" s="1098"/>
      <c r="E300" s="1420"/>
      <c r="F300" s="1420"/>
    </row>
    <row r="302" spans="2:17" ht="22.5" customHeight="1">
      <c r="B302" s="1239" t="s">
        <v>19</v>
      </c>
      <c r="C302" s="1239"/>
      <c r="D302" s="1239"/>
      <c r="E302" s="1239"/>
      <c r="F302" s="1239"/>
      <c r="G302" s="1239"/>
      <c r="H302" s="1239"/>
      <c r="I302" s="1239"/>
      <c r="J302" s="1239"/>
      <c r="K302" s="1239"/>
      <c r="L302" s="1239"/>
      <c r="M302" s="1239"/>
      <c r="N302" s="1239"/>
      <c r="O302" s="1239"/>
      <c r="P302" s="1239"/>
      <c r="Q302" s="1239"/>
    </row>
    <row r="303" spans="2:17" ht="21">
      <c r="B303" s="1344"/>
      <c r="C303" s="1344"/>
    </row>
    <row r="304" spans="2:17" ht="17.25" customHeight="1">
      <c r="D304" s="509"/>
      <c r="E304" s="509"/>
      <c r="F304" s="1333" t="s">
        <v>473</v>
      </c>
    </row>
    <row r="305" spans="2:17">
      <c r="E305" s="1097" t="s">
        <v>417</v>
      </c>
      <c r="F305" s="1097" t="s">
        <v>106</v>
      </c>
    </row>
    <row r="306" spans="2:17">
      <c r="D306" s="1320" t="str">
        <f>'FORMULAIRE PGA Eau potable'!C535</f>
        <v>Coûts prévisionnels totaux (besoins totaux)</v>
      </c>
      <c r="E306" s="1369">
        <f>'FORMULAIRE PGA Eau potable'!O535</f>
        <v>0</v>
      </c>
      <c r="F306" s="1369">
        <f>'FORMULAIRE PGA Eau potable'!O562</f>
        <v>0</v>
      </c>
    </row>
    <row r="307" spans="2:17" ht="15.6">
      <c r="D307" s="1320" t="str">
        <f>'FORMULAIRE PGA Eau potable'!C536</f>
        <v>Financement du gouvernement provincial</v>
      </c>
      <c r="E307" s="1369">
        <f>'FORMULAIRE PGA Eau potable'!O536</f>
        <v>0</v>
      </c>
      <c r="F307" s="1369">
        <f>'FORMULAIRE PGA Eau potable'!O563</f>
        <v>0</v>
      </c>
      <c r="L307" s="1332" t="s">
        <v>474</v>
      </c>
      <c r="M307" s="509"/>
      <c r="N307" s="509"/>
    </row>
    <row r="308" spans="2:17">
      <c r="D308" s="1320" t="str">
        <f>'FORMULAIRE PGA Eau potable'!C537</f>
        <v>Autres types de financement</v>
      </c>
      <c r="E308" s="1369">
        <f>'FORMULAIRE PGA Eau potable'!O537</f>
        <v>0</v>
      </c>
      <c r="F308" s="1369">
        <f>'FORMULAIRE PGA Eau potable'!O564</f>
        <v>0</v>
      </c>
    </row>
    <row r="309" spans="2:17">
      <c r="D309" s="1320" t="str">
        <f>'FORMULAIRE PGA Eau potable'!C538</f>
        <v xml:space="preserve">Budget total planifié </v>
      </c>
      <c r="E309" s="1369">
        <f>'FORMULAIRE PGA Eau potable'!O538</f>
        <v>0</v>
      </c>
      <c r="F309" s="1369">
        <f>'FORMULAIRE PGA Eau potable'!O565</f>
        <v>0</v>
      </c>
      <c r="L309" s="1098" t="s">
        <v>483</v>
      </c>
      <c r="M309" s="1394" t="e">
        <f>(E309+F309)/(E306+F306)</f>
        <v>#DIV/0!</v>
      </c>
      <c r="N309" s="1418" t="str">
        <f>IF(ISERR(M309)=TRUE,"",M309)</f>
        <v/>
      </c>
    </row>
    <row r="310" spans="2:17">
      <c r="D310" s="1320" t="str">
        <f>'FORMULAIRE PGA Eau potable'!C539</f>
        <v>Déficit de financement</v>
      </c>
      <c r="E310" s="1369">
        <f>'FORMULAIRE PGA Eau potable'!O539</f>
        <v>0</v>
      </c>
      <c r="F310" s="1369">
        <f>'FORMULAIRE PGA Eau potable'!O566</f>
        <v>0</v>
      </c>
      <c r="L310" s="1098" t="s">
        <v>484</v>
      </c>
      <c r="M310" s="1394" t="e">
        <f>(E308+F308)/(E309+F309)</f>
        <v>#DIV/0!</v>
      </c>
      <c r="N310" s="1419" t="str">
        <f>IF(ISERR(M310)=TRUE,"",M310)</f>
        <v/>
      </c>
    </row>
    <row r="312" spans="2:17" ht="20.25" customHeight="1">
      <c r="D312" s="1341" t="s">
        <v>485</v>
      </c>
      <c r="K312" s="1332" t="s">
        <v>33</v>
      </c>
      <c r="L312" s="1332"/>
      <c r="M312" s="1332"/>
      <c r="N312" s="1332"/>
      <c r="O312" s="1332"/>
    </row>
    <row r="313" spans="2:17">
      <c r="E313" s="1097"/>
      <c r="F313" s="903" t="s">
        <v>83</v>
      </c>
      <c r="L313" s="1320"/>
      <c r="N313" s="1320" t="s">
        <v>478</v>
      </c>
      <c r="O313" s="1320" t="s">
        <v>94</v>
      </c>
    </row>
    <row r="314" spans="2:17">
      <c r="B314" s="1098" t="s">
        <v>417</v>
      </c>
      <c r="C314" s="1098"/>
      <c r="D314" s="1098" t="s">
        <v>479</v>
      </c>
      <c r="E314" s="1420">
        <f>E309</f>
        <v>0</v>
      </c>
      <c r="F314" s="1420">
        <f>E310</f>
        <v>0</v>
      </c>
      <c r="K314" s="1320" t="str">
        <f>'FORMULAIRE PGA Eau potable'!C636</f>
        <v>Financement estimé pour les acquisitions/dispositions</v>
      </c>
      <c r="L314" s="1320" t="s">
        <v>417</v>
      </c>
      <c r="M314" s="319">
        <f>'FORMULAIRE PGA Eau potable'!G636</f>
        <v>0</v>
      </c>
      <c r="N314" s="1421">
        <f>IF($I$33=1,M315,IF($I$41=1,M314,ROUNDDOWN(AVERAGE(M314:M315),0)))</f>
        <v>0</v>
      </c>
      <c r="O314" s="1422">
        <f>IF($I$33=1,ROUNDDOWN(AVERAGE(M315,M317),0),IF($I$41=1,ROUNDDOWN(AVERAGE(M314,M316),0),ROUNDDOWN(AVERAGE(M314:M317),0)))</f>
        <v>0</v>
      </c>
    </row>
    <row r="315" spans="2:17">
      <c r="B315" s="1098"/>
      <c r="C315" s="1098"/>
      <c r="D315" s="1098" t="s">
        <v>441</v>
      </c>
      <c r="E315" s="1420">
        <f>E306</f>
        <v>0</v>
      </c>
      <c r="F315" s="319">
        <v>0</v>
      </c>
      <c r="L315" s="1320" t="s">
        <v>106</v>
      </c>
      <c r="M315" s="28">
        <f>'FORMULAIRE PGA Eau potable'!L636</f>
        <v>0</v>
      </c>
      <c r="N315" s="1423"/>
      <c r="O315" s="1423"/>
    </row>
    <row r="316" spans="2:17">
      <c r="B316" s="1098" t="s">
        <v>419</v>
      </c>
      <c r="C316" s="1098"/>
      <c r="D316" s="1098" t="s">
        <v>441</v>
      </c>
      <c r="E316" s="1420">
        <f>F306</f>
        <v>0</v>
      </c>
      <c r="F316" s="319">
        <v>0</v>
      </c>
      <c r="K316" s="1320" t="str">
        <f>'FORMULAIRE PGA Eau potable'!C627</f>
        <v>Coûts prévus pour l'acquisition et la disposition</v>
      </c>
      <c r="L316" s="1320" t="s">
        <v>417</v>
      </c>
      <c r="M316" s="319">
        <f>'FORMULAIRE PGA Eau potable'!G627</f>
        <v>0</v>
      </c>
    </row>
    <row r="317" spans="2:17">
      <c r="B317" s="1098"/>
      <c r="C317" s="1098"/>
      <c r="D317" s="1098" t="s">
        <v>479</v>
      </c>
      <c r="E317" s="1420">
        <f>F309</f>
        <v>0</v>
      </c>
      <c r="F317" s="1420">
        <f>F310</f>
        <v>0</v>
      </c>
      <c r="L317" s="1320" t="s">
        <v>106</v>
      </c>
      <c r="M317" s="28">
        <f>'FORMULAIRE PGA Eau potable'!L627</f>
        <v>0</v>
      </c>
    </row>
    <row r="318" spans="2:17">
      <c r="B318" s="1098"/>
      <c r="C318" s="1098"/>
      <c r="D318" s="1098"/>
      <c r="E318" s="1420"/>
      <c r="F318" s="1420"/>
    </row>
    <row r="319" spans="2:17">
      <c r="P319" s="1029"/>
    </row>
    <row r="320" spans="2:17" ht="31.5" customHeight="1">
      <c r="B320" s="1237" t="s">
        <v>6</v>
      </c>
      <c r="C320" s="1237"/>
      <c r="D320" s="1238"/>
      <c r="E320" s="1238"/>
      <c r="F320" s="1238"/>
      <c r="G320" s="1238"/>
      <c r="H320" s="1238"/>
      <c r="I320" s="1238"/>
      <c r="J320" s="1238"/>
      <c r="K320" s="1238"/>
      <c r="L320" s="1238"/>
      <c r="M320" s="1238"/>
      <c r="N320" s="1238"/>
      <c r="O320" s="1238"/>
      <c r="P320" s="1238"/>
      <c r="Q320" s="1238"/>
    </row>
    <row r="322" spans="2:17" ht="18">
      <c r="B322" s="1239" t="s">
        <v>20</v>
      </c>
      <c r="C322" s="1239"/>
      <c r="D322" s="1239"/>
      <c r="E322" s="1239"/>
      <c r="F322" s="1239"/>
      <c r="G322" s="1239"/>
      <c r="H322" s="1239"/>
      <c r="I322" s="1239"/>
      <c r="J322" s="1239"/>
      <c r="K322" s="1239"/>
      <c r="L322" s="1239"/>
      <c r="M322" s="1239"/>
      <c r="N322" s="1239"/>
      <c r="O322" s="1239"/>
      <c r="P322" s="1239"/>
      <c r="Q322" s="1239"/>
    </row>
    <row r="323" spans="2:17" ht="18">
      <c r="B323" s="1248"/>
      <c r="C323" s="1248"/>
      <c r="D323" s="1424"/>
      <c r="E323" s="1424"/>
      <c r="F323" s="1424"/>
      <c r="G323" s="1424"/>
      <c r="H323" s="1424"/>
      <c r="I323" s="1424"/>
      <c r="J323" s="1424"/>
      <c r="K323" s="1425"/>
      <c r="L323" s="1425"/>
      <c r="M323" s="1425"/>
      <c r="N323" s="1425"/>
      <c r="O323" s="1425"/>
      <c r="P323" s="1425"/>
      <c r="Q323" s="1425"/>
    </row>
    <row r="324" spans="2:17" ht="28.5" customHeight="1">
      <c r="B324" s="1248"/>
      <c r="C324" s="1248"/>
      <c r="D324" s="1426" t="s">
        <v>486</v>
      </c>
      <c r="E324" s="1427"/>
      <c r="F324" s="1427"/>
      <c r="G324" s="1427"/>
      <c r="H324" s="1427"/>
      <c r="I324" s="1427"/>
      <c r="J324" s="1427"/>
      <c r="K324" s="1427"/>
      <c r="L324" s="1427"/>
      <c r="M324" s="1425"/>
      <c r="N324" s="1425"/>
      <c r="O324" s="1425"/>
      <c r="P324" s="1425"/>
      <c r="Q324" s="1425"/>
    </row>
    <row r="325" spans="2:17" ht="18">
      <c r="B325" s="1428"/>
      <c r="C325" s="1248"/>
      <c r="D325" s="1425"/>
      <c r="E325" s="1168" t="s">
        <v>87</v>
      </c>
      <c r="F325" s="1168" t="s">
        <v>88</v>
      </c>
      <c r="G325" s="1168" t="s">
        <v>89</v>
      </c>
      <c r="H325" s="1168" t="s">
        <v>90</v>
      </c>
      <c r="I325" s="1168" t="s">
        <v>91</v>
      </c>
      <c r="J325" s="1168" t="s">
        <v>92</v>
      </c>
      <c r="K325" s="1168" t="s">
        <v>93</v>
      </c>
      <c r="L325" s="1168" t="s">
        <v>94</v>
      </c>
      <c r="O325" s="1368" t="s">
        <v>463</v>
      </c>
      <c r="P325" s="1357" t="s">
        <v>487</v>
      </c>
    </row>
    <row r="326" spans="2:17" ht="18">
      <c r="B326" s="1429" t="s">
        <v>443</v>
      </c>
      <c r="C326" s="1248"/>
      <c r="D326" s="1430" t="s">
        <v>56</v>
      </c>
      <c r="E326" s="1168">
        <f>COUNTIFS(('FORMULAIRE PGA Eau potable'!H671:H672),'MENU DÉROULANT'!$C$114)</f>
        <v>0</v>
      </c>
      <c r="F326" s="1168">
        <f>COUNTIFS(('FORMULAIRE PGA Eau potable'!H675:H676),'MENU DÉROULANT'!$C$114)</f>
        <v>0</v>
      </c>
      <c r="G326" s="1168">
        <f>COUNTIFS(('FORMULAIRE PGA Eau potable'!H679),'MENU DÉROULANT'!$C$114)</f>
        <v>0</v>
      </c>
      <c r="H326" s="1168">
        <f>COUNTIFS(('FORMULAIRE PGA Eau potable'!H682),'MENU DÉROULANT'!$C$114)</f>
        <v>0</v>
      </c>
      <c r="I326" s="1168">
        <f>COUNTIFS(('FORMULAIRE PGA Eau potable'!H685:H686),'MENU DÉROULANT'!$C$114)</f>
        <v>0</v>
      </c>
      <c r="J326" s="1168">
        <f>COUNTIFS(('FORMULAIRE PGA Eau potable'!H689:H690),'MENU DÉROULANT'!$C$114)</f>
        <v>0</v>
      </c>
      <c r="K326" s="1168">
        <f>COUNTIFS(('FORMULAIRE PGA Eau potable'!H693:H695),'MENU DÉROULANT'!$C$114)</f>
        <v>0</v>
      </c>
      <c r="L326" s="1168" t="s">
        <v>488</v>
      </c>
    </row>
    <row r="327" spans="2:17" ht="18">
      <c r="B327" s="1428"/>
      <c r="C327" s="1248"/>
      <c r="D327" s="1430" t="s">
        <v>57</v>
      </c>
      <c r="E327" s="1168">
        <f>'FORMULAIRE PGA Eau potable'!H670</f>
        <v>0</v>
      </c>
      <c r="F327" s="1168">
        <f>'FORMULAIRE PGA Eau potable'!H674</f>
        <v>0</v>
      </c>
      <c r="G327" s="1168">
        <f>'FORMULAIRE PGA Eau potable'!H678</f>
        <v>0</v>
      </c>
      <c r="H327" s="1168">
        <f>'FORMULAIRE PGA Eau potable'!H681</f>
        <v>0</v>
      </c>
      <c r="I327" s="1168">
        <f>'FORMULAIRE PGA Eau potable'!H684</f>
        <v>0</v>
      </c>
      <c r="J327" s="1168">
        <f>'FORMULAIRE PGA Eau potable'!H688</f>
        <v>0</v>
      </c>
      <c r="K327" s="1168">
        <f>'FORMULAIRE PGA Eau potable'!H692</f>
        <v>0</v>
      </c>
      <c r="L327" s="1168">
        <f>'FORMULAIRE PGA Eau potable'!H700</f>
        <v>0</v>
      </c>
    </row>
    <row r="328" spans="2:17" ht="18">
      <c r="B328" s="1429" t="s">
        <v>428</v>
      </c>
      <c r="C328" s="1248"/>
      <c r="D328" s="1430" t="s">
        <v>56</v>
      </c>
      <c r="E328" s="1168">
        <f>COUNTIFS(('FORMULAIRE PGA Eau potable'!M671:M672),'MENU DÉROULANT'!$C$114)</f>
        <v>0</v>
      </c>
      <c r="F328" s="1168">
        <f>COUNTIFS(('FORMULAIRE PGA Eau potable'!M675:M676),'MENU DÉROULANT'!$C$114)</f>
        <v>0</v>
      </c>
      <c r="G328" s="1168">
        <f>COUNTIFS(('FORMULAIRE PGA Eau potable'!M679),'MENU DÉROULANT'!$C$114)</f>
        <v>0</v>
      </c>
      <c r="H328" s="1168">
        <f>COUNTIFS(('FORMULAIRE PGA Eau potable'!M682),'MENU DÉROULANT'!$C$114)</f>
        <v>0</v>
      </c>
      <c r="I328" s="1168">
        <f>COUNTIFS(('FORMULAIRE PGA Eau potable'!M685:M686),'MENU DÉROULANT'!$C$114)</f>
        <v>0</v>
      </c>
      <c r="J328" s="1168">
        <f>COUNTIFS(('FORMULAIRE PGA Eau potable'!M689:M690),'MENU DÉROULANT'!$C$114)</f>
        <v>0</v>
      </c>
      <c r="K328" s="1168">
        <f>COUNTIFS(('FORMULAIRE PGA Eau potable'!M693:M695),'MENU DÉROULANT'!$C$114)</f>
        <v>0</v>
      </c>
      <c r="L328" s="1168" t="s">
        <v>488</v>
      </c>
    </row>
    <row r="329" spans="2:17" ht="18">
      <c r="B329" s="1428"/>
      <c r="C329" s="1248"/>
      <c r="D329" s="1430" t="s">
        <v>57</v>
      </c>
      <c r="E329" s="1168">
        <f>'FORMULAIRE PGA Eau potable'!M670</f>
        <v>0</v>
      </c>
      <c r="F329" s="1168">
        <f>'FORMULAIRE PGA Eau potable'!M674</f>
        <v>0</v>
      </c>
      <c r="G329" s="1168">
        <f>'FORMULAIRE PGA Eau potable'!M678</f>
        <v>0</v>
      </c>
      <c r="H329" s="1168">
        <f>'FORMULAIRE PGA Eau potable'!M681</f>
        <v>0</v>
      </c>
      <c r="I329" s="1168">
        <f>'FORMULAIRE PGA Eau potable'!M684</f>
        <v>0</v>
      </c>
      <c r="J329" s="1168">
        <f>'FORMULAIRE PGA Eau potable'!M688</f>
        <v>0</v>
      </c>
      <c r="K329" s="1168">
        <f>'FORMULAIRE PGA Eau potable'!M692</f>
        <v>0</v>
      </c>
      <c r="L329" s="1168">
        <f>'FORMULAIRE PGA Eau potable'!M700</f>
        <v>0</v>
      </c>
    </row>
    <row r="330" spans="2:17" ht="18">
      <c r="B330" s="1428"/>
      <c r="C330" s="1248"/>
      <c r="D330" s="1425"/>
      <c r="E330" s="1425"/>
      <c r="F330" s="1425"/>
      <c r="G330" s="1425"/>
      <c r="H330" s="1425"/>
      <c r="I330" s="1425"/>
      <c r="J330" s="1425"/>
      <c r="K330" s="1425"/>
      <c r="L330" s="1425"/>
      <c r="M330" s="2291"/>
      <c r="N330" s="2292" t="s">
        <v>489</v>
      </c>
      <c r="O330" s="2291"/>
      <c r="P330" s="1425"/>
      <c r="Q330" s="1425"/>
    </row>
    <row r="331" spans="2:17" ht="18">
      <c r="B331" s="1428"/>
      <c r="C331" s="1248"/>
      <c r="D331" s="1431" t="s">
        <v>490</v>
      </c>
      <c r="E331" s="1432" t="str">
        <f>'FORMULAIRE PGA Eau potable'!G700</f>
        <v/>
      </c>
      <c r="F331" s="1425" t="s">
        <v>491</v>
      </c>
      <c r="G331" s="1425"/>
      <c r="H331" s="1425"/>
      <c r="I331" s="1425"/>
      <c r="J331" s="1425"/>
      <c r="K331" s="1425"/>
      <c r="L331" s="1425"/>
      <c r="M331" s="2054" t="s">
        <v>444</v>
      </c>
      <c r="N331" s="2290">
        <f>IF($I$33=1,L329,IF($I$41=1,L327,ROUNDDOWN(AVERAGE(L327,L329),0)))</f>
        <v>0</v>
      </c>
      <c r="O331" s="1425"/>
      <c r="P331" s="1425"/>
      <c r="Q331" s="1425"/>
    </row>
    <row r="332" spans="2:17" ht="18">
      <c r="B332" s="1248"/>
      <c r="C332" s="1248"/>
      <c r="D332" s="1433" t="s">
        <v>492</v>
      </c>
      <c r="E332" s="1434" t="str">
        <f>'FORMULAIRE PGA Eau potable'!L700</f>
        <v/>
      </c>
      <c r="F332" s="1425" t="s">
        <v>491</v>
      </c>
      <c r="G332" s="1248"/>
      <c r="H332" s="1248"/>
      <c r="I332" s="1248"/>
      <c r="J332" s="1248"/>
      <c r="K332" s="1248"/>
      <c r="L332" s="1248"/>
      <c r="M332" s="2054" t="s">
        <v>95</v>
      </c>
      <c r="N332" s="904" t="e">
        <f>IF($I$33=1,E332,IF($I$41=1,E331,ROUNDDOWN(AVERAGE(E331,E332),0)))</f>
        <v>#DIV/0!</v>
      </c>
      <c r="O332" s="1248"/>
      <c r="P332" s="1248"/>
      <c r="Q332" s="1248"/>
    </row>
    <row r="333" spans="2:17" ht="18">
      <c r="B333" s="1248"/>
      <c r="C333" s="1248"/>
      <c r="D333" s="1248"/>
      <c r="E333" s="1435"/>
      <c r="F333" s="1248"/>
      <c r="G333" s="1248"/>
      <c r="H333" s="1248"/>
      <c r="I333" s="1248"/>
      <c r="J333" s="1248"/>
      <c r="K333" s="1248"/>
      <c r="L333" s="1248"/>
      <c r="O333" s="1248"/>
      <c r="P333" s="1248"/>
      <c r="Q333" s="1248"/>
    </row>
    <row r="334" spans="2:17" ht="18">
      <c r="B334" s="1239" t="s">
        <v>21</v>
      </c>
      <c r="C334" s="1239"/>
      <c r="D334" s="1239"/>
      <c r="E334" s="1239"/>
      <c r="F334" s="1239"/>
      <c r="G334" s="1239"/>
      <c r="H334" s="1239"/>
      <c r="I334" s="1239"/>
      <c r="J334" s="1239"/>
      <c r="K334" s="1239"/>
      <c r="L334" s="1239"/>
      <c r="M334" s="1239"/>
      <c r="N334" s="1239"/>
      <c r="O334" s="1239"/>
      <c r="P334" s="1239"/>
      <c r="Q334" s="1239"/>
    </row>
    <row r="335" spans="2:17" ht="18">
      <c r="B335" s="1248"/>
      <c r="C335" s="1248"/>
      <c r="D335" s="1248"/>
      <c r="E335" s="1248"/>
      <c r="F335" s="1248"/>
      <c r="G335" s="1248"/>
      <c r="H335" s="1248"/>
      <c r="I335" s="1248"/>
      <c r="J335" s="1248"/>
      <c r="K335" s="1248"/>
      <c r="L335" s="1248"/>
      <c r="M335" s="1248"/>
      <c r="N335" s="1248"/>
      <c r="O335" s="1248"/>
      <c r="P335" s="1248"/>
      <c r="Q335" s="1248"/>
    </row>
    <row r="336" spans="2:17" ht="28.5" customHeight="1">
      <c r="B336" s="1248"/>
      <c r="C336" s="1248"/>
      <c r="D336" s="1426" t="s">
        <v>486</v>
      </c>
      <c r="E336" s="1427"/>
      <c r="F336" s="1427"/>
      <c r="G336" s="1427"/>
      <c r="H336" s="1427"/>
      <c r="I336" s="1427"/>
      <c r="J336" s="1427"/>
      <c r="K336" s="1427"/>
      <c r="L336" s="1427"/>
      <c r="M336" s="1425"/>
      <c r="N336" s="1425"/>
      <c r="O336" s="1425"/>
      <c r="P336" s="1425"/>
      <c r="Q336" s="1425"/>
    </row>
    <row r="337" spans="2:17" ht="18">
      <c r="B337" s="1428"/>
      <c r="C337" s="1248"/>
      <c r="D337" s="1425"/>
      <c r="E337" s="1168" t="s">
        <v>87</v>
      </c>
      <c r="F337" s="1168" t="s">
        <v>88</v>
      </c>
      <c r="G337" s="1168" t="s">
        <v>89</v>
      </c>
      <c r="H337" s="1168" t="s">
        <v>90</v>
      </c>
      <c r="I337" s="1168" t="s">
        <v>91</v>
      </c>
      <c r="J337" s="1168" t="s">
        <v>92</v>
      </c>
      <c r="K337" s="1168" t="s">
        <v>93</v>
      </c>
      <c r="L337" s="1168" t="s">
        <v>94</v>
      </c>
    </row>
    <row r="338" spans="2:17" ht="18">
      <c r="B338" s="1429" t="s">
        <v>443</v>
      </c>
      <c r="C338" s="1248"/>
      <c r="D338" s="1430" t="s">
        <v>56</v>
      </c>
      <c r="E338" s="1168">
        <f>COUNTIFS(('FORMULAIRE PGA Eau potable'!H605:H610),'MENU DÉROULANT'!$C$114)</f>
        <v>0</v>
      </c>
      <c r="F338" s="1168">
        <f>COUNTIFS(('FORMULAIRE PGA Eau potable'!H613:H614),'MENU DÉROULANT'!$C$114)</f>
        <v>0</v>
      </c>
      <c r="G338" s="1168">
        <f>COUNTIFS(('FORMULAIRE PGA Eau potable'!H617:H618),'MENU DÉROULANT'!$C$114)</f>
        <v>0</v>
      </c>
      <c r="H338" s="1168">
        <f>COUNTIFS(('FORMULAIRE PGA Eau potable'!H621:H622),'MENU DÉROULANT'!$C$114)</f>
        <v>0</v>
      </c>
      <c r="I338" s="1168">
        <f>COUNTIFS(('FORMULAIRE PGA Eau potable'!H625:H627),'MENU DÉROULANT'!$C$114)</f>
        <v>0</v>
      </c>
      <c r="J338" s="1168">
        <f>COUNTIFS(('FORMULAIRE PGA Eau potable'!H630:H631),'MENU DÉROULANT'!$C$114)</f>
        <v>0</v>
      </c>
      <c r="K338" s="1168">
        <f>COUNTIFS(('FORMULAIRE PGA Eau potable'!H634:H636),'MENU DÉROULANT'!$C$114)</f>
        <v>0</v>
      </c>
      <c r="L338" s="1168" t="s">
        <v>488</v>
      </c>
    </row>
    <row r="339" spans="2:17" ht="18">
      <c r="B339" s="1428"/>
      <c r="C339" s="1248"/>
      <c r="D339" s="1430" t="s">
        <v>57</v>
      </c>
      <c r="E339" s="1168">
        <f>'FORMULAIRE PGA Eau potable'!H604</f>
        <v>0</v>
      </c>
      <c r="F339" s="1168">
        <f>'FORMULAIRE PGA Eau potable'!H612</f>
        <v>0</v>
      </c>
      <c r="G339" s="1168">
        <f>'FORMULAIRE PGA Eau potable'!H616</f>
        <v>0</v>
      </c>
      <c r="H339" s="1168">
        <f>'FORMULAIRE PGA Eau potable'!H620</f>
        <v>0</v>
      </c>
      <c r="I339" s="1168">
        <f>'FORMULAIRE PGA Eau potable'!H624</f>
        <v>0</v>
      </c>
      <c r="J339" s="1168">
        <f>'FORMULAIRE PGA Eau potable'!H629</f>
        <v>0</v>
      </c>
      <c r="K339" s="1168">
        <f>'FORMULAIRE PGA Eau potable'!H633</f>
        <v>0</v>
      </c>
      <c r="L339" s="1168">
        <f>'FORMULAIRE PGA Eau potable'!H638</f>
        <v>0</v>
      </c>
    </row>
    <row r="340" spans="2:17" ht="18">
      <c r="B340" s="1429" t="s">
        <v>428</v>
      </c>
      <c r="C340" s="1248"/>
      <c r="D340" s="1430" t="s">
        <v>56</v>
      </c>
      <c r="E340" s="1168">
        <f>COUNTIFS(('FORMULAIRE PGA Eau potable'!M605:M610),'MENU DÉROULANT'!$C$114)</f>
        <v>0</v>
      </c>
      <c r="F340" s="1168">
        <f>COUNTIFS(('FORMULAIRE PGA Eau potable'!M613:M614),'MENU DÉROULANT'!$C$114)</f>
        <v>0</v>
      </c>
      <c r="G340" s="1168">
        <f>COUNTIFS(('FORMULAIRE PGA Eau potable'!M617:M618),'MENU DÉROULANT'!$C$114)</f>
        <v>0</v>
      </c>
      <c r="H340" s="1168">
        <f>COUNTIFS(('FORMULAIRE PGA Eau potable'!M621:M622),'MENU DÉROULANT'!$C$114)</f>
        <v>0</v>
      </c>
      <c r="I340" s="1168">
        <f>COUNTIFS(('FORMULAIRE PGA Eau potable'!M625:M627),'MENU DÉROULANT'!$C$114)</f>
        <v>0</v>
      </c>
      <c r="J340" s="1168">
        <f>COUNTIFS(('FORMULAIRE PGA Eau potable'!M630:M631),'MENU DÉROULANT'!$C$114)</f>
        <v>0</v>
      </c>
      <c r="K340" s="1168">
        <f>COUNTIFS(('FORMULAIRE PGA Eau potable'!M634:M636),'MENU DÉROULANT'!$C$114)</f>
        <v>0</v>
      </c>
      <c r="L340" s="1168" t="s">
        <v>488</v>
      </c>
    </row>
    <row r="341" spans="2:17" ht="18">
      <c r="B341" s="1428"/>
      <c r="C341" s="1248"/>
      <c r="D341" s="1430" t="s">
        <v>57</v>
      </c>
      <c r="E341" s="1168">
        <f>'FORMULAIRE PGA Eau potable'!M604</f>
        <v>0</v>
      </c>
      <c r="F341" s="1168">
        <f>'FORMULAIRE PGA Eau potable'!M612</f>
        <v>0</v>
      </c>
      <c r="G341" s="1168">
        <f>'FORMULAIRE PGA Eau potable'!M616</f>
        <v>0</v>
      </c>
      <c r="H341" s="1168">
        <f>'FORMULAIRE PGA Eau potable'!M620</f>
        <v>0</v>
      </c>
      <c r="I341" s="1168">
        <f>'FORMULAIRE PGA Eau potable'!M624</f>
        <v>0</v>
      </c>
      <c r="J341" s="1168">
        <f>'FORMULAIRE PGA Eau potable'!M629</f>
        <v>0</v>
      </c>
      <c r="K341" s="1168">
        <f>'FORMULAIRE PGA Eau potable'!M633</f>
        <v>0</v>
      </c>
      <c r="L341" s="1168">
        <f>'FORMULAIRE PGA Eau potable'!M638</f>
        <v>0</v>
      </c>
    </row>
    <row r="342" spans="2:17" ht="18">
      <c r="B342" s="1428"/>
      <c r="C342" s="1248"/>
      <c r="D342" s="1425"/>
      <c r="E342" s="1425"/>
      <c r="F342" s="1425"/>
      <c r="G342" s="1425"/>
      <c r="H342" s="1425"/>
      <c r="I342" s="1425"/>
      <c r="J342" s="1425"/>
      <c r="K342" s="1425"/>
      <c r="L342" s="1425"/>
      <c r="M342" s="2291"/>
      <c r="N342" s="2292" t="s">
        <v>489</v>
      </c>
      <c r="O342" s="2291"/>
      <c r="P342" s="1425"/>
      <c r="Q342" s="1425"/>
    </row>
    <row r="343" spans="2:17" ht="18">
      <c r="B343" s="1428"/>
      <c r="C343" s="1248"/>
      <c r="D343" s="1431" t="s">
        <v>490</v>
      </c>
      <c r="E343" s="1432" t="str">
        <f>'FORMULAIRE PGA Eau potable'!G638</f>
        <v/>
      </c>
      <c r="F343" s="1425" t="s">
        <v>491</v>
      </c>
      <c r="G343" s="1425"/>
      <c r="H343" s="1425"/>
      <c r="I343" s="1425"/>
      <c r="J343" s="1425"/>
      <c r="K343" s="1425"/>
      <c r="L343" s="1425"/>
      <c r="M343" s="2054" t="s">
        <v>444</v>
      </c>
      <c r="N343" s="2290">
        <f>IF($I$33=1,L341,IF($I$41=1,L339,ROUNDDOWN(AVERAGE(L339,L341),0)))</f>
        <v>0</v>
      </c>
      <c r="O343" s="1425"/>
      <c r="P343" s="1425"/>
      <c r="Q343" s="1425"/>
    </row>
    <row r="344" spans="2:17" ht="18">
      <c r="B344" s="1248"/>
      <c r="C344" s="1248"/>
      <c r="D344" s="1433" t="s">
        <v>492</v>
      </c>
      <c r="E344" s="1434" t="str">
        <f>'FORMULAIRE PGA Eau potable'!L638</f>
        <v/>
      </c>
      <c r="F344" s="1425" t="s">
        <v>491</v>
      </c>
      <c r="G344" s="1248"/>
      <c r="H344" s="1248"/>
      <c r="I344" s="1248"/>
      <c r="J344" s="1248"/>
      <c r="K344" s="1248"/>
      <c r="L344" s="1248"/>
      <c r="M344" s="2054" t="s">
        <v>95</v>
      </c>
      <c r="N344" s="904" t="e">
        <f>IF($I$33=1,E344,IF($I$41=1,E343,ROUNDDOWN(AVERAGE(E343,E344),0)))</f>
        <v>#DIV/0!</v>
      </c>
      <c r="O344" s="1248"/>
      <c r="P344" s="1248"/>
      <c r="Q344" s="1248"/>
    </row>
    <row r="348" spans="2:17" ht="31.5" customHeight="1">
      <c r="B348" s="1237" t="s">
        <v>2273</v>
      </c>
      <c r="C348" s="1237"/>
      <c r="D348" s="1238"/>
      <c r="E348" s="1238"/>
      <c r="F348" s="1238"/>
      <c r="G348" s="1238"/>
      <c r="H348" s="1238"/>
      <c r="I348" s="1238"/>
      <c r="J348" s="1238"/>
      <c r="K348" s="1238"/>
      <c r="L348" s="1238"/>
      <c r="M348" s="1238"/>
      <c r="N348" s="1238"/>
      <c r="O348" s="1238"/>
      <c r="P348" s="1238"/>
      <c r="Q348" s="1238"/>
    </row>
    <row r="350" spans="2:17" ht="33.75" customHeight="1">
      <c r="B350" s="2884" t="s">
        <v>317</v>
      </c>
      <c r="C350" s="308"/>
      <c r="D350" s="308" t="s">
        <v>2278</v>
      </c>
      <c r="E350" s="308"/>
      <c r="F350" s="3546">
        <f>'FORMULAIRE PGA Eau potable'!C716</f>
        <v>0</v>
      </c>
      <c r="G350" s="3546"/>
      <c r="H350" s="3546"/>
      <c r="I350" s="3546"/>
      <c r="J350" s="3546"/>
      <c r="K350" s="3546"/>
      <c r="L350" s="3546"/>
      <c r="M350" s="3546"/>
      <c r="N350" s="3546"/>
      <c r="O350" s="3546"/>
      <c r="P350" s="3546"/>
    </row>
    <row r="351" spans="2:17" ht="33.75" customHeight="1">
      <c r="B351" s="308"/>
      <c r="C351" s="308"/>
      <c r="D351" s="308" t="s">
        <v>2279</v>
      </c>
      <c r="E351" s="308"/>
      <c r="F351" s="3546">
        <f>'FORMULAIRE PGA Eau potable'!C728</f>
        <v>0</v>
      </c>
      <c r="G351" s="3546"/>
      <c r="H351" s="3546"/>
      <c r="I351" s="3546"/>
      <c r="J351" s="3546"/>
      <c r="K351" s="3546"/>
      <c r="L351" s="3546"/>
      <c r="M351" s="3546"/>
      <c r="N351" s="3546"/>
      <c r="O351" s="3546"/>
      <c r="P351" s="3546"/>
    </row>
  </sheetData>
  <sheetProtection password="C518" sheet="1" objects="1" scenarios="1"/>
  <mergeCells count="29">
    <mergeCell ref="M55:M56"/>
    <mergeCell ref="D158:E158"/>
    <mergeCell ref="D175:E175"/>
    <mergeCell ref="E46:H47"/>
    <mergeCell ref="E34:H35"/>
    <mergeCell ref="E36:H37"/>
    <mergeCell ref="E38:H39"/>
    <mergeCell ref="E42:H43"/>
    <mergeCell ref="E44:H45"/>
    <mergeCell ref="H161:H167"/>
    <mergeCell ref="H150:H156"/>
    <mergeCell ref="H159:H160"/>
    <mergeCell ref="H148:H149"/>
    <mergeCell ref="F350:P350"/>
    <mergeCell ref="F351:P351"/>
    <mergeCell ref="P11:P12"/>
    <mergeCell ref="M11:O12"/>
    <mergeCell ref="K86:L86"/>
    <mergeCell ref="N53:N56"/>
    <mergeCell ref="O148:O149"/>
    <mergeCell ref="L247:N247"/>
    <mergeCell ref="O150:O156"/>
    <mergeCell ref="K159:K167"/>
    <mergeCell ref="K147:L147"/>
    <mergeCell ref="L110:N110"/>
    <mergeCell ref="L123:N123"/>
    <mergeCell ref="I86:J86"/>
    <mergeCell ref="M53:M54"/>
    <mergeCell ref="E28:F29"/>
  </mergeCells>
  <pageMargins left="0.56000000000000005" right="0.43" top="0.55000000000000004" bottom="0.59055118110236227" header="0.31496062992125984" footer="0.31496062992125984"/>
  <pageSetup scale="44" fitToHeight="0" orientation="landscape" r:id="rId1"/>
  <headerFooter>
    <oddFooter xml:space="preserve">&amp;L&amp;10Version 1.0    © CERIU, 2023&amp;R&amp;10Onglet CALCULS eau potable
Page &amp;P de &amp;N </oddFooter>
  </headerFooter>
  <rowBreaks count="7" manualBreakCount="7">
    <brk id="49" max="16383" man="1"/>
    <brk id="99" max="16383" man="1"/>
    <brk id="128" max="16383" man="1"/>
    <brk id="184" max="16383" man="1"/>
    <brk id="228" max="16383" man="1"/>
    <brk id="261" max="16383" man="1"/>
    <brk id="301" max="16383" man="1"/>
  </rowBreaks>
  <ignoredErrors>
    <ignoredError sqref="F23" formula="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249977111117893"/>
    <pageSetUpPr fitToPage="1"/>
  </sheetPr>
  <dimension ref="B1:CM173"/>
  <sheetViews>
    <sheetView showGridLines="0" topLeftCell="A59" zoomScaleNormal="100" workbookViewId="0">
      <selection activeCell="B119" sqref="B119"/>
    </sheetView>
  </sheetViews>
  <sheetFormatPr baseColWidth="10" defaultColWidth="11.44140625" defaultRowHeight="14.4"/>
  <cols>
    <col min="1" max="1" width="4.5546875" style="28" customWidth="1"/>
    <col min="2" max="2" width="2.6640625" style="28" customWidth="1"/>
    <col min="3" max="3" width="2" style="28" customWidth="1"/>
    <col min="4" max="4" width="3.6640625" style="28" customWidth="1"/>
    <col min="5" max="5" width="6.33203125" style="28" customWidth="1"/>
    <col min="6" max="6" width="2.6640625" style="28" customWidth="1"/>
    <col min="7" max="7" width="5.6640625" style="28" customWidth="1"/>
    <col min="8" max="8" width="2.6640625" style="28" customWidth="1"/>
    <col min="9" max="9" width="4.6640625" style="28" customWidth="1"/>
    <col min="10" max="10" width="3" style="28" customWidth="1"/>
    <col min="11" max="11" width="0.6640625" style="28" customWidth="1"/>
    <col min="12" max="12" width="3" style="28" customWidth="1"/>
    <col min="13" max="13" width="0.6640625" style="28" customWidth="1"/>
    <col min="14" max="14" width="3" style="28" customWidth="1"/>
    <col min="15" max="15" width="0.6640625" style="28" customWidth="1"/>
    <col min="16" max="16" width="3" style="28" customWidth="1"/>
    <col min="17" max="17" width="0.6640625" style="28" customWidth="1"/>
    <col min="18" max="18" width="3" style="28" customWidth="1"/>
    <col min="19" max="19" width="0.6640625" style="28" customWidth="1"/>
    <col min="20" max="20" width="3" style="28" customWidth="1"/>
    <col min="21" max="21" width="0.6640625" style="28" customWidth="1"/>
    <col min="22" max="22" width="3" style="28" customWidth="1"/>
    <col min="23" max="23" width="2.33203125" style="28" customWidth="1"/>
    <col min="24" max="24" width="3" style="28" customWidth="1"/>
    <col min="25" max="25" width="6.44140625" style="28" customWidth="1"/>
    <col min="26" max="26" width="3" style="28" customWidth="1"/>
    <col min="27" max="27" width="0.6640625" style="28" customWidth="1"/>
    <col min="28" max="28" width="3" style="28" customWidth="1"/>
    <col min="29" max="29" width="0.6640625" style="28" customWidth="1"/>
    <col min="30" max="30" width="3" style="28" customWidth="1"/>
    <col min="31" max="31" width="0.6640625" style="28" customWidth="1"/>
    <col min="32" max="32" width="3" style="28" customWidth="1"/>
    <col min="33" max="33" width="0.6640625" style="28" customWidth="1"/>
    <col min="34" max="34" width="3" style="28" customWidth="1"/>
    <col min="35" max="35" width="0.88671875" style="28" customWidth="1"/>
    <col min="36" max="36" width="3" style="28" customWidth="1"/>
    <col min="37" max="37" width="0.6640625" style="28" customWidth="1"/>
    <col min="38" max="38" width="3" style="28" customWidth="1"/>
    <col min="39" max="39" width="2.33203125" style="28" customWidth="1"/>
    <col min="40" max="40" width="3" style="28" customWidth="1"/>
    <col min="41" max="41" width="1.33203125" style="28" customWidth="1"/>
    <col min="42" max="42" width="2.6640625" style="28" customWidth="1"/>
    <col min="43" max="43" width="1.88671875" style="28" customWidth="1"/>
    <col min="44" max="44" width="2.109375" style="28" customWidth="1"/>
    <col min="45" max="45" width="1.6640625" style="28" customWidth="1"/>
    <col min="46" max="46" width="2" style="28" customWidth="1"/>
    <col min="47" max="47" width="2.6640625" style="28" customWidth="1"/>
    <col min="48" max="48" width="2.5546875" style="28" customWidth="1"/>
    <col min="49" max="49" width="3.109375" style="28" customWidth="1"/>
    <col min="50" max="50" width="7" style="28" customWidth="1"/>
    <col min="51" max="51" width="4.5546875" style="28" customWidth="1"/>
    <col min="52" max="52" width="2.6640625" style="28" customWidth="1"/>
    <col min="53" max="53" width="2.109375" style="28" customWidth="1"/>
    <col min="54" max="54" width="3.33203125" style="28" customWidth="1"/>
    <col min="55" max="55" width="3" style="28" customWidth="1"/>
    <col min="56" max="56" width="0.6640625" style="28" customWidth="1"/>
    <col min="57" max="57" width="3" style="28" customWidth="1"/>
    <col min="58" max="58" width="0.6640625" style="28" customWidth="1"/>
    <col min="59" max="59" width="3" style="28" customWidth="1"/>
    <col min="60" max="60" width="0.6640625" style="28" customWidth="1"/>
    <col min="61" max="61" width="3" style="28" customWidth="1"/>
    <col min="62" max="62" width="0.6640625" style="28" customWidth="1"/>
    <col min="63" max="63" width="3" style="28" customWidth="1"/>
    <col min="64" max="64" width="0.6640625" style="28" customWidth="1"/>
    <col min="65" max="65" width="3" style="28" customWidth="1"/>
    <col min="66" max="66" width="0.6640625" style="28" customWidth="1"/>
    <col min="67" max="67" width="3" style="28" customWidth="1"/>
    <col min="68" max="68" width="2.33203125" style="28" customWidth="1"/>
    <col min="69" max="69" width="3" style="28" customWidth="1"/>
    <col min="70" max="70" width="0.6640625" style="28" customWidth="1"/>
    <col min="71" max="71" width="5" style="28" customWidth="1"/>
    <col min="72" max="72" width="3" style="28" customWidth="1"/>
    <col min="73" max="73" width="0.6640625" style="28" customWidth="1"/>
    <col min="74" max="74" width="3" style="28" customWidth="1"/>
    <col min="75" max="75" width="0.6640625" style="28" customWidth="1"/>
    <col min="76" max="76" width="3" style="28" customWidth="1"/>
    <col min="77" max="77" width="0.6640625" style="28" customWidth="1"/>
    <col min="78" max="78" width="3" style="28" customWidth="1"/>
    <col min="79" max="79" width="0.6640625" style="28" customWidth="1"/>
    <col min="80" max="80" width="3" style="28" customWidth="1"/>
    <col min="81" max="81" width="0.88671875" style="28" customWidth="1"/>
    <col min="82" max="82" width="3" style="28" customWidth="1"/>
    <col min="83" max="83" width="0.6640625" style="28" customWidth="1"/>
    <col min="84" max="84" width="3" style="28" customWidth="1"/>
    <col min="85" max="85" width="2.33203125" style="28" customWidth="1"/>
    <col min="86" max="86" width="3" style="28" customWidth="1"/>
    <col min="87" max="87" width="1.33203125" style="28" customWidth="1"/>
    <col min="88" max="88" width="3.33203125" style="28" customWidth="1"/>
    <col min="89" max="89" width="2.88671875" style="28" customWidth="1"/>
    <col min="90" max="90" width="2.5546875" style="28" customWidth="1"/>
    <col min="91" max="91" width="1.6640625" style="28" customWidth="1"/>
    <col min="92" max="92" width="9.5546875" style="28" customWidth="1"/>
    <col min="93" max="16384" width="11.44140625" style="28"/>
  </cols>
  <sheetData>
    <row r="1" spans="2:91" ht="7.5" customHeight="1"/>
    <row r="2" spans="2:91" ht="26.25" customHeight="1">
      <c r="B2" s="29"/>
      <c r="C2" s="2985" t="str">
        <f>CONCATENATE('CALCULS Eau potable'!D8,'CALCULS Eau potable'!G8)</f>
        <v>ORGANISATION :  ##</v>
      </c>
      <c r="D2" s="30"/>
      <c r="E2" s="30"/>
      <c r="F2" s="30"/>
      <c r="G2" s="30"/>
      <c r="H2" s="30"/>
      <c r="I2" s="31"/>
      <c r="J2" s="31"/>
      <c r="K2" s="31"/>
      <c r="L2" s="31"/>
      <c r="M2" s="31"/>
      <c r="N2" s="31"/>
      <c r="O2" s="31"/>
      <c r="P2" s="31"/>
      <c r="Q2" s="31"/>
      <c r="R2" s="31"/>
      <c r="S2" s="31"/>
      <c r="T2" s="31"/>
      <c r="U2" s="31"/>
      <c r="V2" s="31"/>
      <c r="W2" s="31"/>
      <c r="X2" s="31"/>
      <c r="Y2" s="31"/>
      <c r="Z2" s="32"/>
      <c r="AA2" s="32"/>
      <c r="AB2" s="32"/>
      <c r="AC2" s="32"/>
      <c r="AD2" s="32"/>
      <c r="AE2" s="32"/>
      <c r="AF2" s="236"/>
      <c r="AG2" s="236"/>
      <c r="AH2" s="3694" t="s">
        <v>744</v>
      </c>
      <c r="AI2" s="3694"/>
      <c r="AJ2" s="3694"/>
      <c r="AK2" s="3694"/>
      <c r="AL2" s="3694"/>
      <c r="AM2" s="3694"/>
      <c r="AN2" s="3694"/>
      <c r="AO2" s="3694"/>
      <c r="AP2" s="3694"/>
      <c r="AQ2" s="3694"/>
      <c r="AR2" s="3694"/>
      <c r="AS2" s="3694"/>
      <c r="AT2" s="3694"/>
      <c r="AU2" s="3694"/>
      <c r="AV2" s="3694"/>
      <c r="AW2" s="3694"/>
      <c r="AX2" s="3694"/>
      <c r="AY2" s="3694"/>
      <c r="AZ2" s="3694"/>
      <c r="BA2" s="3694"/>
      <c r="BB2" s="236"/>
      <c r="BC2" s="236"/>
      <c r="BD2" s="236"/>
      <c r="BE2" s="236"/>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1"/>
      <c r="CH2" s="31"/>
      <c r="CI2" s="32"/>
      <c r="CJ2" s="32"/>
      <c r="CK2" s="1016" t="str">
        <f>CONCATENATE('CALCULS Eau potable'!D11,'CALCULS Eau potable'!G11)</f>
        <v>ANNÉE DU PGA :  ##</v>
      </c>
      <c r="CL2" s="32"/>
      <c r="CM2" s="33"/>
    </row>
    <row r="3" spans="2:91" ht="15.75" customHeight="1">
      <c r="B3" s="29"/>
      <c r="C3" s="1017" t="str">
        <f>CONCATENATE('CALCULS Eau potable'!D10,'CALCULS Eau potable'!G10)</f>
        <v>RÉGION ADMINISTRATIVE :  ##</v>
      </c>
      <c r="D3" s="30"/>
      <c r="E3" s="30"/>
      <c r="F3" s="30"/>
      <c r="G3" s="30"/>
      <c r="H3" s="30"/>
      <c r="I3" s="31"/>
      <c r="J3" s="31"/>
      <c r="K3" s="31"/>
      <c r="L3" s="31"/>
      <c r="M3" s="31"/>
      <c r="N3" s="31"/>
      <c r="O3" s="31"/>
      <c r="P3" s="31"/>
      <c r="Q3" s="31"/>
      <c r="R3" s="31"/>
      <c r="S3" s="31"/>
      <c r="T3" s="31"/>
      <c r="U3" s="31"/>
      <c r="V3" s="31"/>
      <c r="W3" s="31"/>
      <c r="X3" s="31"/>
      <c r="Y3" s="31"/>
      <c r="Z3" s="32"/>
      <c r="AA3" s="32"/>
      <c r="AB3" s="32"/>
      <c r="AC3" s="32"/>
      <c r="AD3" s="3613" t="s">
        <v>745</v>
      </c>
      <c r="AE3" s="3613"/>
      <c r="AF3" s="3613"/>
      <c r="AG3" s="3613"/>
      <c r="AH3" s="3613"/>
      <c r="AI3" s="3613"/>
      <c r="AJ3" s="3613"/>
      <c r="AK3" s="3613"/>
      <c r="AL3" s="3613"/>
      <c r="AM3" s="3613"/>
      <c r="AN3" s="3613"/>
      <c r="AO3" s="3613"/>
      <c r="AP3" s="3613"/>
      <c r="AQ3" s="3613"/>
      <c r="AR3" s="3613"/>
      <c r="AS3" s="3613"/>
      <c r="AT3" s="3613"/>
      <c r="AU3" s="3613"/>
      <c r="AV3" s="3613"/>
      <c r="AW3" s="3613"/>
      <c r="AX3" s="3613"/>
      <c r="AY3" s="3613"/>
      <c r="AZ3" s="3613"/>
      <c r="BA3" s="3613"/>
      <c r="BB3" s="3613"/>
      <c r="BC3" s="3613"/>
      <c r="BD3" s="3613"/>
      <c r="BE3" s="3613"/>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1"/>
      <c r="CH3" s="31"/>
      <c r="CI3" s="32"/>
      <c r="CJ3" s="32"/>
      <c r="CK3" s="1018" t="str">
        <f>CONCATENATE('CALCULS Eau potable'!G12,'CALCULS Eau potable'!H12,'CALCULS Eau potable'!I12)</f>
        <v/>
      </c>
      <c r="CL3" s="32"/>
      <c r="CM3" s="33"/>
    </row>
    <row r="4" spans="2:91" ht="22.5" customHeight="1">
      <c r="B4" s="29"/>
      <c r="C4" s="1017" t="str">
        <f>CONCATENATE('CALCULS Eau potable'!D9,'CALCULS Eau potable'!G9)</f>
        <v>CODE DE L'ORGANISATION :  ##</v>
      </c>
      <c r="D4" s="30"/>
      <c r="E4" s="30"/>
      <c r="F4" s="30"/>
      <c r="G4" s="30"/>
      <c r="H4" s="30"/>
      <c r="I4" s="31"/>
      <c r="J4" s="31"/>
      <c r="K4" s="31"/>
      <c r="L4" s="31"/>
      <c r="M4" s="31"/>
      <c r="N4" s="31"/>
      <c r="O4" s="31"/>
      <c r="P4" s="31"/>
      <c r="Q4" s="31"/>
      <c r="R4" s="31"/>
      <c r="S4" s="31"/>
      <c r="T4" s="31"/>
      <c r="U4" s="31"/>
      <c r="V4" s="31"/>
      <c r="W4" s="31"/>
      <c r="X4" s="31"/>
      <c r="Y4" s="31"/>
      <c r="Z4" s="34"/>
      <c r="AA4" s="34"/>
      <c r="AB4" s="34"/>
      <c r="AC4" s="34"/>
      <c r="AD4" s="3613"/>
      <c r="AE4" s="3613"/>
      <c r="AF4" s="3613"/>
      <c r="AG4" s="3613"/>
      <c r="AH4" s="3613"/>
      <c r="AI4" s="3613"/>
      <c r="AJ4" s="3613"/>
      <c r="AK4" s="3613"/>
      <c r="AL4" s="3613"/>
      <c r="AM4" s="3613"/>
      <c r="AN4" s="3613"/>
      <c r="AO4" s="3613"/>
      <c r="AP4" s="3613"/>
      <c r="AQ4" s="3613"/>
      <c r="AR4" s="3613"/>
      <c r="AS4" s="3613"/>
      <c r="AT4" s="3613"/>
      <c r="AU4" s="3613"/>
      <c r="AV4" s="3613"/>
      <c r="AW4" s="3613"/>
      <c r="AX4" s="3613"/>
      <c r="AY4" s="3613"/>
      <c r="AZ4" s="3613"/>
      <c r="BA4" s="3613"/>
      <c r="BB4" s="3613"/>
      <c r="BC4" s="3613"/>
      <c r="BD4" s="3613"/>
      <c r="BE4" s="3613"/>
      <c r="BF4" s="34"/>
      <c r="BG4" s="34"/>
      <c r="BH4" s="34"/>
      <c r="BI4" s="34"/>
      <c r="BJ4" s="34"/>
      <c r="BK4" s="34"/>
      <c r="BL4" s="34"/>
      <c r="BM4" s="34"/>
      <c r="BN4" s="34"/>
      <c r="BO4" s="34"/>
      <c r="BP4" s="34"/>
      <c r="BQ4" s="34"/>
      <c r="BR4" s="34"/>
      <c r="BS4" s="34"/>
      <c r="BT4" s="34"/>
      <c r="BU4" s="34"/>
      <c r="BV4" s="34"/>
      <c r="BW4" s="34"/>
      <c r="BX4" s="34"/>
      <c r="BY4" s="34"/>
      <c r="BZ4" s="34"/>
      <c r="CA4" s="34"/>
      <c r="CB4" s="34"/>
      <c r="CC4" s="34"/>
      <c r="CD4" s="34"/>
      <c r="CE4" s="34"/>
      <c r="CF4" s="1015" t="str">
        <f>'CALCULS Eau potable'!D13</f>
        <v>DATE DE COMPLÉTION DU FORMULAIRE :</v>
      </c>
      <c r="CG4" s="3614" t="str">
        <f>'CALCULS Eau potable'!G13</f>
        <v>##</v>
      </c>
      <c r="CH4" s="3614"/>
      <c r="CI4" s="3614"/>
      <c r="CJ4" s="3614"/>
      <c r="CK4" s="3614"/>
      <c r="CL4" s="34"/>
      <c r="CM4" s="35"/>
    </row>
    <row r="5" spans="2:91" ht="6.75" customHeight="1">
      <c r="B5" s="29"/>
      <c r="C5" s="1017"/>
      <c r="D5" s="30"/>
      <c r="E5" s="30"/>
      <c r="F5" s="30"/>
      <c r="G5" s="30"/>
      <c r="H5" s="30"/>
      <c r="I5" s="31"/>
      <c r="J5" s="31"/>
      <c r="K5" s="31"/>
      <c r="L5" s="31"/>
      <c r="M5" s="31"/>
      <c r="N5" s="31"/>
      <c r="O5" s="31"/>
      <c r="P5" s="31"/>
      <c r="Q5" s="31"/>
      <c r="R5" s="31"/>
      <c r="S5" s="31"/>
      <c r="T5" s="31"/>
      <c r="U5" s="31"/>
      <c r="V5" s="31"/>
      <c r="W5" s="31"/>
      <c r="X5" s="31"/>
      <c r="Y5" s="31"/>
      <c r="Z5" s="34"/>
      <c r="AA5" s="34"/>
      <c r="AB5" s="34"/>
      <c r="AC5" s="34"/>
      <c r="AD5" s="2830"/>
      <c r="AE5" s="2830"/>
      <c r="AF5" s="2830"/>
      <c r="AG5" s="2830"/>
      <c r="AH5" s="2830"/>
      <c r="AI5" s="2830"/>
      <c r="AJ5" s="2830"/>
      <c r="AK5" s="2830"/>
      <c r="AL5" s="2830"/>
      <c r="AM5" s="2830"/>
      <c r="AN5" s="2830"/>
      <c r="AO5" s="2830"/>
      <c r="AP5" s="2830"/>
      <c r="AQ5" s="2830"/>
      <c r="AR5" s="2830"/>
      <c r="AS5" s="2830"/>
      <c r="AT5" s="2830"/>
      <c r="AU5" s="2830"/>
      <c r="AV5" s="2830"/>
      <c r="AW5" s="2830"/>
      <c r="AX5" s="2830"/>
      <c r="AY5" s="2830"/>
      <c r="AZ5" s="2830"/>
      <c r="BA5" s="2830"/>
      <c r="BB5" s="2830"/>
      <c r="BC5" s="2830"/>
      <c r="BD5" s="2830"/>
      <c r="BE5" s="2830"/>
      <c r="BF5" s="34"/>
      <c r="BG5" s="34"/>
      <c r="BH5" s="34"/>
      <c r="BI5" s="34"/>
      <c r="BJ5" s="34"/>
      <c r="BK5" s="34"/>
      <c r="BL5" s="34"/>
      <c r="BM5" s="34"/>
      <c r="BN5" s="34"/>
      <c r="BO5" s="34"/>
      <c r="BP5" s="34"/>
      <c r="BQ5" s="34"/>
      <c r="BR5" s="34"/>
      <c r="BS5" s="34"/>
      <c r="BT5" s="34"/>
      <c r="BU5" s="34"/>
      <c r="BV5" s="34"/>
      <c r="BW5" s="34"/>
      <c r="BX5" s="34"/>
      <c r="BY5" s="34"/>
      <c r="BZ5" s="34"/>
      <c r="CA5" s="34"/>
      <c r="CB5" s="34"/>
      <c r="CC5" s="34"/>
      <c r="CD5" s="34"/>
      <c r="CE5" s="34"/>
      <c r="CF5" s="34"/>
      <c r="CG5" s="31"/>
      <c r="CH5" s="31"/>
      <c r="CI5" s="34"/>
      <c r="CJ5" s="34"/>
      <c r="CK5" s="1015"/>
      <c r="CL5" s="34"/>
      <c r="CM5" s="35"/>
    </row>
    <row r="6" spans="2:91" ht="21.75" customHeight="1">
      <c r="B6" s="588"/>
      <c r="C6" s="587"/>
      <c r="BZ6" s="3615" t="s">
        <v>4041</v>
      </c>
      <c r="CA6" s="3615"/>
      <c r="CB6" s="3615"/>
      <c r="CC6" s="3615"/>
      <c r="CD6" s="3615"/>
      <c r="CE6" s="3615"/>
      <c r="CF6" s="3615"/>
      <c r="CG6" s="3615"/>
      <c r="CH6" s="3615"/>
      <c r="CI6" s="3615"/>
      <c r="CJ6" s="3615"/>
      <c r="CK6" s="3615"/>
      <c r="CL6" s="3615"/>
    </row>
    <row r="7" spans="2:91" ht="16.5" customHeight="1"/>
    <row r="8" spans="2:91" ht="22.5" customHeight="1">
      <c r="B8" s="36"/>
      <c r="C8" s="1014" t="s">
        <v>502</v>
      </c>
      <c r="D8" s="38"/>
      <c r="E8" s="38"/>
      <c r="F8" s="38"/>
      <c r="G8" s="38"/>
      <c r="H8" s="38"/>
      <c r="I8" s="38"/>
      <c r="J8" s="38"/>
      <c r="K8" s="38"/>
      <c r="L8" s="38"/>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7"/>
      <c r="AV8" s="37"/>
      <c r="AW8" s="37"/>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6"/>
      <c r="CH8" s="39"/>
      <c r="CI8" s="36"/>
      <c r="CJ8" s="3616"/>
      <c r="CK8" s="3616"/>
      <c r="CL8" s="38"/>
    </row>
    <row r="9" spans="2:91" ht="6.75" customHeight="1"/>
    <row r="10" spans="2:91" ht="12" customHeight="1">
      <c r="B10" s="40"/>
      <c r="C10" s="41"/>
      <c r="D10" s="41"/>
      <c r="E10" s="41"/>
      <c r="F10" s="41"/>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2"/>
      <c r="CM10" s="43"/>
    </row>
    <row r="11" spans="2:91" ht="9" customHeight="1">
      <c r="B11" s="44"/>
      <c r="C11" s="45"/>
      <c r="D11" s="46"/>
      <c r="E11" s="46"/>
      <c r="F11" s="46"/>
      <c r="G11" s="46"/>
      <c r="H11" s="46"/>
      <c r="I11" s="46"/>
      <c r="J11" s="46"/>
      <c r="K11" s="46"/>
      <c r="L11" s="46"/>
      <c r="M11" s="46"/>
      <c r="N11" s="46"/>
      <c r="O11" s="46"/>
      <c r="P11" s="46"/>
      <c r="Q11" s="46"/>
      <c r="R11" s="46"/>
      <c r="S11" s="46"/>
      <c r="T11" s="46"/>
      <c r="U11" s="46"/>
      <c r="V11" s="46"/>
      <c r="W11" s="46"/>
      <c r="X11" s="46"/>
      <c r="Y11" s="46"/>
      <c r="Z11" s="46"/>
      <c r="AA11" s="111"/>
      <c r="AB11" s="111"/>
      <c r="AC11" s="111"/>
      <c r="AD11" s="111"/>
      <c r="AE11" s="112"/>
      <c r="AF11" s="987"/>
      <c r="AG11" s="45"/>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6"/>
      <c r="CD11" s="46"/>
      <c r="CE11" s="46"/>
      <c r="CF11" s="46"/>
      <c r="CG11" s="46"/>
      <c r="CH11" s="46"/>
      <c r="CI11" s="46"/>
      <c r="CJ11" s="46"/>
      <c r="CK11" s="47"/>
      <c r="CL11" s="49"/>
      <c r="CM11" s="43"/>
    </row>
    <row r="12" spans="2:91" ht="21.75" customHeight="1">
      <c r="B12" s="44"/>
      <c r="C12" s="50"/>
      <c r="D12" s="51" t="s">
        <v>746</v>
      </c>
      <c r="E12" s="51"/>
      <c r="F12" s="51"/>
      <c r="G12" s="51"/>
      <c r="H12" s="51"/>
      <c r="I12" s="52"/>
      <c r="J12" s="52"/>
      <c r="K12" s="53"/>
      <c r="L12" s="54"/>
      <c r="M12" s="53"/>
      <c r="N12" s="24"/>
      <c r="O12" s="53"/>
      <c r="P12" s="25"/>
      <c r="Q12" s="53"/>
      <c r="R12" s="25"/>
      <c r="S12" s="53"/>
      <c r="T12" s="25"/>
      <c r="U12" s="53"/>
      <c r="V12" s="25"/>
      <c r="W12" s="25"/>
      <c r="X12" s="55"/>
      <c r="Z12" s="52"/>
      <c r="AA12" s="53"/>
      <c r="AB12" s="3575">
        <f>'CALCULS Eau potable'!J30</f>
        <v>0</v>
      </c>
      <c r="AC12" s="3575"/>
      <c r="AD12" s="3575"/>
      <c r="AE12" s="979"/>
      <c r="AF12" s="983"/>
      <c r="AG12" s="56"/>
      <c r="AH12" s="57" t="s">
        <v>747</v>
      </c>
      <c r="AI12" s="53"/>
      <c r="AJ12" s="52"/>
      <c r="AK12" s="52"/>
      <c r="AL12" s="52"/>
      <c r="AM12" s="25"/>
      <c r="AN12" s="58"/>
      <c r="AO12" s="52"/>
      <c r="AP12" s="52"/>
      <c r="AQ12" s="52"/>
      <c r="AR12" s="59"/>
      <c r="AS12" s="59"/>
      <c r="AT12" s="59"/>
      <c r="AU12" s="2875"/>
      <c r="AV12" s="2875"/>
      <c r="AW12" s="2875"/>
      <c r="AX12" s="52"/>
      <c r="AY12" s="52"/>
      <c r="AZ12" s="52"/>
      <c r="BA12" s="52"/>
      <c r="BB12" s="52"/>
      <c r="BC12" s="53"/>
      <c r="BD12" s="54"/>
      <c r="BE12" s="53"/>
      <c r="BF12" s="24"/>
      <c r="BG12" s="53"/>
      <c r="BH12" s="25"/>
      <c r="BI12" s="53"/>
      <c r="BJ12" s="25"/>
      <c r="BK12" s="53"/>
      <c r="BL12" s="25"/>
      <c r="BM12" s="53"/>
      <c r="BN12" s="25"/>
      <c r="BO12" s="25"/>
      <c r="BP12" s="58"/>
      <c r="BQ12" s="60"/>
      <c r="BR12" s="60"/>
      <c r="BS12" s="52"/>
      <c r="BT12" s="53"/>
      <c r="BU12" s="54"/>
      <c r="BV12" s="53"/>
      <c r="BW12" s="24"/>
      <c r="BX12" s="53"/>
      <c r="BY12" s="25"/>
      <c r="BZ12" s="53"/>
      <c r="CA12" s="25"/>
      <c r="CB12" s="53"/>
      <c r="CC12" s="52"/>
      <c r="CD12" s="52"/>
      <c r="CE12" s="52"/>
      <c r="CF12" s="25"/>
      <c r="CG12" s="58"/>
      <c r="CH12" s="52"/>
      <c r="CI12" s="52"/>
      <c r="CJ12" s="52"/>
      <c r="CK12" s="61"/>
      <c r="CL12" s="49"/>
      <c r="CM12" s="43"/>
    </row>
    <row r="13" spans="2:91" ht="18" customHeight="1">
      <c r="B13" s="44"/>
      <c r="C13" s="50"/>
      <c r="D13" s="3685" t="s">
        <v>748</v>
      </c>
      <c r="E13" s="2445" t="str">
        <f>'CALCULS Eau potable'!D21</f>
        <v>Approvisionnement&amp;Traitement / Linéaire</v>
      </c>
      <c r="F13" s="2442"/>
      <c r="G13" s="2442"/>
      <c r="H13" s="2442"/>
      <c r="I13" s="2443"/>
      <c r="J13" s="52"/>
      <c r="K13" s="53"/>
      <c r="L13" s="54"/>
      <c r="M13" s="53"/>
      <c r="N13" s="24"/>
      <c r="O13" s="53"/>
      <c r="P13" s="25"/>
      <c r="Q13" s="53"/>
      <c r="R13" s="25"/>
      <c r="S13" s="53"/>
      <c r="T13" s="25"/>
      <c r="U13" s="53"/>
      <c r="V13" s="25"/>
      <c r="W13" s="25"/>
      <c r="X13" s="58"/>
      <c r="Y13" s="60"/>
      <c r="Z13" s="52"/>
      <c r="AA13" s="53"/>
      <c r="AB13" s="54"/>
      <c r="AC13" s="53"/>
      <c r="AD13" s="24"/>
      <c r="AE13" s="980"/>
      <c r="AF13" s="983"/>
      <c r="AG13" s="56"/>
      <c r="AH13" s="978"/>
      <c r="AI13" s="1019" t="s">
        <v>749</v>
      </c>
      <c r="AJ13" s="1003"/>
      <c r="AK13" s="1003"/>
      <c r="AL13" s="1003"/>
      <c r="AM13" s="1004"/>
      <c r="AN13" s="1005"/>
      <c r="AO13" s="1003"/>
      <c r="AP13" s="1003"/>
      <c r="AQ13" s="1003"/>
      <c r="AR13" s="1006"/>
      <c r="AS13" s="1006"/>
      <c r="AT13" s="1006"/>
      <c r="AU13" s="1007"/>
      <c r="AV13" s="1007"/>
      <c r="AW13" s="1007"/>
      <c r="AX13" s="1003"/>
      <c r="AY13" s="1003"/>
      <c r="AZ13" s="1003"/>
      <c r="BA13" s="1003"/>
      <c r="BB13" s="1003"/>
      <c r="BC13" s="1008"/>
      <c r="BD13" s="1009"/>
      <c r="BE13" s="2245" t="str">
        <f>IF(('CALCULS Eau potable'!D33='MENU DÉROULANT'!$C$31),"(Aucun actif)","")</f>
        <v/>
      </c>
      <c r="BF13" s="1010"/>
      <c r="BG13" s="53"/>
      <c r="BH13" s="1019" t="s">
        <v>750</v>
      </c>
      <c r="BI13" s="1008"/>
      <c r="BJ13" s="1004"/>
      <c r="BK13" s="1008"/>
      <c r="BL13" s="1004"/>
      <c r="BM13" s="1008"/>
      <c r="BN13" s="1004"/>
      <c r="BO13" s="1004"/>
      <c r="BP13" s="1005"/>
      <c r="BQ13" s="1011"/>
      <c r="BR13" s="1011"/>
      <c r="BS13" s="1003"/>
      <c r="BT13" s="1008"/>
      <c r="BU13" s="1009"/>
      <c r="BV13" s="1008"/>
      <c r="BW13" s="1012"/>
      <c r="BX13" s="1008"/>
      <c r="BY13" s="1004"/>
      <c r="BZ13" s="1008"/>
      <c r="CA13" s="1004"/>
      <c r="CB13" s="1008"/>
      <c r="CC13" s="1003"/>
      <c r="CD13" s="1003"/>
      <c r="CE13" s="1003"/>
      <c r="CF13" s="1004"/>
      <c r="CG13" s="1005"/>
      <c r="CH13" s="1003"/>
      <c r="CI13" s="2245" t="str">
        <f>IF(('CALCULS Eau potable'!D41='MENU DÉROULANT'!$F$31),"(Aucun actif)","")</f>
        <v/>
      </c>
      <c r="CJ13" s="1013"/>
      <c r="CK13" s="61"/>
      <c r="CL13" s="49"/>
      <c r="CM13" s="43"/>
    </row>
    <row r="14" spans="2:91" ht="11.25" customHeight="1">
      <c r="B14" s="44"/>
      <c r="C14" s="50"/>
      <c r="D14" s="3685"/>
      <c r="E14" s="3683" t="str">
        <f>'CALCULS Eau potable'!F21</f>
        <v>Aucun</v>
      </c>
      <c r="F14" s="3683"/>
      <c r="G14" s="3683"/>
      <c r="H14" s="3683"/>
      <c r="I14" s="3683"/>
      <c r="J14" s="52"/>
      <c r="K14" s="53"/>
      <c r="L14" s="54"/>
      <c r="M14" s="53"/>
      <c r="N14" s="24"/>
      <c r="O14" s="53"/>
      <c r="P14" s="25"/>
      <c r="Q14" s="53"/>
      <c r="R14" s="25"/>
      <c r="S14" s="53"/>
      <c r="T14" s="25"/>
      <c r="U14" s="53"/>
      <c r="V14" s="25"/>
      <c r="W14" s="25"/>
      <c r="X14" s="58"/>
      <c r="Y14" s="60"/>
      <c r="Z14" s="52"/>
      <c r="AA14" s="53"/>
      <c r="AB14" s="54"/>
      <c r="AC14" s="53"/>
      <c r="AD14" s="24"/>
      <c r="AE14" s="979"/>
      <c r="AF14" s="983"/>
      <c r="AG14" s="56"/>
      <c r="AH14" s="25"/>
      <c r="AI14" s="988"/>
      <c r="AJ14" s="989"/>
      <c r="AK14" s="989"/>
      <c r="AL14" s="989"/>
      <c r="AM14" s="990"/>
      <c r="AN14" s="991"/>
      <c r="AO14" s="989"/>
      <c r="AP14" s="989"/>
      <c r="AQ14" s="989"/>
      <c r="AR14" s="46"/>
      <c r="AS14" s="46"/>
      <c r="AT14" s="46"/>
      <c r="AU14" s="992"/>
      <c r="AV14" s="992"/>
      <c r="AW14" s="992"/>
      <c r="AX14" s="989"/>
      <c r="AY14" s="989"/>
      <c r="AZ14" s="989"/>
      <c r="BA14" s="989"/>
      <c r="BB14" s="989"/>
      <c r="BC14" s="993"/>
      <c r="BD14" s="994"/>
      <c r="BE14" s="993"/>
      <c r="BF14" s="995"/>
      <c r="BG14" s="53"/>
      <c r="BH14" s="591"/>
      <c r="BI14" s="53"/>
      <c r="BJ14" s="25"/>
      <c r="BK14" s="53"/>
      <c r="BL14" s="25"/>
      <c r="BM14" s="53"/>
      <c r="BN14" s="25"/>
      <c r="BO14" s="25"/>
      <c r="BP14" s="58"/>
      <c r="BQ14" s="60"/>
      <c r="BR14" s="60"/>
      <c r="BS14" s="52"/>
      <c r="BT14" s="53"/>
      <c r="BU14" s="54"/>
      <c r="BV14" s="53"/>
      <c r="BW14" s="24"/>
      <c r="BX14" s="53"/>
      <c r="BY14" s="25"/>
      <c r="BZ14" s="53"/>
      <c r="CA14" s="25"/>
      <c r="CB14" s="53"/>
      <c r="CC14" s="52"/>
      <c r="CD14" s="52"/>
      <c r="CE14" s="52"/>
      <c r="CF14" s="25"/>
      <c r="CG14" s="58"/>
      <c r="CH14" s="52"/>
      <c r="CI14" s="52"/>
      <c r="CJ14" s="442"/>
      <c r="CK14" s="61"/>
      <c r="CL14" s="49"/>
      <c r="CM14" s="43"/>
    </row>
    <row r="15" spans="2:91" s="72" customFormat="1" ht="15" customHeight="1">
      <c r="B15" s="63"/>
      <c r="C15" s="64"/>
      <c r="D15" s="3686" t="s">
        <v>748</v>
      </c>
      <c r="E15" s="2445" t="str">
        <f>'CALCULS Eau potable'!D22</f>
        <v>Approvisionnement&amp;Traitement / Ponctuel</v>
      </c>
      <c r="F15" s="2442"/>
      <c r="G15" s="2442"/>
      <c r="H15" s="2442"/>
      <c r="I15" s="2444"/>
      <c r="J15" s="215"/>
      <c r="K15" s="215"/>
      <c r="L15" s="215"/>
      <c r="M15" s="215"/>
      <c r="N15" s="215"/>
      <c r="O15" s="215"/>
      <c r="P15" s="215"/>
      <c r="Q15" s="215"/>
      <c r="R15" s="215"/>
      <c r="S15" s="215"/>
      <c r="T15" s="215"/>
      <c r="U15" s="215"/>
      <c r="V15" s="215"/>
      <c r="W15" s="215"/>
      <c r="X15" s="215"/>
      <c r="Y15" s="215"/>
      <c r="Z15" s="66"/>
      <c r="AA15" s="66"/>
      <c r="AB15" s="66"/>
      <c r="AC15" s="66"/>
      <c r="AD15" s="2875"/>
      <c r="AE15" s="981"/>
      <c r="AF15" s="984"/>
      <c r="AG15" s="68"/>
      <c r="AH15" s="66"/>
      <c r="AI15" s="1031" t="s">
        <v>34</v>
      </c>
      <c r="AJ15" s="1030"/>
      <c r="AK15" s="66"/>
      <c r="AL15" s="66"/>
      <c r="AM15" s="66"/>
      <c r="AN15" s="2274" t="str">
        <f>'CALCULS Eau potable'!E38</f>
        <v/>
      </c>
      <c r="AO15" s="66"/>
      <c r="AP15" s="66"/>
      <c r="AQ15" s="66"/>
      <c r="AR15" s="59"/>
      <c r="AS15" s="59"/>
      <c r="AT15" s="59"/>
      <c r="AU15" s="215"/>
      <c r="AV15" s="215"/>
      <c r="AW15" s="215"/>
      <c r="AX15" s="215"/>
      <c r="AY15" s="215"/>
      <c r="AZ15" s="215"/>
      <c r="BA15" s="215"/>
      <c r="BB15" s="215"/>
      <c r="BC15" s="215"/>
      <c r="BD15" s="215"/>
      <c r="BE15" s="215"/>
      <c r="BF15" s="996"/>
      <c r="BH15" s="1031" t="s">
        <v>34</v>
      </c>
      <c r="BI15" s="215"/>
      <c r="BJ15" s="215"/>
      <c r="BK15" s="215"/>
      <c r="BL15" s="215"/>
      <c r="BM15" s="2274"/>
      <c r="BN15" s="2274" t="str">
        <f>'CALCULS Eau potable'!E46</f>
        <v/>
      </c>
      <c r="BO15" s="2274"/>
      <c r="BP15" s="65"/>
      <c r="BQ15" s="66"/>
      <c r="BR15" s="66"/>
      <c r="BS15" s="66"/>
      <c r="BT15" s="66"/>
      <c r="BU15" s="66"/>
      <c r="BV15" s="66"/>
      <c r="BW15" s="66"/>
      <c r="BX15" s="66"/>
      <c r="BY15" s="66"/>
      <c r="BZ15" s="66"/>
      <c r="CA15" s="66"/>
      <c r="CB15" s="66"/>
      <c r="CC15" s="66"/>
      <c r="CD15" s="66"/>
      <c r="CE15" s="66"/>
      <c r="CF15" s="66"/>
      <c r="CG15" s="66"/>
      <c r="CH15" s="66"/>
      <c r="CI15" s="66"/>
      <c r="CJ15" s="67"/>
      <c r="CK15" s="69"/>
      <c r="CL15" s="70"/>
      <c r="CM15" s="71"/>
    </row>
    <row r="16" spans="2:91" s="72" customFormat="1" ht="11.25" customHeight="1">
      <c r="B16" s="63"/>
      <c r="C16" s="64"/>
      <c r="D16" s="3686"/>
      <c r="E16" s="3675" t="str">
        <f>'CALCULS Eau potable'!F22</f>
        <v>Aucun</v>
      </c>
      <c r="F16" s="3675"/>
      <c r="G16" s="3675"/>
      <c r="H16" s="3675"/>
      <c r="I16" s="3675"/>
      <c r="J16" s="215"/>
      <c r="K16" s="215"/>
      <c r="L16" s="215"/>
      <c r="M16" s="215"/>
      <c r="N16" s="215"/>
      <c r="O16" s="215"/>
      <c r="P16" s="215"/>
      <c r="Q16" s="215"/>
      <c r="R16" s="215"/>
      <c r="S16" s="215"/>
      <c r="T16" s="215"/>
      <c r="U16" s="215"/>
      <c r="V16" s="215"/>
      <c r="W16" s="215"/>
      <c r="X16" s="215"/>
      <c r="Y16" s="215"/>
      <c r="Z16" s="66"/>
      <c r="AA16" s="66"/>
      <c r="AB16" s="66"/>
      <c r="AC16" s="66"/>
      <c r="AD16" s="66"/>
      <c r="AE16" s="981"/>
      <c r="AF16" s="984"/>
      <c r="AG16" s="68"/>
      <c r="AH16" s="66"/>
      <c r="AI16" s="68"/>
      <c r="AJ16" s="3674">
        <f>'CALCULS Eau potable'!L53</f>
        <v>0</v>
      </c>
      <c r="AK16" s="3674"/>
      <c r="AL16" s="3674"/>
      <c r="AM16" s="66"/>
      <c r="AN16" s="66"/>
      <c r="AO16" s="66"/>
      <c r="AP16" s="66"/>
      <c r="AQ16" s="66"/>
      <c r="AR16" s="59"/>
      <c r="AS16" s="59"/>
      <c r="AT16" s="59"/>
      <c r="AU16" s="65"/>
      <c r="AV16" s="65"/>
      <c r="AW16" s="65"/>
      <c r="AX16" s="65"/>
      <c r="AY16" s="65"/>
      <c r="AZ16" s="65"/>
      <c r="BA16" s="65"/>
      <c r="BB16" s="65"/>
      <c r="BC16" s="65"/>
      <c r="BD16" s="65"/>
      <c r="BE16" s="65"/>
      <c r="BF16" s="997"/>
      <c r="BH16" s="1000"/>
      <c r="BI16" s="3674">
        <f>'CALCULS Eau potable'!L55</f>
        <v>0</v>
      </c>
      <c r="BJ16" s="3674"/>
      <c r="BK16" s="3674"/>
      <c r="BL16" s="65"/>
      <c r="BM16" s="65"/>
      <c r="BN16" s="65"/>
      <c r="BO16" s="59"/>
      <c r="BP16" s="65"/>
      <c r="BQ16" s="66"/>
      <c r="BR16" s="66"/>
      <c r="BS16" s="66"/>
      <c r="BT16" s="66"/>
      <c r="BU16" s="66"/>
      <c r="BV16" s="66"/>
      <c r="BW16" s="66"/>
      <c r="BX16" s="66"/>
      <c r="BY16" s="66"/>
      <c r="BZ16" s="66"/>
      <c r="CA16" s="66"/>
      <c r="CB16" s="66"/>
      <c r="CC16" s="66"/>
      <c r="CD16" s="66"/>
      <c r="CE16" s="66"/>
      <c r="CF16" s="66"/>
      <c r="CG16" s="66"/>
      <c r="CH16" s="66"/>
      <c r="CI16" s="66"/>
      <c r="CJ16" s="67"/>
      <c r="CK16" s="69"/>
      <c r="CL16" s="70"/>
      <c r="CM16" s="71"/>
    </row>
    <row r="17" spans="2:91" s="72" customFormat="1" ht="17.25" customHeight="1">
      <c r="B17" s="63"/>
      <c r="C17" s="64"/>
      <c r="D17" s="3687" t="s">
        <v>748</v>
      </c>
      <c r="E17" s="2445" t="str">
        <f>'CALCULS Eau potable'!D24</f>
        <v>Distribution / Linéaire</v>
      </c>
      <c r="F17" s="2442"/>
      <c r="G17" s="2442"/>
      <c r="H17" s="2442"/>
      <c r="I17" s="2444"/>
      <c r="J17" s="215"/>
      <c r="K17" s="215"/>
      <c r="L17" s="215"/>
      <c r="M17" s="215"/>
      <c r="N17" s="215"/>
      <c r="O17" s="215"/>
      <c r="P17" s="215"/>
      <c r="Q17" s="215"/>
      <c r="R17" s="215"/>
      <c r="S17" s="215"/>
      <c r="T17" s="215"/>
      <c r="U17" s="215"/>
      <c r="V17" s="215"/>
      <c r="W17" s="215"/>
      <c r="X17" s="215"/>
      <c r="Y17" s="215"/>
      <c r="Z17" s="78"/>
      <c r="AA17" s="76"/>
      <c r="AB17" s="73"/>
      <c r="AC17" s="76"/>
      <c r="AD17" s="81"/>
      <c r="AE17" s="982"/>
      <c r="AF17" s="985"/>
      <c r="AG17" s="80"/>
      <c r="AH17" s="76"/>
      <c r="AI17" s="80"/>
      <c r="AJ17" s="3674"/>
      <c r="AK17" s="3674"/>
      <c r="AL17" s="3674"/>
      <c r="AM17" s="1495"/>
      <c r="AN17" s="1495"/>
      <c r="AO17" s="1495"/>
      <c r="AP17" s="1495"/>
      <c r="AQ17" s="77"/>
      <c r="AR17" s="82"/>
      <c r="AS17" s="75"/>
      <c r="AT17" s="75"/>
      <c r="AU17" s="82"/>
      <c r="AV17" s="82"/>
      <c r="AW17" s="82"/>
      <c r="AX17" s="73"/>
      <c r="AY17" s="73"/>
      <c r="AZ17" s="73"/>
      <c r="BA17" s="74"/>
      <c r="BB17" s="74"/>
      <c r="BC17" s="75"/>
      <c r="BD17" s="82"/>
      <c r="BE17" s="73"/>
      <c r="BF17" s="79"/>
      <c r="BG17" s="999"/>
      <c r="BH17" s="1001"/>
      <c r="BI17" s="3674"/>
      <c r="BJ17" s="3674"/>
      <c r="BK17" s="3674"/>
      <c r="BL17" s="999"/>
      <c r="BM17" s="83"/>
      <c r="BN17" s="82"/>
      <c r="BO17" s="75"/>
      <c r="BP17" s="77"/>
      <c r="BQ17" s="78"/>
      <c r="BR17" s="78"/>
      <c r="BS17" s="78"/>
      <c r="BT17" s="82"/>
      <c r="BU17" s="82"/>
      <c r="BV17" s="73"/>
      <c r="BW17" s="81"/>
      <c r="BX17" s="76"/>
      <c r="BY17" s="78"/>
      <c r="BZ17" s="82"/>
      <c r="CA17" s="76"/>
      <c r="CB17" s="77"/>
      <c r="CC17" s="76"/>
      <c r="CD17" s="73"/>
      <c r="CE17" s="3612"/>
      <c r="CF17" s="3612"/>
      <c r="CG17" s="3612"/>
      <c r="CH17" s="3612"/>
      <c r="CI17" s="3612"/>
      <c r="CJ17" s="1002"/>
      <c r="CK17" s="84"/>
      <c r="CL17" s="70"/>
      <c r="CM17" s="71"/>
    </row>
    <row r="18" spans="2:91" s="72" customFormat="1" ht="11.25" customHeight="1">
      <c r="B18" s="63"/>
      <c r="C18" s="64"/>
      <c r="D18" s="3687"/>
      <c r="E18" s="3683" t="str">
        <f>'CALCULS Eau potable'!F24</f>
        <v>Aucun</v>
      </c>
      <c r="F18" s="3683"/>
      <c r="G18" s="3683"/>
      <c r="H18" s="3683"/>
      <c r="I18" s="3683"/>
      <c r="J18" s="215"/>
      <c r="K18" s="215"/>
      <c r="L18" s="215"/>
      <c r="M18" s="215"/>
      <c r="N18" s="215"/>
      <c r="O18" s="215"/>
      <c r="P18" s="215"/>
      <c r="Q18" s="215"/>
      <c r="R18" s="215"/>
      <c r="S18" s="215"/>
      <c r="T18" s="215"/>
      <c r="U18" s="215"/>
      <c r="V18" s="215"/>
      <c r="W18" s="215"/>
      <c r="X18" s="215"/>
      <c r="Y18" s="215"/>
      <c r="Z18" s="75"/>
      <c r="AA18" s="75"/>
      <c r="AB18" s="75"/>
      <c r="AC18" s="75"/>
      <c r="AD18" s="75"/>
      <c r="AE18" s="169"/>
      <c r="AF18" s="986"/>
      <c r="AG18" s="64"/>
      <c r="AH18" s="75"/>
      <c r="AI18" s="64"/>
      <c r="AJ18" s="75"/>
      <c r="AK18" s="75"/>
      <c r="AL18" s="75"/>
      <c r="AM18" s="75"/>
      <c r="AN18" s="75"/>
      <c r="AO18" s="75"/>
      <c r="AP18" s="75"/>
      <c r="AQ18" s="75"/>
      <c r="AR18" s="75"/>
      <c r="AS18" s="75"/>
      <c r="AT18" s="75"/>
      <c r="AU18" s="86"/>
      <c r="AV18" s="86"/>
      <c r="AW18" s="86"/>
      <c r="AX18" s="75"/>
      <c r="AY18" s="75"/>
      <c r="AZ18" s="75"/>
      <c r="BA18" s="75"/>
      <c r="BB18" s="75"/>
      <c r="BC18" s="75"/>
      <c r="BD18" s="75"/>
      <c r="BE18" s="75"/>
      <c r="BF18" s="69"/>
      <c r="BG18" s="75"/>
      <c r="BH18" s="64"/>
      <c r="BI18" s="75"/>
      <c r="BJ18" s="75"/>
      <c r="BK18" s="75"/>
      <c r="BL18" s="75"/>
      <c r="BM18" s="75"/>
      <c r="BN18" s="75"/>
      <c r="BO18" s="75"/>
      <c r="BP18" s="75"/>
      <c r="BQ18" s="75"/>
      <c r="BR18" s="75"/>
      <c r="BS18" s="75"/>
      <c r="BT18" s="75"/>
      <c r="BU18" s="75"/>
      <c r="BV18" s="75"/>
      <c r="BW18" s="75"/>
      <c r="BX18" s="75"/>
      <c r="BY18" s="75"/>
      <c r="BZ18" s="75"/>
      <c r="CA18" s="75"/>
      <c r="CB18" s="75"/>
      <c r="CC18" s="75"/>
      <c r="CD18" s="75"/>
      <c r="CE18" s="75"/>
      <c r="CF18" s="75"/>
      <c r="CG18" s="75"/>
      <c r="CH18" s="75"/>
      <c r="CI18" s="75"/>
      <c r="CJ18" s="69"/>
      <c r="CK18" s="69"/>
      <c r="CL18" s="70"/>
      <c r="CM18" s="71"/>
    </row>
    <row r="19" spans="2:91" s="72" customFormat="1" ht="15" customHeight="1">
      <c r="B19" s="63"/>
      <c r="C19" s="64"/>
      <c r="D19" s="3688" t="s">
        <v>748</v>
      </c>
      <c r="E19" s="2445" t="str">
        <f>'CALCULS Eau potable'!D25</f>
        <v>Distribution / Ponctuel</v>
      </c>
      <c r="F19" s="2444"/>
      <c r="G19" s="2444"/>
      <c r="H19" s="2444"/>
      <c r="I19" s="2444"/>
      <c r="J19" s="215"/>
      <c r="K19" s="215"/>
      <c r="L19" s="215"/>
      <c r="M19" s="215"/>
      <c r="N19" s="215"/>
      <c r="O19" s="215"/>
      <c r="P19" s="215"/>
      <c r="Q19" s="215"/>
      <c r="R19" s="215"/>
      <c r="S19" s="215"/>
      <c r="T19" s="215"/>
      <c r="U19" s="215"/>
      <c r="V19" s="215"/>
      <c r="W19" s="215"/>
      <c r="X19" s="215"/>
      <c r="Y19" s="215"/>
      <c r="Z19" s="75"/>
      <c r="AA19" s="75"/>
      <c r="AB19" s="75"/>
      <c r="AC19" s="75"/>
      <c r="AD19" s="75"/>
      <c r="AE19" s="981"/>
      <c r="AF19" s="984"/>
      <c r="AH19" s="75"/>
      <c r="AI19" s="64"/>
      <c r="BF19" s="69"/>
      <c r="BG19" s="75"/>
      <c r="BH19" s="64"/>
      <c r="CJ19" s="69"/>
      <c r="CK19" s="69"/>
      <c r="CL19" s="70"/>
      <c r="CM19" s="71"/>
    </row>
    <row r="20" spans="2:91" s="72" customFormat="1" ht="11.25" customHeight="1">
      <c r="B20" s="63"/>
      <c r="C20" s="64"/>
      <c r="D20" s="3688"/>
      <c r="E20" s="3675" t="str">
        <f>'CALCULS Eau potable'!F25</f>
        <v>Aucun</v>
      </c>
      <c r="F20" s="3675"/>
      <c r="G20" s="3675"/>
      <c r="H20" s="3675"/>
      <c r="I20" s="3675"/>
      <c r="J20" s="215"/>
      <c r="K20" s="215"/>
      <c r="L20" s="215"/>
      <c r="M20" s="215"/>
      <c r="N20" s="215"/>
      <c r="O20" s="215"/>
      <c r="P20" s="215"/>
      <c r="Q20" s="215"/>
      <c r="R20" s="215"/>
      <c r="S20" s="215"/>
      <c r="T20" s="215"/>
      <c r="U20" s="215"/>
      <c r="V20" s="215"/>
      <c r="W20" s="215"/>
      <c r="X20" s="215"/>
      <c r="Y20" s="215"/>
      <c r="Z20" s="75"/>
      <c r="AA20" s="75"/>
      <c r="AB20" s="75"/>
      <c r="AC20" s="75"/>
      <c r="AD20" s="75"/>
      <c r="AE20" s="981"/>
      <c r="AF20" s="984"/>
      <c r="AG20" s="64"/>
      <c r="AH20" s="75"/>
      <c r="AI20" s="64"/>
      <c r="AJ20" s="75"/>
      <c r="AK20" s="75"/>
      <c r="AL20" s="75"/>
      <c r="AM20" s="75"/>
      <c r="AO20" s="2274"/>
      <c r="AP20" s="2275"/>
      <c r="AQ20" s="2275"/>
      <c r="AR20" s="2275"/>
      <c r="AS20" s="2275"/>
      <c r="AT20" s="2275"/>
      <c r="AU20" s="2275"/>
      <c r="AV20" s="2275"/>
      <c r="AW20" s="2275"/>
      <c r="AX20" s="2275"/>
      <c r="AY20" s="2275"/>
      <c r="AZ20" s="2275"/>
      <c r="BA20" s="2275"/>
      <c r="BB20" s="2275"/>
      <c r="BC20" s="2275"/>
      <c r="BD20" s="2275"/>
      <c r="BE20" s="2275"/>
      <c r="BF20" s="69"/>
      <c r="BG20" s="75"/>
      <c r="BH20" s="64"/>
      <c r="BI20" s="75"/>
      <c r="BJ20" s="75"/>
      <c r="BK20" s="75"/>
      <c r="BL20" s="75"/>
      <c r="BM20" s="75"/>
      <c r="BN20" s="75"/>
      <c r="BO20" s="2274"/>
      <c r="BP20" s="75"/>
      <c r="BQ20" s="75"/>
      <c r="BR20" s="75"/>
      <c r="BS20" s="75"/>
      <c r="BT20" s="75"/>
      <c r="BU20" s="75"/>
      <c r="BV20" s="75"/>
      <c r="BW20" s="75"/>
      <c r="BX20" s="75"/>
      <c r="BY20" s="75"/>
      <c r="BZ20" s="75"/>
      <c r="CA20" s="75"/>
      <c r="CB20" s="75"/>
      <c r="CC20" s="75"/>
      <c r="CD20" s="75"/>
      <c r="CE20" s="75"/>
      <c r="CF20" s="75"/>
      <c r="CG20" s="75"/>
      <c r="CH20" s="75"/>
      <c r="CI20" s="75"/>
      <c r="CJ20" s="69"/>
      <c r="CK20" s="69"/>
      <c r="CL20" s="70"/>
      <c r="CM20" s="71"/>
    </row>
    <row r="21" spans="2:91" s="72" customFormat="1" ht="15" customHeight="1">
      <c r="B21" s="63"/>
      <c r="C21" s="64"/>
      <c r="D21" s="3689" t="s">
        <v>748</v>
      </c>
      <c r="E21" s="2445" t="str">
        <f>'CALCULS Eau potable'!D26</f>
        <v>Distribution / Autres actifs</v>
      </c>
      <c r="F21" s="2444"/>
      <c r="G21" s="2444"/>
      <c r="H21" s="2444"/>
      <c r="I21" s="2444"/>
      <c r="J21" s="215"/>
      <c r="K21" s="215"/>
      <c r="L21" s="215"/>
      <c r="M21" s="215"/>
      <c r="N21" s="215"/>
      <c r="O21" s="215"/>
      <c r="P21" s="215"/>
      <c r="Q21" s="215"/>
      <c r="R21" s="215"/>
      <c r="S21" s="215"/>
      <c r="T21" s="215"/>
      <c r="U21" s="215"/>
      <c r="V21" s="215"/>
      <c r="W21" s="215"/>
      <c r="X21" s="215"/>
      <c r="Y21" s="215"/>
      <c r="Z21" s="75"/>
      <c r="AA21" s="75"/>
      <c r="AB21" s="75"/>
      <c r="AC21" s="75"/>
      <c r="AD21" s="75"/>
      <c r="AE21" s="981"/>
      <c r="AF21" s="984"/>
      <c r="AG21" s="64"/>
      <c r="AH21" s="75"/>
      <c r="AI21" s="1031"/>
      <c r="AJ21" s="75"/>
      <c r="AK21" s="75"/>
      <c r="AL21" s="75"/>
      <c r="AM21" s="75"/>
      <c r="AO21" s="2274"/>
      <c r="AP21" s="2275"/>
      <c r="AQ21" s="2275"/>
      <c r="AR21" s="2275"/>
      <c r="AS21" s="2275"/>
      <c r="AT21" s="2275"/>
      <c r="AU21" s="2275"/>
      <c r="AV21" s="2275"/>
      <c r="AW21" s="2275"/>
      <c r="AX21" s="2275"/>
      <c r="AY21" s="2275"/>
      <c r="AZ21" s="2275"/>
      <c r="BA21" s="2275"/>
      <c r="BB21" s="2275"/>
      <c r="BC21" s="2275"/>
      <c r="BD21" s="2275"/>
      <c r="BE21" s="2275"/>
      <c r="BF21" s="996"/>
      <c r="BH21" s="1031"/>
      <c r="BI21" s="75"/>
      <c r="BJ21" s="75"/>
      <c r="BK21" s="75"/>
      <c r="BL21" s="75"/>
      <c r="BM21" s="75"/>
      <c r="BN21" s="75"/>
      <c r="BO21" s="2274"/>
      <c r="BP21" s="75"/>
      <c r="BQ21" s="75"/>
      <c r="BR21" s="75"/>
      <c r="BS21" s="75"/>
      <c r="BT21" s="75"/>
      <c r="BU21" s="75"/>
      <c r="BV21" s="75"/>
      <c r="BW21" s="75"/>
      <c r="BX21" s="75"/>
      <c r="BY21" s="75"/>
      <c r="BZ21" s="75"/>
      <c r="CA21" s="75"/>
      <c r="CB21" s="75"/>
      <c r="CC21" s="75"/>
      <c r="CD21" s="75"/>
      <c r="CE21" s="75"/>
      <c r="CF21" s="75"/>
      <c r="CG21" s="75"/>
      <c r="CH21" s="75"/>
      <c r="CI21" s="75"/>
      <c r="CJ21" s="69"/>
      <c r="CK21" s="69"/>
      <c r="CL21" s="70"/>
      <c r="CM21" s="71"/>
    </row>
    <row r="22" spans="2:91" s="72" customFormat="1" ht="11.25" customHeight="1">
      <c r="B22" s="63"/>
      <c r="C22" s="64"/>
      <c r="D22" s="3689"/>
      <c r="E22" s="3675" t="str">
        <f>'CALCULS Eau potable'!F26</f>
        <v>Aucun</v>
      </c>
      <c r="F22" s="3675"/>
      <c r="G22" s="3675"/>
      <c r="H22" s="3675"/>
      <c r="I22" s="3675"/>
      <c r="J22" s="215"/>
      <c r="K22" s="215"/>
      <c r="L22" s="215"/>
      <c r="M22" s="215"/>
      <c r="N22" s="215"/>
      <c r="O22" s="215"/>
      <c r="P22" s="215"/>
      <c r="Q22" s="215"/>
      <c r="R22" s="215"/>
      <c r="S22" s="215"/>
      <c r="T22" s="215"/>
      <c r="U22" s="215"/>
      <c r="V22" s="215"/>
      <c r="W22" s="215"/>
      <c r="X22" s="215"/>
      <c r="Y22" s="215"/>
      <c r="Z22" s="75"/>
      <c r="AA22" s="75"/>
      <c r="AB22" s="75"/>
      <c r="AC22" s="75"/>
      <c r="AD22" s="75"/>
      <c r="AE22" s="981"/>
      <c r="AF22" s="984"/>
      <c r="AG22" s="64"/>
      <c r="AH22" s="75"/>
      <c r="AI22" s="1031"/>
      <c r="AJ22" s="75"/>
      <c r="AK22" s="75"/>
      <c r="AL22" s="75"/>
      <c r="AM22" s="75"/>
      <c r="AO22" s="2274"/>
      <c r="AP22" s="2275"/>
      <c r="AQ22" s="2275"/>
      <c r="AR22" s="2275"/>
      <c r="AS22" s="2275"/>
      <c r="AT22" s="2275"/>
      <c r="AU22" s="2275"/>
      <c r="AV22" s="2275"/>
      <c r="AW22" s="2275"/>
      <c r="AX22" s="2275"/>
      <c r="AY22" s="2275"/>
      <c r="AZ22" s="2275"/>
      <c r="BA22" s="2275"/>
      <c r="BB22" s="2275"/>
      <c r="BC22" s="2275"/>
      <c r="BD22" s="2275"/>
      <c r="BE22" s="2275"/>
      <c r="BF22" s="996"/>
      <c r="BH22" s="1031"/>
      <c r="BI22" s="75"/>
      <c r="BJ22" s="75"/>
      <c r="BK22" s="75"/>
      <c r="BL22" s="75"/>
      <c r="BM22" s="75"/>
      <c r="BN22" s="75"/>
      <c r="BO22" s="2274"/>
      <c r="BP22" s="75"/>
      <c r="BQ22" s="75"/>
      <c r="BR22" s="75"/>
      <c r="BS22" s="75"/>
      <c r="BT22" s="75"/>
      <c r="BU22" s="75"/>
      <c r="BV22" s="75"/>
      <c r="BW22" s="75"/>
      <c r="BX22" s="75"/>
      <c r="BY22" s="75"/>
      <c r="BZ22" s="75"/>
      <c r="CA22" s="75"/>
      <c r="CB22" s="75"/>
      <c r="CC22" s="75"/>
      <c r="CD22" s="75"/>
      <c r="CE22" s="75"/>
      <c r="CF22" s="75"/>
      <c r="CG22" s="75"/>
      <c r="CH22" s="75"/>
      <c r="CI22" s="75"/>
      <c r="CJ22" s="69"/>
      <c r="CK22" s="69"/>
      <c r="CL22" s="70"/>
      <c r="CM22" s="71"/>
    </row>
    <row r="23" spans="2:91" s="72" customFormat="1" ht="15" customHeight="1">
      <c r="B23" s="63"/>
      <c r="C23" s="64"/>
      <c r="D23" s="3690" t="s">
        <v>748</v>
      </c>
      <c r="E23" s="2430" t="str">
        <f>'CALCULS Eau potable'!D23</f>
        <v>Approvisionnement&amp;Traitement / Autres actifs</v>
      </c>
      <c r="F23" s="215"/>
      <c r="G23" s="215"/>
      <c r="H23" s="215"/>
      <c r="I23" s="215"/>
      <c r="J23" s="215"/>
      <c r="K23" s="215"/>
      <c r="L23" s="215"/>
      <c r="M23" s="215"/>
      <c r="N23" s="215"/>
      <c r="O23" s="215"/>
      <c r="P23" s="215"/>
      <c r="Q23" s="215"/>
      <c r="R23" s="215"/>
      <c r="S23" s="215"/>
      <c r="T23" s="215"/>
      <c r="U23" s="215"/>
      <c r="V23" s="215"/>
      <c r="W23" s="215"/>
      <c r="X23" s="215"/>
      <c r="Y23" s="215"/>
      <c r="Z23" s="75"/>
      <c r="AA23" s="75"/>
      <c r="AB23" s="75"/>
      <c r="AC23" s="75"/>
      <c r="AD23" s="75"/>
      <c r="AE23" s="981"/>
      <c r="AF23" s="984"/>
      <c r="AG23" s="64"/>
      <c r="AH23" s="75"/>
      <c r="AI23" s="1031"/>
      <c r="AJ23" s="75"/>
      <c r="AK23" s="75"/>
      <c r="AL23" s="75"/>
      <c r="AM23" s="75"/>
      <c r="AO23" s="2274"/>
      <c r="AP23" s="2275"/>
      <c r="AQ23" s="2275"/>
      <c r="AR23" s="2275"/>
      <c r="AS23" s="2275"/>
      <c r="AT23" s="2275"/>
      <c r="AU23" s="2275"/>
      <c r="AV23" s="2275"/>
      <c r="AW23" s="2275"/>
      <c r="AX23" s="2275"/>
      <c r="AY23" s="2275"/>
      <c r="AZ23" s="2275"/>
      <c r="BA23" s="2275"/>
      <c r="BB23" s="2275"/>
      <c r="BC23" s="2275"/>
      <c r="BD23" s="2275"/>
      <c r="BE23" s="2275"/>
      <c r="BF23" s="996"/>
      <c r="BH23" s="1031"/>
      <c r="BI23" s="75"/>
      <c r="BJ23" s="75"/>
      <c r="BK23" s="75"/>
      <c r="BL23" s="75"/>
      <c r="BM23" s="75"/>
      <c r="BN23" s="75"/>
      <c r="BO23" s="2274"/>
      <c r="BP23" s="75"/>
      <c r="BQ23" s="75"/>
      <c r="BR23" s="75"/>
      <c r="BS23" s="75"/>
      <c r="BT23" s="75"/>
      <c r="BU23" s="75"/>
      <c r="BV23" s="75"/>
      <c r="BW23" s="75"/>
      <c r="BX23" s="75"/>
      <c r="BY23" s="75"/>
      <c r="BZ23" s="75"/>
      <c r="CA23" s="75"/>
      <c r="CB23" s="75"/>
      <c r="CC23" s="75"/>
      <c r="CD23" s="75"/>
      <c r="CE23" s="75"/>
      <c r="CF23" s="75"/>
      <c r="CG23" s="75"/>
      <c r="CH23" s="75"/>
      <c r="CI23" s="75"/>
      <c r="CJ23" s="69"/>
      <c r="CK23" s="69"/>
      <c r="CL23" s="70"/>
      <c r="CM23" s="71"/>
    </row>
    <row r="24" spans="2:91" s="72" customFormat="1" ht="11.25" customHeight="1">
      <c r="B24" s="63"/>
      <c r="C24" s="64"/>
      <c r="D24" s="3690"/>
      <c r="E24" s="3675" t="str">
        <f>'CALCULS Eau potable'!F23</f>
        <v>Aucun</v>
      </c>
      <c r="F24" s="3675"/>
      <c r="G24" s="3675"/>
      <c r="H24" s="3675"/>
      <c r="I24" s="3675"/>
      <c r="J24" s="215"/>
      <c r="K24" s="215"/>
      <c r="L24" s="215"/>
      <c r="M24" s="215"/>
      <c r="N24" s="215"/>
      <c r="O24" s="215"/>
      <c r="P24" s="215"/>
      <c r="Q24" s="215"/>
      <c r="R24" s="215"/>
      <c r="S24" s="215"/>
      <c r="T24" s="215"/>
      <c r="U24" s="215"/>
      <c r="V24" s="215"/>
      <c r="W24" s="215"/>
      <c r="X24" s="215"/>
      <c r="Y24" s="215"/>
      <c r="Z24" s="75"/>
      <c r="AA24" s="75"/>
      <c r="AB24" s="75"/>
      <c r="AC24" s="75"/>
      <c r="AD24" s="75"/>
      <c r="AE24" s="981"/>
      <c r="AF24" s="984"/>
      <c r="AG24" s="64"/>
      <c r="AH24" s="75"/>
      <c r="AI24" s="1031" t="s">
        <v>35</v>
      </c>
      <c r="AJ24" s="75"/>
      <c r="AK24" s="75"/>
      <c r="AL24" s="75"/>
      <c r="AM24" s="75"/>
      <c r="AO24" s="2274" t="str">
        <f>'CALCULS Eau potable'!E36</f>
        <v/>
      </c>
      <c r="AP24" s="2275"/>
      <c r="AQ24" s="2275"/>
      <c r="AR24" s="2275"/>
      <c r="AS24" s="2275"/>
      <c r="AT24" s="2275"/>
      <c r="AU24" s="2275"/>
      <c r="AV24" s="2275"/>
      <c r="AW24" s="2275"/>
      <c r="AX24" s="2275"/>
      <c r="AY24" s="2275"/>
      <c r="AZ24" s="2275"/>
      <c r="BA24" s="2275"/>
      <c r="BB24" s="2275"/>
      <c r="BC24" s="2275"/>
      <c r="BD24" s="2275"/>
      <c r="BE24" s="2275"/>
      <c r="BF24" s="996"/>
      <c r="BH24" s="1031" t="s">
        <v>35</v>
      </c>
      <c r="BI24" s="75"/>
      <c r="BJ24" s="75"/>
      <c r="BK24" s="75"/>
      <c r="BL24" s="75"/>
      <c r="BM24" s="75"/>
      <c r="BN24" s="75"/>
      <c r="BO24" s="2811" t="str">
        <f>'CALCULS Eau potable'!E44</f>
        <v/>
      </c>
      <c r="BP24" s="75"/>
      <c r="BQ24" s="75"/>
      <c r="BR24" s="75"/>
      <c r="BS24" s="75"/>
      <c r="BT24" s="75"/>
      <c r="BU24" s="75"/>
      <c r="BV24" s="75"/>
      <c r="BW24" s="75"/>
      <c r="BX24" s="75"/>
      <c r="BY24" s="75"/>
      <c r="BZ24" s="75"/>
      <c r="CA24" s="75"/>
      <c r="CB24" s="75"/>
      <c r="CC24" s="75"/>
      <c r="CD24" s="75"/>
      <c r="CE24" s="75"/>
      <c r="CF24" s="75"/>
      <c r="CG24" s="75"/>
      <c r="CH24" s="75"/>
      <c r="CI24" s="75"/>
      <c r="CJ24" s="69"/>
      <c r="CK24" s="69"/>
      <c r="CL24" s="70"/>
      <c r="CM24" s="71"/>
    </row>
    <row r="25" spans="2:91" s="72" customFormat="1" ht="11.25" customHeight="1">
      <c r="B25" s="63"/>
      <c r="C25" s="64"/>
      <c r="D25" s="215"/>
      <c r="E25" s="215"/>
      <c r="F25" s="215"/>
      <c r="G25" s="215"/>
      <c r="H25" s="215"/>
      <c r="I25" s="215"/>
      <c r="J25" s="215"/>
      <c r="K25" s="215"/>
      <c r="L25" s="215"/>
      <c r="M25" s="215"/>
      <c r="N25" s="215"/>
      <c r="O25" s="215"/>
      <c r="P25" s="215"/>
      <c r="Q25" s="215"/>
      <c r="R25" s="215"/>
      <c r="S25" s="215"/>
      <c r="T25" s="215"/>
      <c r="U25" s="215"/>
      <c r="V25" s="215"/>
      <c r="W25" s="215"/>
      <c r="X25" s="215"/>
      <c r="Y25" s="215"/>
      <c r="Z25" s="75"/>
      <c r="AA25" s="75"/>
      <c r="AB25" s="75"/>
      <c r="AC25" s="75"/>
      <c r="AD25" s="75"/>
      <c r="AE25" s="981"/>
      <c r="AF25" s="984"/>
      <c r="AG25" s="64"/>
      <c r="AH25" s="75"/>
      <c r="AI25" s="998"/>
      <c r="AJ25" s="3673">
        <f>'CALCULS Eau potable'!L54</f>
        <v>0</v>
      </c>
      <c r="AK25" s="3673"/>
      <c r="AL25" s="3673"/>
      <c r="AM25" s="75"/>
      <c r="AN25" s="75"/>
      <c r="AO25" s="75"/>
      <c r="AP25" s="75"/>
      <c r="AQ25" s="75"/>
      <c r="AR25" s="75"/>
      <c r="AS25" s="75"/>
      <c r="AT25" s="75"/>
      <c r="AU25" s="86"/>
      <c r="AV25" s="86"/>
      <c r="AW25" s="86"/>
      <c r="AX25" s="75"/>
      <c r="AY25" s="75"/>
      <c r="AZ25" s="75"/>
      <c r="BA25" s="75"/>
      <c r="BB25" s="75"/>
      <c r="BC25" s="75"/>
      <c r="BD25" s="75"/>
      <c r="BE25" s="75"/>
      <c r="BF25" s="996"/>
      <c r="BH25" s="998"/>
      <c r="BI25" s="3673">
        <f>'CALCULS Eau potable'!L56</f>
        <v>0</v>
      </c>
      <c r="BJ25" s="3673"/>
      <c r="BK25" s="3673"/>
      <c r="BL25" s="75"/>
      <c r="BM25" s="75"/>
      <c r="BN25" s="75"/>
      <c r="BO25" s="75"/>
      <c r="BP25" s="75"/>
      <c r="BQ25" s="75"/>
      <c r="BR25" s="75"/>
      <c r="BS25" s="75"/>
      <c r="BT25" s="75"/>
      <c r="BU25" s="75"/>
      <c r="BV25" s="75"/>
      <c r="BW25" s="75"/>
      <c r="BX25" s="75"/>
      <c r="BY25" s="75"/>
      <c r="BZ25" s="75"/>
      <c r="CA25" s="75"/>
      <c r="CB25" s="75"/>
      <c r="CC25" s="75"/>
      <c r="CD25" s="75"/>
      <c r="CE25" s="75"/>
      <c r="CF25" s="75"/>
      <c r="CG25" s="75"/>
      <c r="CH25" s="75"/>
      <c r="CI25" s="75"/>
      <c r="CJ25" s="69"/>
      <c r="CK25" s="69"/>
      <c r="CL25" s="70"/>
      <c r="CM25" s="71"/>
    </row>
    <row r="26" spans="2:91" ht="18" customHeight="1">
      <c r="B26" s="44"/>
      <c r="C26" s="50"/>
      <c r="D26" s="2431" t="s">
        <v>751</v>
      </c>
      <c r="E26" s="2432"/>
      <c r="F26" s="2432"/>
      <c r="G26" s="2432"/>
      <c r="H26" s="2432"/>
      <c r="I26" s="2433"/>
      <c r="J26" s="215"/>
      <c r="K26" s="215"/>
      <c r="L26" s="215"/>
      <c r="M26" s="215"/>
      <c r="N26" s="215"/>
      <c r="O26" s="215"/>
      <c r="P26" s="215"/>
      <c r="Q26" s="215"/>
      <c r="R26" s="215"/>
      <c r="S26" s="215"/>
      <c r="T26" s="215"/>
      <c r="U26" s="215"/>
      <c r="V26" s="215"/>
      <c r="W26" s="215"/>
      <c r="X26" s="215"/>
      <c r="Y26" s="215"/>
      <c r="Z26" s="215"/>
      <c r="AA26" s="215"/>
      <c r="AB26" s="215"/>
      <c r="AC26" s="215"/>
      <c r="AD26" s="215"/>
      <c r="AE26" s="114"/>
      <c r="AF26" s="987"/>
      <c r="AG26" s="50"/>
      <c r="AH26" s="59"/>
      <c r="AI26" s="50"/>
      <c r="AJ26" s="3673"/>
      <c r="AK26" s="3673"/>
      <c r="AL26" s="3673"/>
      <c r="AM26" s="59"/>
      <c r="AN26" s="59"/>
      <c r="AO26" s="59"/>
      <c r="AP26" s="59"/>
      <c r="AQ26" s="59"/>
      <c r="AR26" s="59"/>
      <c r="AS26" s="59"/>
      <c r="AT26" s="59"/>
      <c r="AU26" s="59"/>
      <c r="AV26" s="59"/>
      <c r="AW26" s="59"/>
      <c r="AX26" s="59"/>
      <c r="AY26" s="59"/>
      <c r="AZ26" s="59"/>
      <c r="BA26" s="59"/>
      <c r="BB26" s="59"/>
      <c r="BC26" s="59"/>
      <c r="BD26" s="59"/>
      <c r="BE26" s="59"/>
      <c r="BF26" s="61"/>
      <c r="BG26" s="59"/>
      <c r="BH26" s="50"/>
      <c r="BI26" s="3673"/>
      <c r="BJ26" s="3673"/>
      <c r="BK26" s="3673"/>
      <c r="BL26" s="59"/>
      <c r="BM26" s="59"/>
      <c r="BN26" s="59"/>
      <c r="BO26" s="59"/>
      <c r="BP26" s="59"/>
      <c r="BQ26" s="59"/>
      <c r="BR26" s="59"/>
      <c r="BS26" s="59"/>
      <c r="BT26" s="59"/>
      <c r="BU26" s="59"/>
      <c r="BV26" s="59"/>
      <c r="BW26" s="59"/>
      <c r="BX26" s="59"/>
      <c r="BY26" s="59"/>
      <c r="BZ26" s="59"/>
      <c r="CA26" s="59"/>
      <c r="CB26" s="59"/>
      <c r="CC26" s="59"/>
      <c r="CD26" s="59"/>
      <c r="CE26" s="59"/>
      <c r="CF26" s="59"/>
      <c r="CG26" s="59"/>
      <c r="CH26" s="59"/>
      <c r="CI26" s="59"/>
      <c r="CJ26" s="61"/>
      <c r="CK26" s="61"/>
      <c r="CL26" s="49"/>
      <c r="CM26" s="43"/>
    </row>
    <row r="27" spans="2:91" ht="15.75" customHeight="1">
      <c r="B27" s="44"/>
      <c r="C27" s="50"/>
      <c r="D27" s="2434" t="str">
        <f>IF('FORMULAIRE PGA Eau potable'!G157="oui","Certains actifs de la municipalité inclus ci-dessus, sont en mode partagé, soit:","Aucun des actifs inclus ci-dessus n'est en mode partagé")</f>
        <v>Aucun des actifs inclus ci-dessus n'est en mode partagé</v>
      </c>
      <c r="E27" s="2434"/>
      <c r="F27" s="2435"/>
      <c r="G27" s="2435"/>
      <c r="H27" s="2435"/>
      <c r="I27" s="2436"/>
      <c r="J27" s="2436"/>
      <c r="K27" s="2436"/>
      <c r="L27" s="2436"/>
      <c r="M27" s="2436"/>
      <c r="N27" s="2436"/>
      <c r="O27" s="2436"/>
      <c r="P27" s="2436"/>
      <c r="Q27" s="2436"/>
      <c r="R27" s="2436"/>
      <c r="S27" s="2436"/>
      <c r="T27" s="2436"/>
      <c r="U27" s="2436"/>
      <c r="V27" s="2436"/>
      <c r="W27" s="2436"/>
      <c r="X27" s="2436"/>
      <c r="Y27" s="2436"/>
      <c r="Z27" s="2436"/>
      <c r="AA27" s="2436"/>
      <c r="AB27" s="2436"/>
      <c r="AC27" s="2436"/>
      <c r="AD27" s="2437"/>
      <c r="AE27" s="114"/>
      <c r="AF27" s="987"/>
      <c r="AG27" s="50"/>
      <c r="AH27" s="59"/>
      <c r="AI27" s="50"/>
      <c r="AJ27" s="59"/>
      <c r="AK27" s="59"/>
      <c r="AL27" s="59"/>
      <c r="AM27" s="59"/>
      <c r="AN27" s="59"/>
      <c r="AO27" s="59"/>
      <c r="AP27" s="59"/>
      <c r="AQ27" s="59"/>
      <c r="AR27" s="59"/>
      <c r="AS27" s="59"/>
      <c r="AT27" s="59"/>
      <c r="AU27" s="59"/>
      <c r="AV27" s="59"/>
      <c r="AW27" s="59"/>
      <c r="AX27" s="59"/>
      <c r="AY27" s="59"/>
      <c r="AZ27" s="59"/>
      <c r="BA27" s="59"/>
      <c r="BB27" s="59"/>
      <c r="BC27" s="59"/>
      <c r="BD27" s="59"/>
      <c r="BE27" s="59"/>
      <c r="BF27" s="61"/>
      <c r="BG27" s="59"/>
      <c r="BH27" s="50"/>
      <c r="BI27" s="59"/>
      <c r="BJ27" s="59"/>
      <c r="BK27" s="59"/>
      <c r="BL27" s="59"/>
      <c r="BM27" s="59"/>
      <c r="BN27" s="59"/>
      <c r="BO27" s="59"/>
      <c r="BP27" s="59"/>
      <c r="BQ27" s="59"/>
      <c r="BR27" s="59"/>
      <c r="BS27" s="59"/>
      <c r="BT27" s="59"/>
      <c r="BU27" s="59"/>
      <c r="BV27" s="59"/>
      <c r="BW27" s="59"/>
      <c r="BX27" s="59"/>
      <c r="BY27" s="59"/>
      <c r="BZ27" s="59"/>
      <c r="CA27" s="59"/>
      <c r="CB27" s="59"/>
      <c r="CC27" s="59"/>
      <c r="CD27" s="59"/>
      <c r="CE27" s="59"/>
      <c r="CF27" s="59"/>
      <c r="CG27" s="59"/>
      <c r="CH27" s="59"/>
      <c r="CI27" s="59"/>
      <c r="CJ27" s="61"/>
      <c r="CK27" s="61"/>
      <c r="CL27" s="49"/>
      <c r="CM27" s="43"/>
    </row>
    <row r="28" spans="2:91" ht="15.75" customHeight="1">
      <c r="B28" s="44"/>
      <c r="C28" s="50"/>
      <c r="D28" s="2438"/>
      <c r="E28" s="2438"/>
      <c r="F28" s="2439" t="s">
        <v>2380</v>
      </c>
      <c r="G28" s="2439"/>
      <c r="H28" s="2439"/>
      <c r="I28" s="2436"/>
      <c r="J28" s="2436"/>
      <c r="K28" s="2436"/>
      <c r="L28" s="2439" t="str">
        <f>IF(('FORMULAIRE PGA Eau potable'!$H$81='MENU DÉROULANT'!$C$31),"  (Aucun actif)","")</f>
        <v/>
      </c>
      <c r="M28" s="2436"/>
      <c r="N28" s="2436"/>
      <c r="O28" s="2436"/>
      <c r="P28" s="2436"/>
      <c r="Q28" s="2436"/>
      <c r="R28" s="2439" t="s">
        <v>106</v>
      </c>
      <c r="S28" s="2436"/>
      <c r="T28" s="2436"/>
      <c r="U28" s="2436"/>
      <c r="V28" s="2436"/>
      <c r="W28" s="2439" t="str">
        <f>IF(('FORMULAIRE PGA Eau potable'!$H$120='MENU DÉROULANT'!$F$31),"(Aucun actif)","")</f>
        <v/>
      </c>
      <c r="X28" s="2436"/>
      <c r="Y28" s="2436"/>
      <c r="Z28" s="2436"/>
      <c r="AA28" s="2436"/>
      <c r="AB28" s="2436"/>
      <c r="AC28" s="2436"/>
      <c r="AD28" s="2437"/>
      <c r="AE28" s="114"/>
      <c r="AF28" s="987"/>
      <c r="AG28" s="50"/>
      <c r="AH28" s="59"/>
      <c r="AI28" s="50"/>
      <c r="AJ28" s="59"/>
      <c r="AK28" s="59"/>
      <c r="AL28" s="59"/>
      <c r="AM28" s="59"/>
      <c r="AN28" s="59"/>
      <c r="AO28" s="59"/>
      <c r="AP28" s="59"/>
      <c r="AQ28" s="59"/>
      <c r="AR28" s="59"/>
      <c r="AS28" s="59"/>
      <c r="AT28" s="59"/>
      <c r="AU28" s="59"/>
      <c r="AV28" s="59"/>
      <c r="AW28" s="59"/>
      <c r="AX28" s="59"/>
      <c r="AY28" s="59"/>
      <c r="AZ28" s="59"/>
      <c r="BA28" s="59"/>
      <c r="BB28" s="59"/>
      <c r="BC28" s="59"/>
      <c r="BD28" s="59"/>
      <c r="BE28" s="59"/>
      <c r="BF28" s="61"/>
      <c r="BG28" s="59"/>
      <c r="BH28" s="50"/>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59"/>
      <c r="CI28" s="59"/>
      <c r="CJ28" s="61"/>
      <c r="CK28" s="61"/>
      <c r="CL28" s="49"/>
      <c r="CM28" s="43"/>
    </row>
    <row r="29" spans="2:91" ht="13.5" customHeight="1">
      <c r="B29" s="44"/>
      <c r="C29" s="50"/>
      <c r="D29" s="2438"/>
      <c r="E29" s="2440" t="s">
        <v>58</v>
      </c>
      <c r="F29" s="3691" t="str">
        <f>IF(ISBLANK('FORMULAIRE PGA Eau potable'!G160)=TRUE,"",CONCATENATE('FORMULAIRE PGA Eau potable'!G160,"; ",'FORMULAIRE PGA Eau potable'!K160))</f>
        <v/>
      </c>
      <c r="G29" s="3692"/>
      <c r="H29" s="3692"/>
      <c r="I29" s="3692"/>
      <c r="J29" s="3692"/>
      <c r="K29" s="3692"/>
      <c r="L29" s="3692"/>
      <c r="M29" s="3692"/>
      <c r="N29" s="3692"/>
      <c r="O29" s="3692"/>
      <c r="P29" s="3692"/>
      <c r="Q29" s="3693"/>
      <c r="R29" s="3691" t="str">
        <f>IF(ISBLANK('FORMULAIRE PGA Eau potable'!G163)=TRUE,"",CONCATENATE('FORMULAIRE PGA Eau potable'!G163,"; ",'FORMULAIRE PGA Eau potable'!K163))</f>
        <v/>
      </c>
      <c r="S29" s="3692"/>
      <c r="T29" s="3692"/>
      <c r="U29" s="3692"/>
      <c r="V29" s="3692"/>
      <c r="W29" s="3692"/>
      <c r="X29" s="3692"/>
      <c r="Y29" s="3692"/>
      <c r="Z29" s="3692"/>
      <c r="AA29" s="3692"/>
      <c r="AB29" s="3692"/>
      <c r="AC29" s="3693"/>
      <c r="AD29" s="2437"/>
      <c r="AE29" s="114"/>
      <c r="AF29" s="987"/>
      <c r="AG29" s="50"/>
      <c r="AH29" s="59"/>
      <c r="AI29" s="50"/>
      <c r="AJ29" s="59"/>
      <c r="AK29" s="59"/>
      <c r="AL29" s="59"/>
      <c r="AM29" s="59"/>
      <c r="AN29" s="59"/>
      <c r="AO29" s="59"/>
      <c r="AP29" s="59"/>
      <c r="AQ29" s="59"/>
      <c r="AR29" s="59"/>
      <c r="AS29" s="59"/>
      <c r="AT29" s="59"/>
      <c r="AU29" s="59"/>
      <c r="AV29" s="59"/>
      <c r="AW29" s="59"/>
      <c r="AX29" s="59"/>
      <c r="AY29" s="59"/>
      <c r="AZ29" s="59"/>
      <c r="BA29" s="59"/>
      <c r="BB29" s="59"/>
      <c r="BC29" s="59"/>
      <c r="BD29" s="59"/>
      <c r="BE29" s="59"/>
      <c r="BF29" s="61"/>
      <c r="BG29" s="59"/>
      <c r="BH29" s="50"/>
      <c r="BI29" s="59"/>
      <c r="BJ29" s="59"/>
      <c r="BK29" s="59"/>
      <c r="BL29" s="59"/>
      <c r="BM29" s="59"/>
      <c r="BN29" s="59"/>
      <c r="BO29" s="59"/>
      <c r="BP29" s="59"/>
      <c r="BQ29" s="59"/>
      <c r="BR29" s="59"/>
      <c r="BS29" s="59"/>
      <c r="BT29" s="59"/>
      <c r="BU29" s="59"/>
      <c r="BV29" s="59"/>
      <c r="BW29" s="59"/>
      <c r="BX29" s="59"/>
      <c r="BY29" s="59"/>
      <c r="BZ29" s="59"/>
      <c r="CA29" s="59"/>
      <c r="CB29" s="59"/>
      <c r="CC29" s="59"/>
      <c r="CD29" s="59"/>
      <c r="CE29" s="59"/>
      <c r="CF29" s="59"/>
      <c r="CG29" s="59"/>
      <c r="CH29" s="59"/>
      <c r="CI29" s="59"/>
      <c r="CJ29" s="61"/>
      <c r="CK29" s="61"/>
      <c r="CL29" s="49"/>
      <c r="CM29" s="43"/>
    </row>
    <row r="30" spans="2:91" ht="13.5" customHeight="1">
      <c r="B30" s="44"/>
      <c r="C30" s="50"/>
      <c r="D30" s="2438"/>
      <c r="E30" s="2440" t="s">
        <v>59</v>
      </c>
      <c r="F30" s="3691" t="str">
        <f>IF(ISBLANK('FORMULAIRE PGA Eau potable'!G161)=TRUE,"",CONCATENATE('FORMULAIRE PGA Eau potable'!G161,"; ",'FORMULAIRE PGA Eau potable'!K161))</f>
        <v/>
      </c>
      <c r="G30" s="3692"/>
      <c r="H30" s="3692"/>
      <c r="I30" s="3692"/>
      <c r="J30" s="3692"/>
      <c r="K30" s="3692"/>
      <c r="L30" s="3692"/>
      <c r="M30" s="3692"/>
      <c r="N30" s="3692"/>
      <c r="O30" s="3692"/>
      <c r="P30" s="3692"/>
      <c r="Q30" s="3693"/>
      <c r="R30" s="3691" t="str">
        <f>IF(ISBLANK('FORMULAIRE PGA Eau potable'!G164)=TRUE,"",CONCATENATE('FORMULAIRE PGA Eau potable'!G164,"; ",'FORMULAIRE PGA Eau potable'!K164))</f>
        <v/>
      </c>
      <c r="S30" s="3692"/>
      <c r="T30" s="3692"/>
      <c r="U30" s="3692"/>
      <c r="V30" s="3692"/>
      <c r="W30" s="3692"/>
      <c r="X30" s="3692"/>
      <c r="Y30" s="3692"/>
      <c r="Z30" s="3692"/>
      <c r="AA30" s="3692"/>
      <c r="AB30" s="3692"/>
      <c r="AC30" s="3693"/>
      <c r="AD30" s="2437"/>
      <c r="AE30" s="114"/>
      <c r="AF30" s="987"/>
      <c r="AG30" s="50"/>
      <c r="AH30" s="59"/>
      <c r="AI30" s="50"/>
      <c r="AJ30" s="59"/>
      <c r="AK30" s="59"/>
      <c r="AL30" s="59"/>
      <c r="AM30" s="59"/>
      <c r="AN30" s="59"/>
      <c r="AO30" s="59"/>
      <c r="AP30" s="59"/>
      <c r="AQ30" s="59"/>
      <c r="AR30" s="59"/>
      <c r="AS30" s="59"/>
      <c r="AT30" s="59"/>
      <c r="AU30" s="59"/>
      <c r="AV30" s="59"/>
      <c r="AW30" s="59"/>
      <c r="AX30" s="59"/>
      <c r="AY30" s="59"/>
      <c r="AZ30" s="59"/>
      <c r="BA30" s="59"/>
      <c r="BB30" s="59"/>
      <c r="BC30" s="59"/>
      <c r="BD30" s="59"/>
      <c r="BE30" s="59"/>
      <c r="BF30" s="61"/>
      <c r="BG30" s="59"/>
      <c r="BH30" s="50"/>
      <c r="BI30" s="59"/>
      <c r="BJ30" s="59"/>
      <c r="BK30" s="59"/>
      <c r="BL30" s="59"/>
      <c r="BM30" s="59"/>
      <c r="BN30" s="59"/>
      <c r="BO30" s="59"/>
      <c r="BP30" s="59"/>
      <c r="BQ30" s="59"/>
      <c r="BR30" s="59"/>
      <c r="BS30" s="59"/>
      <c r="BT30" s="59"/>
      <c r="BU30" s="59"/>
      <c r="BV30" s="59"/>
      <c r="BW30" s="59"/>
      <c r="BX30" s="59"/>
      <c r="BY30" s="59"/>
      <c r="BZ30" s="59"/>
      <c r="CA30" s="59"/>
      <c r="CB30" s="59"/>
      <c r="CC30" s="59"/>
      <c r="CD30" s="59"/>
      <c r="CE30" s="59"/>
      <c r="CF30" s="59"/>
      <c r="CG30" s="59"/>
      <c r="CH30" s="59"/>
      <c r="CI30" s="59"/>
      <c r="CJ30" s="61"/>
      <c r="CK30" s="61"/>
      <c r="CL30" s="49"/>
      <c r="CM30" s="43"/>
    </row>
    <row r="31" spans="2:91" ht="13.5" customHeight="1">
      <c r="B31" s="44"/>
      <c r="C31" s="50"/>
      <c r="D31" s="2438"/>
      <c r="E31" s="2440" t="s">
        <v>752</v>
      </c>
      <c r="F31" s="3691" t="str">
        <f>IF(ISBLANK('FORMULAIRE PGA Eau potable'!G162)=TRUE,"",CONCATENATE('FORMULAIRE PGA Eau potable'!G162,"; ",'FORMULAIRE PGA Eau potable'!K162))</f>
        <v/>
      </c>
      <c r="G31" s="3692"/>
      <c r="H31" s="3692"/>
      <c r="I31" s="3692"/>
      <c r="J31" s="3692"/>
      <c r="K31" s="3692"/>
      <c r="L31" s="3692"/>
      <c r="M31" s="3692"/>
      <c r="N31" s="3692"/>
      <c r="O31" s="3692"/>
      <c r="P31" s="3692"/>
      <c r="Q31" s="3693"/>
      <c r="R31" s="3691" t="str">
        <f>IF(ISBLANK('FORMULAIRE PGA Eau potable'!G165)=TRUE,"",CONCATENATE('FORMULAIRE PGA Eau potable'!G165,"; ",'FORMULAIRE PGA Eau potable'!K165))</f>
        <v/>
      </c>
      <c r="S31" s="3692"/>
      <c r="T31" s="3692"/>
      <c r="U31" s="3692"/>
      <c r="V31" s="3692"/>
      <c r="W31" s="3692"/>
      <c r="X31" s="3692"/>
      <c r="Y31" s="3692"/>
      <c r="Z31" s="3692"/>
      <c r="AA31" s="3692"/>
      <c r="AB31" s="3692"/>
      <c r="AC31" s="3693"/>
      <c r="AD31" s="2437"/>
      <c r="AE31" s="114"/>
      <c r="AF31" s="987"/>
      <c r="AG31" s="50"/>
      <c r="AH31" s="59"/>
      <c r="AI31" s="50"/>
      <c r="AJ31" s="59"/>
      <c r="AK31" s="59"/>
      <c r="AL31" s="59"/>
      <c r="AM31" s="59"/>
      <c r="AN31" s="59"/>
      <c r="AO31" s="59"/>
      <c r="AP31" s="59"/>
      <c r="AQ31" s="59"/>
      <c r="AR31" s="59"/>
      <c r="AS31" s="59"/>
      <c r="AT31" s="59"/>
      <c r="AU31" s="59"/>
      <c r="AV31" s="59"/>
      <c r="AW31" s="59"/>
      <c r="AX31" s="59"/>
      <c r="AY31" s="59"/>
      <c r="AZ31" s="59"/>
      <c r="BA31" s="59"/>
      <c r="BB31" s="59"/>
      <c r="BC31" s="59"/>
      <c r="BD31" s="59"/>
      <c r="BE31" s="59"/>
      <c r="BF31" s="61"/>
      <c r="BG31" s="59"/>
      <c r="BH31" s="50"/>
      <c r="BI31" s="59"/>
      <c r="BJ31" s="59"/>
      <c r="BK31" s="59"/>
      <c r="BL31" s="59"/>
      <c r="BM31" s="59"/>
      <c r="BN31" s="59"/>
      <c r="BO31" s="59"/>
      <c r="BP31" s="59"/>
      <c r="BQ31" s="59"/>
      <c r="BR31" s="59"/>
      <c r="BS31" s="59"/>
      <c r="BT31" s="59"/>
      <c r="BU31" s="59"/>
      <c r="BV31" s="59"/>
      <c r="BW31" s="59"/>
      <c r="BX31" s="59"/>
      <c r="BY31" s="59"/>
      <c r="BZ31" s="59"/>
      <c r="CA31" s="59"/>
      <c r="CB31" s="59"/>
      <c r="CC31" s="59"/>
      <c r="CD31" s="59"/>
      <c r="CE31" s="59"/>
      <c r="CF31" s="59"/>
      <c r="CG31" s="59"/>
      <c r="CH31" s="59"/>
      <c r="CI31" s="59"/>
      <c r="CJ31" s="61"/>
      <c r="CK31" s="61"/>
      <c r="CL31" s="49"/>
      <c r="CM31" s="43"/>
    </row>
    <row r="32" spans="2:91" ht="9" customHeight="1">
      <c r="B32" s="44"/>
      <c r="C32" s="50"/>
      <c r="D32" s="2441"/>
      <c r="E32" s="2441"/>
      <c r="F32" s="2441"/>
      <c r="G32" s="2441"/>
      <c r="H32" s="2441"/>
      <c r="I32" s="2441"/>
      <c r="J32" s="2441"/>
      <c r="K32" s="2441"/>
      <c r="L32" s="2441"/>
      <c r="M32" s="2441"/>
      <c r="N32" s="2441"/>
      <c r="O32" s="2441"/>
      <c r="P32" s="2441"/>
      <c r="Q32" s="2441"/>
      <c r="R32" s="2441"/>
      <c r="S32" s="2441"/>
      <c r="T32" s="2441"/>
      <c r="U32" s="2441"/>
      <c r="V32" s="2441"/>
      <c r="W32" s="2441"/>
      <c r="X32" s="2441"/>
      <c r="Y32" s="2441"/>
      <c r="Z32" s="2441"/>
      <c r="AA32" s="2441"/>
      <c r="AB32" s="2441"/>
      <c r="AC32" s="2441"/>
      <c r="AD32" s="2437"/>
      <c r="AE32" s="114"/>
      <c r="AF32" s="987"/>
      <c r="AG32" s="50"/>
      <c r="AH32" s="59"/>
      <c r="AI32" s="91"/>
      <c r="AJ32" s="92"/>
      <c r="AK32" s="92"/>
      <c r="AL32" s="92"/>
      <c r="AM32" s="92"/>
      <c r="AN32" s="92"/>
      <c r="AO32" s="92"/>
      <c r="AP32" s="92"/>
      <c r="AQ32" s="92"/>
      <c r="AR32" s="92"/>
      <c r="AS32" s="92"/>
      <c r="AT32" s="92"/>
      <c r="AU32" s="92"/>
      <c r="AV32" s="92"/>
      <c r="AW32" s="92"/>
      <c r="AX32" s="92"/>
      <c r="AY32" s="92"/>
      <c r="AZ32" s="92"/>
      <c r="BA32" s="92"/>
      <c r="BB32" s="92"/>
      <c r="BC32" s="92"/>
      <c r="BD32" s="92"/>
      <c r="BE32" s="92"/>
      <c r="BF32" s="93"/>
      <c r="BG32" s="59"/>
      <c r="BH32" s="91"/>
      <c r="BI32" s="92"/>
      <c r="BJ32" s="92"/>
      <c r="BK32" s="92"/>
      <c r="BL32" s="92"/>
      <c r="BM32" s="92"/>
      <c r="BN32" s="92"/>
      <c r="BO32" s="92"/>
      <c r="BP32" s="92"/>
      <c r="BQ32" s="92"/>
      <c r="BR32" s="92"/>
      <c r="BS32" s="92"/>
      <c r="BT32" s="92"/>
      <c r="BU32" s="92"/>
      <c r="BV32" s="92"/>
      <c r="BW32" s="92"/>
      <c r="BX32" s="92"/>
      <c r="BY32" s="92"/>
      <c r="BZ32" s="92"/>
      <c r="CA32" s="92"/>
      <c r="CB32" s="92"/>
      <c r="CC32" s="92"/>
      <c r="CD32" s="92"/>
      <c r="CE32" s="92"/>
      <c r="CF32" s="92"/>
      <c r="CG32" s="92"/>
      <c r="CH32" s="92"/>
      <c r="CI32" s="92"/>
      <c r="CJ32" s="93"/>
      <c r="CK32" s="61"/>
      <c r="CL32" s="49"/>
      <c r="CM32" s="43"/>
    </row>
    <row r="33" spans="2:91" ht="9" customHeight="1">
      <c r="B33" s="44"/>
      <c r="C33" s="91"/>
      <c r="D33" s="92"/>
      <c r="E33" s="92"/>
      <c r="F33" s="92"/>
      <c r="G33" s="92"/>
      <c r="H33" s="92"/>
      <c r="I33" s="92"/>
      <c r="J33" s="92"/>
      <c r="K33" s="92"/>
      <c r="L33" s="92"/>
      <c r="M33" s="92"/>
      <c r="N33" s="92"/>
      <c r="O33" s="92"/>
      <c r="P33" s="92"/>
      <c r="Q33" s="92"/>
      <c r="R33" s="92"/>
      <c r="S33" s="92"/>
      <c r="T33" s="92"/>
      <c r="U33" s="92"/>
      <c r="V33" s="92"/>
      <c r="W33" s="92"/>
      <c r="X33" s="92"/>
      <c r="Y33" s="92"/>
      <c r="Z33" s="92"/>
      <c r="AA33" s="116"/>
      <c r="AB33" s="116"/>
      <c r="AC33" s="116"/>
      <c r="AD33" s="116"/>
      <c r="AE33" s="117"/>
      <c r="AF33" s="987"/>
      <c r="AG33" s="91"/>
      <c r="AH33" s="92"/>
      <c r="AI33" s="92"/>
      <c r="AJ33" s="92"/>
      <c r="AK33" s="92"/>
      <c r="AL33" s="92"/>
      <c r="AM33" s="92"/>
      <c r="AN33" s="92"/>
      <c r="AO33" s="92"/>
      <c r="AP33" s="92"/>
      <c r="AQ33" s="92"/>
      <c r="AR33" s="92"/>
      <c r="AS33" s="92"/>
      <c r="AT33" s="92"/>
      <c r="AU33" s="92"/>
      <c r="AV33" s="92"/>
      <c r="AW33" s="92"/>
      <c r="AX33" s="92"/>
      <c r="AY33" s="92"/>
      <c r="AZ33" s="92"/>
      <c r="BA33" s="92"/>
      <c r="BB33" s="92"/>
      <c r="BC33" s="92"/>
      <c r="BD33" s="92"/>
      <c r="BE33" s="92"/>
      <c r="BF33" s="92"/>
      <c r="BG33" s="92"/>
      <c r="BH33" s="92"/>
      <c r="BI33" s="92"/>
      <c r="BJ33" s="92"/>
      <c r="BK33" s="92"/>
      <c r="BL33" s="92"/>
      <c r="BM33" s="92"/>
      <c r="BN33" s="92"/>
      <c r="BO33" s="92"/>
      <c r="BP33" s="92"/>
      <c r="BQ33" s="92"/>
      <c r="BR33" s="92"/>
      <c r="BS33" s="92"/>
      <c r="BT33" s="92"/>
      <c r="BU33" s="92"/>
      <c r="BV33" s="92"/>
      <c r="BW33" s="92"/>
      <c r="BX33" s="92"/>
      <c r="BY33" s="92"/>
      <c r="BZ33" s="92"/>
      <c r="CA33" s="92"/>
      <c r="CB33" s="92"/>
      <c r="CC33" s="92"/>
      <c r="CD33" s="92"/>
      <c r="CE33" s="92"/>
      <c r="CF33" s="92"/>
      <c r="CG33" s="92"/>
      <c r="CH33" s="92"/>
      <c r="CI33" s="92"/>
      <c r="CJ33" s="92"/>
      <c r="CK33" s="93"/>
      <c r="CL33" s="49"/>
      <c r="CM33" s="43"/>
    </row>
    <row r="34" spans="2:91" ht="9" customHeight="1">
      <c r="B34" s="94"/>
      <c r="C34" s="95"/>
      <c r="D34" s="95"/>
      <c r="E34" s="95"/>
      <c r="F34" s="95"/>
      <c r="G34" s="95"/>
      <c r="H34" s="95"/>
      <c r="I34" s="95"/>
      <c r="J34" s="95"/>
      <c r="K34" s="95"/>
      <c r="L34" s="95"/>
      <c r="M34" s="95"/>
      <c r="N34" s="95"/>
      <c r="O34" s="95"/>
      <c r="P34" s="95"/>
      <c r="Q34" s="95"/>
      <c r="R34" s="95"/>
      <c r="S34" s="95"/>
      <c r="T34" s="95"/>
      <c r="U34" s="95"/>
      <c r="V34" s="95"/>
      <c r="W34" s="95"/>
      <c r="X34" s="95"/>
      <c r="Y34" s="95"/>
      <c r="Z34" s="95"/>
      <c r="AA34" s="95"/>
      <c r="AB34" s="95"/>
      <c r="AC34" s="95"/>
      <c r="AD34" s="95"/>
      <c r="AE34" s="95"/>
      <c r="AF34" s="95"/>
      <c r="AG34" s="95"/>
      <c r="AH34" s="95"/>
      <c r="AI34" s="95"/>
      <c r="AJ34" s="95"/>
      <c r="AK34" s="95"/>
      <c r="AL34" s="95"/>
      <c r="AM34" s="95"/>
      <c r="AN34" s="95"/>
      <c r="AO34" s="95"/>
      <c r="AP34" s="95"/>
      <c r="AQ34" s="95"/>
      <c r="AR34" s="95"/>
      <c r="AS34" s="95"/>
      <c r="AT34" s="95"/>
      <c r="AU34" s="95"/>
      <c r="AV34" s="95"/>
      <c r="AW34" s="95"/>
      <c r="AX34" s="95"/>
      <c r="AY34" s="95"/>
      <c r="AZ34" s="95"/>
      <c r="BA34" s="95"/>
      <c r="BB34" s="95"/>
      <c r="BC34" s="95"/>
      <c r="BD34" s="95"/>
      <c r="BE34" s="95"/>
      <c r="BF34" s="95"/>
      <c r="BG34" s="95"/>
      <c r="BH34" s="95"/>
      <c r="BI34" s="95"/>
      <c r="BJ34" s="95"/>
      <c r="BK34" s="95"/>
      <c r="BL34" s="95"/>
      <c r="BM34" s="95"/>
      <c r="BN34" s="95"/>
      <c r="BO34" s="95"/>
      <c r="BP34" s="95"/>
      <c r="BQ34" s="95"/>
      <c r="BR34" s="95"/>
      <c r="BS34" s="95"/>
      <c r="BT34" s="95"/>
      <c r="BU34" s="95"/>
      <c r="BV34" s="95"/>
      <c r="BW34" s="95"/>
      <c r="BX34" s="95"/>
      <c r="BY34" s="95"/>
      <c r="BZ34" s="95"/>
      <c r="CA34" s="95"/>
      <c r="CB34" s="95"/>
      <c r="CC34" s="95"/>
      <c r="CD34" s="95"/>
      <c r="CE34" s="95"/>
      <c r="CF34" s="95"/>
      <c r="CG34" s="95"/>
      <c r="CH34" s="95"/>
      <c r="CI34" s="95"/>
      <c r="CJ34" s="95"/>
      <c r="CK34" s="95"/>
      <c r="CL34" s="96"/>
      <c r="CM34" s="43"/>
    </row>
    <row r="35" spans="2:91" ht="15.75" customHeight="1">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c r="BK35" s="59"/>
      <c r="BL35" s="59"/>
      <c r="BM35" s="59"/>
      <c r="BN35" s="59"/>
      <c r="BO35" s="59"/>
      <c r="BP35" s="59"/>
      <c r="BQ35" s="59"/>
      <c r="BR35" s="59"/>
      <c r="BS35" s="59"/>
      <c r="BT35" s="59"/>
      <c r="BU35" s="59"/>
      <c r="BV35" s="59"/>
      <c r="BW35" s="59"/>
      <c r="BX35" s="59"/>
      <c r="BY35" s="59"/>
      <c r="BZ35" s="59"/>
      <c r="CA35" s="59"/>
      <c r="CB35" s="59"/>
      <c r="CC35" s="59"/>
      <c r="CD35" s="59"/>
      <c r="CE35" s="59"/>
      <c r="CF35" s="59"/>
      <c r="CG35" s="59"/>
      <c r="CH35" s="59"/>
      <c r="CI35" s="59"/>
      <c r="CJ35" s="59"/>
      <c r="CK35" s="59"/>
      <c r="CL35" s="59"/>
      <c r="CM35" s="59"/>
    </row>
    <row r="36" spans="2:91" ht="22.5" customHeight="1">
      <c r="B36" s="36"/>
      <c r="C36" s="1014" t="s">
        <v>504</v>
      </c>
      <c r="D36" s="38"/>
      <c r="E36" s="38"/>
      <c r="F36" s="38"/>
      <c r="G36" s="38"/>
      <c r="H36" s="38"/>
      <c r="I36" s="38"/>
      <c r="J36" s="38"/>
      <c r="K36" s="38"/>
      <c r="L36" s="38"/>
      <c r="M36" s="38"/>
      <c r="N36" s="38"/>
      <c r="O36" s="38"/>
      <c r="P36" s="38"/>
      <c r="Q36" s="38"/>
      <c r="R36" s="38"/>
      <c r="S36" s="38"/>
      <c r="T36" s="38"/>
      <c r="U36" s="38"/>
      <c r="V36" s="38"/>
      <c r="W36" s="38"/>
      <c r="X36" s="39"/>
      <c r="Y36" s="97"/>
      <c r="Z36" s="97"/>
      <c r="AA36" s="97"/>
      <c r="AB36" s="97"/>
      <c r="AC36" s="97"/>
      <c r="AD36" s="97"/>
      <c r="AE36" s="97"/>
      <c r="AF36" s="97"/>
      <c r="AG36" s="97"/>
      <c r="AH36" s="97"/>
      <c r="AI36" s="97"/>
      <c r="AJ36" s="97"/>
      <c r="AK36" s="97"/>
      <c r="AL36" s="97"/>
      <c r="AM36" s="97"/>
      <c r="AN36" s="97"/>
      <c r="AO36" s="97"/>
      <c r="AP36" s="97"/>
      <c r="AQ36" s="97"/>
      <c r="AR36" s="97"/>
      <c r="AS36" s="97"/>
      <c r="AT36" s="97"/>
      <c r="AU36" s="97"/>
      <c r="AV36" s="97"/>
      <c r="AW36" s="97"/>
      <c r="AX36" s="97"/>
      <c r="AY36" s="97"/>
      <c r="AZ36" s="97"/>
      <c r="BA36" s="97"/>
      <c r="BB36" s="97"/>
      <c r="BC36" s="97"/>
      <c r="BD36" s="97"/>
      <c r="BE36" s="97"/>
      <c r="BF36" s="97"/>
      <c r="BG36" s="97"/>
      <c r="BH36" s="97"/>
      <c r="BI36" s="97"/>
      <c r="BJ36" s="97"/>
      <c r="BK36" s="97"/>
      <c r="BL36" s="97"/>
      <c r="BM36" s="97"/>
      <c r="BN36" s="97"/>
      <c r="BO36" s="97"/>
      <c r="BP36" s="97"/>
      <c r="BQ36" s="97"/>
      <c r="BR36" s="97"/>
      <c r="BS36" s="97"/>
      <c r="BT36" s="97"/>
      <c r="BU36" s="97"/>
      <c r="BV36" s="97"/>
      <c r="BW36" s="38"/>
      <c r="BX36" s="38"/>
      <c r="BY36" s="38"/>
      <c r="BZ36" s="38"/>
      <c r="CA36" s="38"/>
      <c r="CB36" s="38"/>
      <c r="CC36" s="38"/>
      <c r="CD36" s="38"/>
      <c r="CE36" s="38"/>
      <c r="CF36" s="38"/>
      <c r="CG36" s="38"/>
      <c r="CH36" s="39"/>
      <c r="CI36" s="36"/>
      <c r="CJ36" s="3574"/>
      <c r="CK36" s="3574"/>
      <c r="CL36" s="38"/>
    </row>
    <row r="37" spans="2:91" ht="6.75" customHeight="1"/>
    <row r="38" spans="2:91" ht="14.25" customHeight="1">
      <c r="B38" s="40"/>
      <c r="C38" s="41"/>
      <c r="D38" s="41"/>
      <c r="E38" s="41"/>
      <c r="F38" s="41"/>
      <c r="G38" s="41"/>
      <c r="H38" s="41"/>
      <c r="I38" s="41"/>
      <c r="J38" s="41"/>
      <c r="K38" s="41"/>
      <c r="L38" s="41"/>
      <c r="M38" s="41"/>
      <c r="N38" s="41"/>
      <c r="O38" s="41"/>
      <c r="P38" s="41"/>
      <c r="Q38" s="41"/>
      <c r="R38" s="41"/>
      <c r="S38" s="41"/>
      <c r="T38" s="41"/>
      <c r="U38" s="41"/>
      <c r="V38" s="41"/>
      <c r="W38" s="41"/>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98"/>
      <c r="AW38" s="98"/>
      <c r="AX38" s="98"/>
      <c r="AY38" s="98"/>
      <c r="AZ38" s="98"/>
      <c r="BA38" s="98"/>
      <c r="BB38" s="98"/>
      <c r="BC38" s="98"/>
      <c r="BD38" s="98"/>
      <c r="BE38" s="98"/>
      <c r="BF38" s="98"/>
      <c r="BG38" s="98"/>
      <c r="BH38" s="98"/>
      <c r="BI38" s="98"/>
      <c r="BJ38" s="41"/>
      <c r="BK38" s="41"/>
      <c r="BL38" s="41"/>
      <c r="BM38" s="41"/>
      <c r="BN38" s="41"/>
      <c r="BO38" s="41"/>
      <c r="BP38" s="41"/>
      <c r="BQ38" s="41"/>
      <c r="BR38" s="41"/>
      <c r="BS38" s="41"/>
      <c r="BT38" s="41"/>
      <c r="BU38" s="41"/>
      <c r="BV38" s="41"/>
      <c r="BW38" s="41"/>
      <c r="BX38" s="41"/>
      <c r="BY38" s="41"/>
      <c r="BZ38" s="41"/>
      <c r="CA38" s="41"/>
      <c r="CB38" s="41"/>
      <c r="CC38" s="41"/>
      <c r="CD38" s="41"/>
      <c r="CE38" s="41"/>
      <c r="CF38" s="41"/>
      <c r="CG38" s="41"/>
      <c r="CH38" s="41"/>
      <c r="CI38" s="41"/>
      <c r="CJ38" s="41"/>
      <c r="CK38" s="41"/>
      <c r="CL38" s="42"/>
      <c r="CM38" s="43"/>
    </row>
    <row r="39" spans="2:91" ht="9.75" customHeight="1">
      <c r="B39" s="44"/>
      <c r="C39" s="45"/>
      <c r="D39" s="46"/>
      <c r="E39" s="46"/>
      <c r="F39" s="46"/>
      <c r="G39" s="46"/>
      <c r="H39" s="46"/>
      <c r="I39" s="46"/>
      <c r="J39" s="46"/>
      <c r="K39" s="46"/>
      <c r="L39" s="46"/>
      <c r="M39" s="46"/>
      <c r="N39" s="46"/>
      <c r="O39" s="46"/>
      <c r="P39" s="46"/>
      <c r="Q39" s="46"/>
      <c r="R39" s="46"/>
      <c r="S39" s="46"/>
      <c r="T39" s="46"/>
      <c r="U39" s="46"/>
      <c r="V39" s="46"/>
      <c r="W39" s="403"/>
      <c r="X39" s="46"/>
      <c r="Y39" s="47"/>
      <c r="Z39" s="48"/>
      <c r="AA39" s="45"/>
      <c r="AB39" s="46"/>
      <c r="AC39" s="403"/>
      <c r="AD39" s="403"/>
      <c r="AE39" s="403"/>
      <c r="AF39" s="403"/>
      <c r="AG39" s="46"/>
      <c r="AH39" s="46"/>
      <c r="AI39" s="46"/>
      <c r="AJ39" s="46"/>
      <c r="AK39" s="46"/>
      <c r="AL39" s="46"/>
      <c r="AM39" s="46"/>
      <c r="AN39" s="46"/>
      <c r="AO39" s="46"/>
      <c r="AP39" s="46"/>
      <c r="AQ39" s="46"/>
      <c r="AR39" s="46"/>
      <c r="AS39" s="46"/>
      <c r="AT39" s="46"/>
      <c r="AU39" s="46"/>
      <c r="AV39" s="46"/>
      <c r="AW39" s="46"/>
      <c r="AX39" s="46"/>
      <c r="AY39" s="46"/>
      <c r="AZ39" s="46"/>
      <c r="BA39" s="460"/>
      <c r="BB39" s="460"/>
      <c r="BC39" s="403"/>
      <c r="BD39" s="403"/>
      <c r="BE39" s="46"/>
      <c r="BF39" s="46"/>
      <c r="BG39" s="46"/>
      <c r="BH39" s="46"/>
      <c r="BI39" s="49"/>
      <c r="BJ39" s="403"/>
      <c r="BK39" s="403"/>
      <c r="BL39" s="46"/>
      <c r="BM39" s="46"/>
      <c r="BN39" s="46"/>
      <c r="BO39" s="46"/>
      <c r="BP39" s="46"/>
      <c r="BQ39" s="46"/>
      <c r="BR39" s="46"/>
      <c r="BS39" s="46"/>
      <c r="BT39" s="46"/>
      <c r="BU39" s="46"/>
      <c r="BV39" s="46"/>
      <c r="BW39" s="46"/>
      <c r="BX39" s="46"/>
      <c r="BY39" s="46"/>
      <c r="BZ39" s="46"/>
      <c r="CA39" s="46"/>
      <c r="CB39" s="46"/>
      <c r="CC39" s="46"/>
      <c r="CD39" s="46"/>
      <c r="CE39" s="46"/>
      <c r="CF39" s="46"/>
      <c r="CG39" s="46"/>
      <c r="CH39" s="46"/>
      <c r="CI39" s="46"/>
      <c r="CJ39" s="46"/>
      <c r="CK39" s="47"/>
      <c r="CL39" s="100"/>
      <c r="CM39" s="43"/>
    </row>
    <row r="40" spans="2:91" ht="19.5" customHeight="1">
      <c r="B40" s="44"/>
      <c r="C40" s="101"/>
      <c r="D40" s="102" t="s">
        <v>36</v>
      </c>
      <c r="E40" s="102"/>
      <c r="F40" s="102"/>
      <c r="G40" s="102"/>
      <c r="H40" s="102"/>
      <c r="I40" s="59"/>
      <c r="J40" s="59"/>
      <c r="K40" s="59"/>
      <c r="L40" s="59"/>
      <c r="M40" s="59"/>
      <c r="N40" s="59"/>
      <c r="O40" s="59"/>
      <c r="P40" s="59"/>
      <c r="Q40" s="59"/>
      <c r="R40" s="59"/>
      <c r="S40" s="59"/>
      <c r="T40" s="59"/>
      <c r="U40" s="59"/>
      <c r="V40" s="59"/>
      <c r="Y40" s="2832">
        <f>'CALCULS Eau potable'!O63</f>
        <v>0</v>
      </c>
      <c r="Z40" s="49"/>
      <c r="AA40" s="50"/>
      <c r="AB40" s="57" t="s">
        <v>753</v>
      </c>
      <c r="AG40" s="59"/>
      <c r="AH40" s="59"/>
      <c r="AI40" s="59"/>
      <c r="AJ40" s="59"/>
      <c r="AK40" s="59"/>
      <c r="AL40" s="59"/>
      <c r="AM40" s="59"/>
      <c r="AN40" s="59"/>
      <c r="AO40" s="59"/>
      <c r="AP40" s="59"/>
      <c r="AQ40" s="59"/>
      <c r="AR40" s="59"/>
      <c r="AS40" s="59"/>
      <c r="AT40" s="59"/>
      <c r="AU40" s="59"/>
      <c r="AV40" s="59"/>
      <c r="AW40" s="59"/>
      <c r="BD40" s="1051"/>
      <c r="BE40" s="3575">
        <f>'CALCULS Eau potable'!O71</f>
        <v>0</v>
      </c>
      <c r="BF40" s="3575"/>
      <c r="BG40" s="3575"/>
      <c r="BI40" s="49"/>
      <c r="BK40" s="57" t="s">
        <v>754</v>
      </c>
      <c r="BL40" s="59"/>
      <c r="BM40" s="57"/>
      <c r="BN40" s="59"/>
      <c r="BO40" s="59"/>
      <c r="BP40" s="59"/>
      <c r="BQ40" s="59"/>
      <c r="BR40" s="59"/>
      <c r="BS40" s="59"/>
      <c r="BT40" s="59"/>
      <c r="BU40" s="59"/>
      <c r="BV40" s="59"/>
      <c r="BW40" s="59"/>
      <c r="BX40" s="59"/>
      <c r="BY40" s="59"/>
      <c r="BZ40" s="59"/>
      <c r="CA40" s="59"/>
      <c r="CB40" s="59"/>
      <c r="CC40" s="59"/>
      <c r="CD40" s="59"/>
      <c r="CE40" s="59"/>
      <c r="CF40" s="59"/>
      <c r="CG40" s="59"/>
      <c r="CH40" s="59"/>
      <c r="CI40" s="3620">
        <f>'CALCULS Eau potable'!O86</f>
        <v>0</v>
      </c>
      <c r="CJ40" s="3620"/>
      <c r="CK40" s="61"/>
      <c r="CL40" s="100"/>
      <c r="CM40" s="43"/>
    </row>
    <row r="41" spans="2:91" ht="7.5" customHeight="1">
      <c r="B41" s="44"/>
      <c r="C41" s="411"/>
      <c r="D41" s="102"/>
      <c r="E41" s="102"/>
      <c r="F41" s="102"/>
      <c r="G41" s="102"/>
      <c r="H41" s="102"/>
      <c r="I41" s="59"/>
      <c r="J41" s="59"/>
      <c r="K41" s="59"/>
      <c r="L41" s="59"/>
      <c r="M41" s="59"/>
      <c r="N41" s="59"/>
      <c r="O41" s="59"/>
      <c r="P41" s="59"/>
      <c r="Q41" s="59"/>
      <c r="R41" s="59"/>
      <c r="S41" s="59"/>
      <c r="T41" s="59"/>
      <c r="U41" s="59"/>
      <c r="V41" s="59"/>
      <c r="X41" s="59"/>
      <c r="Y41" s="61"/>
      <c r="Z41" s="1047"/>
      <c r="AA41" s="50"/>
      <c r="AG41" s="59"/>
      <c r="AH41" s="59"/>
      <c r="AI41" s="59"/>
      <c r="AJ41" s="59"/>
      <c r="AK41" s="59"/>
      <c r="AL41" s="59"/>
      <c r="AM41" s="59"/>
      <c r="AN41" s="59"/>
      <c r="AO41" s="59"/>
      <c r="AP41" s="59"/>
      <c r="AQ41" s="59"/>
      <c r="AR41" s="59"/>
      <c r="AS41" s="59"/>
      <c r="AT41" s="59"/>
      <c r="AU41" s="59"/>
      <c r="AV41" s="59"/>
      <c r="AW41" s="59"/>
      <c r="AX41" s="2833"/>
      <c r="AY41" s="2833"/>
      <c r="AZ41" s="2833"/>
      <c r="BA41" s="55"/>
      <c r="BB41" s="55"/>
      <c r="BE41" s="59"/>
      <c r="BF41" s="55"/>
      <c r="BI41" s="49"/>
      <c r="BL41" s="59"/>
      <c r="BM41" s="57"/>
      <c r="BN41" s="59"/>
      <c r="BO41" s="59"/>
      <c r="BP41" s="59"/>
      <c r="BQ41" s="59"/>
      <c r="BR41" s="59"/>
      <c r="BS41" s="59"/>
      <c r="BT41" s="59"/>
      <c r="BU41" s="59"/>
      <c r="BV41" s="59"/>
      <c r="BW41" s="59"/>
      <c r="BX41" s="59"/>
      <c r="BY41" s="59"/>
      <c r="BZ41" s="59"/>
      <c r="CA41" s="59"/>
      <c r="CB41" s="59"/>
      <c r="CC41" s="59"/>
      <c r="CD41" s="59"/>
      <c r="CE41" s="59"/>
      <c r="CF41" s="59"/>
      <c r="CG41" s="59"/>
      <c r="CH41" s="59"/>
      <c r="CI41" s="59"/>
      <c r="CJ41" s="2833"/>
      <c r="CK41" s="61"/>
      <c r="CL41" s="100"/>
      <c r="CM41" s="43"/>
    </row>
    <row r="42" spans="2:91" ht="23.25" customHeight="1">
      <c r="B42" s="44"/>
      <c r="C42" s="386"/>
      <c r="D42" s="397" t="s">
        <v>755</v>
      </c>
      <c r="E42" s="397"/>
      <c r="F42" s="397"/>
      <c r="G42" s="397"/>
      <c r="H42" s="397"/>
      <c r="I42" s="402"/>
      <c r="J42" s="402"/>
      <c r="K42" s="402"/>
      <c r="M42" s="402"/>
      <c r="O42" s="563" t="s">
        <v>494</v>
      </c>
      <c r="P42" s="402"/>
      <c r="Q42" s="103"/>
      <c r="S42" s="406"/>
      <c r="T42" s="406"/>
      <c r="U42" s="406"/>
      <c r="V42" s="406"/>
      <c r="W42" s="406"/>
      <c r="X42" s="406"/>
      <c r="Y42" s="120"/>
      <c r="Z42" s="49"/>
      <c r="AA42" s="1041"/>
      <c r="AD42" s="1037" t="s">
        <v>756</v>
      </c>
      <c r="AE42" s="406"/>
      <c r="AF42" s="406"/>
      <c r="AG42" s="406"/>
      <c r="AH42" s="406"/>
      <c r="AI42" s="406"/>
      <c r="AJ42" s="406"/>
      <c r="AK42" s="406"/>
      <c r="AL42" s="406"/>
      <c r="AM42" s="406"/>
      <c r="AN42" s="406"/>
      <c r="AO42" s="406"/>
      <c r="AP42" s="406"/>
      <c r="AQ42" s="406"/>
      <c r="AR42" s="3621"/>
      <c r="AS42" s="3621"/>
      <c r="AT42" s="3621"/>
      <c r="AU42" s="3621"/>
      <c r="AV42" s="3621"/>
      <c r="AW42" s="2421"/>
      <c r="AX42" s="3622" t="s">
        <v>757</v>
      </c>
      <c r="AY42" s="3623"/>
      <c r="AZ42" s="2502"/>
      <c r="BA42" s="3623" t="s">
        <v>758</v>
      </c>
      <c r="BB42" s="3623"/>
      <c r="BC42" s="3623"/>
      <c r="BD42" s="3623"/>
      <c r="BE42" s="3623"/>
      <c r="BF42" s="3623"/>
      <c r="BI42" s="49"/>
      <c r="BL42" s="103"/>
      <c r="BM42" s="394" t="s">
        <v>26</v>
      </c>
      <c r="BN42" s="394"/>
      <c r="BO42" s="394"/>
      <c r="BP42" s="394"/>
      <c r="BQ42" s="394"/>
      <c r="BR42" s="394"/>
      <c r="BS42" s="394"/>
      <c r="BU42" s="406"/>
      <c r="BV42" s="406"/>
      <c r="BW42" s="406"/>
      <c r="BX42" s="3624" t="s">
        <v>759</v>
      </c>
      <c r="BY42" s="3625"/>
      <c r="BZ42" s="3625"/>
      <c r="CA42" s="3625"/>
      <c r="CB42" s="3625"/>
      <c r="CC42" s="3625"/>
      <c r="CD42" s="3625"/>
      <c r="CE42" s="1049"/>
      <c r="CF42" s="3626" t="s">
        <v>760</v>
      </c>
      <c r="CG42" s="3626"/>
      <c r="CH42" s="3626"/>
      <c r="CI42" s="3626"/>
      <c r="CJ42" s="3626"/>
      <c r="CK42" s="559"/>
      <c r="CL42" s="100"/>
      <c r="CM42" s="43"/>
    </row>
    <row r="43" spans="2:91" ht="3.75" customHeight="1" thickBot="1">
      <c r="B43" s="44"/>
      <c r="C43" s="386"/>
      <c r="D43" s="1045"/>
      <c r="E43" s="1045"/>
      <c r="F43" s="1045"/>
      <c r="G43" s="1045"/>
      <c r="H43" s="1045"/>
      <c r="I43" s="1045"/>
      <c r="J43" s="1045"/>
      <c r="K43" s="1045"/>
      <c r="L43" s="1045"/>
      <c r="M43" s="1045"/>
      <c r="N43" s="405"/>
      <c r="O43" s="1046"/>
      <c r="P43" s="1045"/>
      <c r="Q43" s="1045"/>
      <c r="R43" s="1045"/>
      <c r="S43" s="1045"/>
      <c r="T43" s="1045"/>
      <c r="U43" s="404"/>
      <c r="V43" s="404"/>
      <c r="W43" s="404"/>
      <c r="X43" s="404"/>
      <c r="Y43" s="1039"/>
      <c r="Z43" s="1048"/>
      <c r="AA43" s="1042"/>
      <c r="AB43" s="385"/>
      <c r="AC43" s="398"/>
      <c r="AD43" s="398"/>
      <c r="AE43" s="398"/>
      <c r="AF43" s="398"/>
      <c r="AG43" s="398"/>
      <c r="AH43" s="398"/>
      <c r="AI43" s="398"/>
      <c r="AJ43" s="398"/>
      <c r="AK43" s="398"/>
      <c r="AL43" s="398"/>
      <c r="AM43" s="398"/>
      <c r="AN43" s="399"/>
      <c r="AO43" s="399"/>
      <c r="AP43" s="399"/>
      <c r="AQ43" s="399"/>
      <c r="AR43" s="399"/>
      <c r="AS43" s="399"/>
      <c r="AT43" s="399"/>
      <c r="AU43" s="399"/>
      <c r="AV43" s="399"/>
      <c r="AW43" s="1034"/>
      <c r="AX43" s="1116"/>
      <c r="AY43" s="399"/>
      <c r="AZ43" s="1034"/>
      <c r="BA43" s="399"/>
      <c r="BB43" s="399"/>
      <c r="BC43" s="399"/>
      <c r="BD43" s="399"/>
      <c r="BE43" s="399"/>
      <c r="BF43" s="1050"/>
      <c r="BI43" s="49"/>
      <c r="BK43" s="103"/>
      <c r="BL43" s="404"/>
      <c r="BM43" s="405"/>
      <c r="BN43" s="395"/>
      <c r="BO43" s="395"/>
      <c r="BP43" s="395"/>
      <c r="BQ43" s="395"/>
      <c r="BR43" s="395"/>
      <c r="BS43" s="395"/>
      <c r="BT43" s="395"/>
      <c r="BU43" s="395"/>
      <c r="BV43" s="393"/>
      <c r="BW43" s="393"/>
      <c r="BX43" s="1054"/>
      <c r="BY43" s="404"/>
      <c r="BZ43" s="393"/>
      <c r="CA43" s="395"/>
      <c r="CB43" s="395"/>
      <c r="CC43" s="395"/>
      <c r="CD43" s="395"/>
      <c r="CE43" s="395"/>
      <c r="CF43" s="396"/>
      <c r="CG43" s="395"/>
      <c r="CH43" s="395"/>
      <c r="CI43" s="395"/>
      <c r="CJ43" s="395"/>
      <c r="CK43" s="387"/>
      <c r="CL43" s="100"/>
      <c r="CM43" s="43"/>
    </row>
    <row r="44" spans="2:91" ht="8.25" customHeight="1">
      <c r="B44" s="44"/>
      <c r="C44" s="386"/>
      <c r="D44" s="2468"/>
      <c r="E44" s="2468"/>
      <c r="F44" s="2468"/>
      <c r="G44" s="2468"/>
      <c r="H44" s="2468"/>
      <c r="I44" s="2469"/>
      <c r="J44" s="2469"/>
      <c r="K44" s="2469"/>
      <c r="L44" s="2470"/>
      <c r="M44" s="2469"/>
      <c r="N44" s="2471"/>
      <c r="O44" s="103"/>
      <c r="P44" s="103"/>
      <c r="Q44" s="103"/>
      <c r="S44" s="103"/>
      <c r="T44" s="103"/>
      <c r="U44" s="103"/>
      <c r="V44" s="103"/>
      <c r="W44" s="103"/>
      <c r="X44" s="103"/>
      <c r="Y44" s="1040"/>
      <c r="Z44" s="49"/>
      <c r="AA44" s="1043"/>
      <c r="AE44" s="385"/>
      <c r="AF44" s="385"/>
      <c r="AG44" s="385"/>
      <c r="AH44" s="385"/>
      <c r="AI44" s="385"/>
      <c r="AJ44" s="385"/>
      <c r="AK44" s="385"/>
      <c r="AL44" s="385"/>
      <c r="AM44" s="385"/>
      <c r="AN44" s="385"/>
      <c r="AO44" s="103"/>
      <c r="AP44" s="103"/>
      <c r="AQ44" s="103"/>
      <c r="AR44" s="103"/>
      <c r="AT44" s="103"/>
      <c r="AU44" s="103"/>
      <c r="AW44" s="1035"/>
      <c r="AX44" s="401"/>
      <c r="AY44" s="103"/>
      <c r="AZ44" s="1117"/>
      <c r="BA44" s="55"/>
      <c r="BB44" s="55"/>
      <c r="BC44" s="55"/>
      <c r="BD44" s="55"/>
      <c r="BE44" s="55"/>
      <c r="BF44" s="55"/>
      <c r="BI44" s="49"/>
      <c r="BK44" s="103"/>
      <c r="BL44" s="103"/>
      <c r="BN44" s="103"/>
      <c r="BO44" s="103"/>
      <c r="BP44" s="103"/>
      <c r="BQ44" s="103"/>
      <c r="BR44" s="103"/>
      <c r="BS44" s="103"/>
      <c r="BU44" s="103"/>
      <c r="BV44" s="103"/>
      <c r="BW44" s="1117"/>
      <c r="BX44" s="2472"/>
      <c r="BY44" s="103"/>
      <c r="BZ44" s="103"/>
      <c r="CA44" s="392"/>
      <c r="CB44" s="103"/>
      <c r="CC44" s="103"/>
      <c r="CD44" s="103"/>
      <c r="CE44" s="103"/>
      <c r="CG44" s="103"/>
      <c r="CH44" s="392"/>
      <c r="CI44" s="103"/>
      <c r="CJ44" s="103"/>
      <c r="CK44" s="387"/>
      <c r="CL44" s="100"/>
      <c r="CM44" s="43"/>
    </row>
    <row r="45" spans="2:91" ht="20.25" customHeight="1">
      <c r="B45" s="44"/>
      <c r="C45" s="386"/>
      <c r="D45" s="3682" t="str">
        <f>IF('CALCULS Eau potable'!D64=0,"",'CALCULS Eau potable'!D64)</f>
        <v/>
      </c>
      <c r="E45" s="3682"/>
      <c r="F45" s="3682"/>
      <c r="G45" s="3682"/>
      <c r="H45" s="3682"/>
      <c r="I45" s="3682"/>
      <c r="J45" s="3682"/>
      <c r="K45" s="3682"/>
      <c r="L45" s="3682"/>
      <c r="M45" s="3682"/>
      <c r="N45" s="3684"/>
      <c r="O45" s="3682" t="str">
        <f>IF('CALCULS Eau potable'!H64=0,"",'CALCULS Eau potable'!H64)</f>
        <v/>
      </c>
      <c r="P45" s="3682"/>
      <c r="Q45" s="3682"/>
      <c r="R45" s="3682"/>
      <c r="S45" s="3682"/>
      <c r="T45" s="3682"/>
      <c r="U45" s="3682"/>
      <c r="V45" s="3682"/>
      <c r="W45" s="3682"/>
      <c r="X45" s="3682"/>
      <c r="Y45" s="2467"/>
      <c r="Z45" s="49"/>
      <c r="AA45" s="1044"/>
      <c r="AC45" s="2848" t="s">
        <v>761</v>
      </c>
      <c r="AD45" s="2454"/>
      <c r="AE45" s="2455"/>
      <c r="AF45" s="2455"/>
      <c r="AG45" s="2455"/>
      <c r="AH45" s="2455"/>
      <c r="AI45" s="2456"/>
      <c r="AJ45" s="2456"/>
      <c r="AK45" s="2456"/>
      <c r="AL45" s="2456"/>
      <c r="AM45" s="2456"/>
      <c r="AN45" s="2457"/>
      <c r="AO45" s="2457"/>
      <c r="AP45" s="2457"/>
      <c r="AQ45" s="2457"/>
      <c r="AR45" s="2457"/>
      <c r="AS45" s="2458"/>
      <c r="AT45" s="2458"/>
      <c r="AU45" s="2458"/>
      <c r="AV45" s="2497"/>
      <c r="AW45" s="2459"/>
      <c r="AX45" s="2834" t="str">
        <f>IF('CALCULS Eau potable'!J72&gt;0,"P","")</f>
        <v/>
      </c>
      <c r="AY45" s="2500"/>
      <c r="AZ45" s="2460"/>
      <c r="BA45" s="3677" t="str">
        <f>IF('CALCULS Eau potable'!K72&gt;0,"P","")</f>
        <v/>
      </c>
      <c r="BB45" s="3677"/>
      <c r="BC45" s="3677"/>
      <c r="BD45" s="3677"/>
      <c r="BE45" s="3677"/>
      <c r="BF45" s="2456"/>
      <c r="BI45" s="49"/>
      <c r="BK45" s="76"/>
      <c r="BL45" s="76"/>
      <c r="BM45" s="3630" t="str">
        <f>IF('CALCULS Eau potable'!D72=0,"",'CALCULS Eau potable'!D72)</f>
        <v/>
      </c>
      <c r="BN45" s="3630"/>
      <c r="BO45" s="3630"/>
      <c r="BP45" s="3630"/>
      <c r="BQ45" s="3630"/>
      <c r="BR45" s="3630"/>
      <c r="BS45" s="3630"/>
      <c r="BT45" s="3630"/>
      <c r="BU45" s="3630"/>
      <c r="BV45" s="3630"/>
      <c r="BW45" s="3631"/>
      <c r="BX45" s="3617" t="str">
        <f>'CALCULS Eau potable'!J87</f>
        <v/>
      </c>
      <c r="BY45" s="3618"/>
      <c r="BZ45" s="3618"/>
      <c r="CA45" s="3619" t="str">
        <f>'CALCULS Eau potable'!I87</f>
        <v/>
      </c>
      <c r="CB45" s="3619"/>
      <c r="CC45" s="72"/>
      <c r="CD45" s="1052"/>
      <c r="CE45" s="1052"/>
      <c r="CF45" s="3618" t="str">
        <f>'CALCULS Eau potable'!L87</f>
        <v/>
      </c>
      <c r="CG45" s="3618"/>
      <c r="CH45" s="3629" t="str">
        <f>'CALCULS Eau potable'!K87</f>
        <v/>
      </c>
      <c r="CI45" s="3629"/>
      <c r="CJ45" s="3629"/>
      <c r="CK45" s="387"/>
      <c r="CL45" s="100"/>
      <c r="CM45" s="43"/>
    </row>
    <row r="46" spans="2:91" ht="10.5" customHeight="1">
      <c r="B46" s="44"/>
      <c r="C46" s="386"/>
      <c r="D46" s="3682"/>
      <c r="E46" s="3682"/>
      <c r="F46" s="3682"/>
      <c r="G46" s="3682"/>
      <c r="H46" s="3682"/>
      <c r="I46" s="3682"/>
      <c r="J46" s="3682"/>
      <c r="K46" s="3682"/>
      <c r="L46" s="3682"/>
      <c r="M46" s="3682"/>
      <c r="N46" s="3684"/>
      <c r="O46" s="3682"/>
      <c r="P46" s="3682"/>
      <c r="Q46" s="3682"/>
      <c r="R46" s="3682"/>
      <c r="S46" s="3682"/>
      <c r="T46" s="3682"/>
      <c r="U46" s="3682"/>
      <c r="V46" s="3682"/>
      <c r="W46" s="3682"/>
      <c r="X46" s="3682"/>
      <c r="Y46" s="2467"/>
      <c r="Z46" s="49"/>
      <c r="AA46" s="1044"/>
      <c r="AC46" s="3680" t="s">
        <v>762</v>
      </c>
      <c r="AD46" s="3680"/>
      <c r="AE46" s="3680"/>
      <c r="AF46" s="3680"/>
      <c r="AG46" s="3680"/>
      <c r="AH46" s="3680"/>
      <c r="AI46" s="3680"/>
      <c r="AJ46" s="3680"/>
      <c r="AK46" s="3680"/>
      <c r="AL46" s="3680"/>
      <c r="AM46" s="3680"/>
      <c r="AN46" s="3680"/>
      <c r="AO46" s="3680"/>
      <c r="AP46" s="3680"/>
      <c r="AQ46" s="3680"/>
      <c r="AR46" s="3680"/>
      <c r="AS46" s="3680"/>
      <c r="AT46" s="3680"/>
      <c r="AU46" s="3680"/>
      <c r="AV46" s="3680"/>
      <c r="AW46" s="2462"/>
      <c r="AX46" s="3627" t="str">
        <f>IF('CALCULS Eau potable'!J73&gt;0,"P","")</f>
        <v/>
      </c>
      <c r="AY46" s="2461"/>
      <c r="AZ46" s="2464"/>
      <c r="BA46" s="3676" t="str">
        <f>IF('CALCULS Eau potable'!K73&gt;0,"P","")</f>
        <v/>
      </c>
      <c r="BB46" s="3676"/>
      <c r="BC46" s="3676"/>
      <c r="BD46" s="3676"/>
      <c r="BE46" s="3676"/>
      <c r="BF46" s="2465"/>
      <c r="BI46" s="49"/>
      <c r="BM46" s="3630"/>
      <c r="BN46" s="3630"/>
      <c r="BO46" s="3630"/>
      <c r="BP46" s="3630"/>
      <c r="BQ46" s="3630"/>
      <c r="BR46" s="3630"/>
      <c r="BS46" s="3630"/>
      <c r="BT46" s="3630"/>
      <c r="BU46" s="3630"/>
      <c r="BV46" s="3630"/>
      <c r="BW46" s="3631"/>
      <c r="BX46" s="3617"/>
      <c r="BY46" s="3618"/>
      <c r="BZ46" s="3618"/>
      <c r="CA46" s="3619"/>
      <c r="CB46" s="3619"/>
      <c r="CF46" s="3618"/>
      <c r="CG46" s="3618"/>
      <c r="CH46" s="3629"/>
      <c r="CI46" s="3629"/>
      <c r="CJ46" s="3629"/>
      <c r="CK46" s="1163"/>
      <c r="CL46" s="100"/>
      <c r="CM46" s="43"/>
    </row>
    <row r="47" spans="2:91" ht="10.5" customHeight="1">
      <c r="B47" s="44"/>
      <c r="C47" s="386"/>
      <c r="D47" s="3682" t="str">
        <f>IF('CALCULS Eau potable'!D65=0,"",'CALCULS Eau potable'!D65)</f>
        <v/>
      </c>
      <c r="E47" s="3682"/>
      <c r="F47" s="3682"/>
      <c r="G47" s="3682"/>
      <c r="H47" s="3682"/>
      <c r="I47" s="3682"/>
      <c r="J47" s="3682"/>
      <c r="K47" s="3682"/>
      <c r="L47" s="3682"/>
      <c r="M47" s="3682"/>
      <c r="N47" s="3684"/>
      <c r="O47" s="3682" t="str">
        <f>IF('CALCULS Eau potable'!H65=0,"",'CALCULS Eau potable'!H65)</f>
        <v/>
      </c>
      <c r="P47" s="3682"/>
      <c r="Q47" s="3682"/>
      <c r="R47" s="3682"/>
      <c r="S47" s="3682"/>
      <c r="T47" s="3682"/>
      <c r="U47" s="3682"/>
      <c r="V47" s="3682"/>
      <c r="W47" s="3682"/>
      <c r="X47" s="3682"/>
      <c r="Y47" s="2467"/>
      <c r="Z47" s="49"/>
      <c r="AA47" s="1044"/>
      <c r="AC47" s="3681"/>
      <c r="AD47" s="3681"/>
      <c r="AE47" s="3681"/>
      <c r="AF47" s="3681"/>
      <c r="AG47" s="3681"/>
      <c r="AH47" s="3681"/>
      <c r="AI47" s="3681"/>
      <c r="AJ47" s="3681"/>
      <c r="AK47" s="3681"/>
      <c r="AL47" s="3681"/>
      <c r="AM47" s="3681"/>
      <c r="AN47" s="3681"/>
      <c r="AO47" s="3681"/>
      <c r="AP47" s="3681"/>
      <c r="AQ47" s="3681"/>
      <c r="AR47" s="3681"/>
      <c r="AS47" s="3681"/>
      <c r="AT47" s="3681"/>
      <c r="AU47" s="3681"/>
      <c r="AV47" s="3681"/>
      <c r="AW47" s="2463"/>
      <c r="AX47" s="3628"/>
      <c r="AY47" s="2423"/>
      <c r="AZ47" s="1118"/>
      <c r="BA47" s="3677"/>
      <c r="BB47" s="3677"/>
      <c r="BC47" s="3677"/>
      <c r="BD47" s="3677"/>
      <c r="BE47" s="3677"/>
      <c r="BF47" s="580"/>
      <c r="BI47" s="49"/>
      <c r="BM47" s="3630" t="str">
        <f>IF('CALCULS Eau potable'!D73=0,"",'CALCULS Eau potable'!D73)</f>
        <v/>
      </c>
      <c r="BN47" s="3630"/>
      <c r="BO47" s="3630"/>
      <c r="BP47" s="3630"/>
      <c r="BQ47" s="3630"/>
      <c r="BR47" s="3630"/>
      <c r="BS47" s="3630"/>
      <c r="BT47" s="3630"/>
      <c r="BU47" s="3630"/>
      <c r="BV47" s="3630"/>
      <c r="BW47" s="3631"/>
      <c r="BX47" s="3617" t="str">
        <f>'CALCULS Eau potable'!J88</f>
        <v/>
      </c>
      <c r="BY47" s="3618"/>
      <c r="BZ47" s="3618"/>
      <c r="CA47" s="3619" t="str">
        <f>'CALCULS Eau potable'!I88</f>
        <v/>
      </c>
      <c r="CB47" s="3619"/>
      <c r="CF47" s="3618" t="str">
        <f>'CALCULS Eau potable'!L88</f>
        <v/>
      </c>
      <c r="CG47" s="3618"/>
      <c r="CH47" s="3629" t="str">
        <f>'CALCULS Eau potable'!K88</f>
        <v/>
      </c>
      <c r="CI47" s="3629"/>
      <c r="CJ47" s="3629"/>
      <c r="CK47" s="1163"/>
      <c r="CL47" s="100"/>
      <c r="CM47" s="43"/>
    </row>
    <row r="48" spans="2:91" ht="21" customHeight="1">
      <c r="B48" s="44"/>
      <c r="C48" s="386"/>
      <c r="D48" s="3682"/>
      <c r="E48" s="3682"/>
      <c r="F48" s="3682"/>
      <c r="G48" s="3682"/>
      <c r="H48" s="3682"/>
      <c r="I48" s="3682"/>
      <c r="J48" s="3682"/>
      <c r="K48" s="3682"/>
      <c r="L48" s="3682"/>
      <c r="M48" s="3682"/>
      <c r="N48" s="3684"/>
      <c r="O48" s="3682"/>
      <c r="P48" s="3682"/>
      <c r="Q48" s="3682"/>
      <c r="R48" s="3682"/>
      <c r="S48" s="3682"/>
      <c r="T48" s="3682"/>
      <c r="U48" s="3682"/>
      <c r="V48" s="3682"/>
      <c r="W48" s="3682"/>
      <c r="X48" s="3682"/>
      <c r="Y48" s="2467"/>
      <c r="Z48" s="49"/>
      <c r="AA48" s="1044"/>
      <c r="AC48" s="1038" t="s">
        <v>763</v>
      </c>
      <c r="AD48" s="581"/>
      <c r="AE48" s="582"/>
      <c r="AF48" s="582"/>
      <c r="AG48" s="582"/>
      <c r="AH48" s="582"/>
      <c r="AI48" s="584"/>
      <c r="AJ48" s="584"/>
      <c r="AK48" s="584"/>
      <c r="AL48" s="584"/>
      <c r="AM48" s="584"/>
      <c r="AN48" s="584"/>
      <c r="AO48" s="584"/>
      <c r="AP48" s="584"/>
      <c r="AQ48" s="584"/>
      <c r="AR48" s="584"/>
      <c r="AS48" s="1033"/>
      <c r="AT48" s="1033"/>
      <c r="AU48" s="1033"/>
      <c r="AV48" s="2498"/>
      <c r="AW48" s="1036"/>
      <c r="AX48" s="1120" t="str">
        <f>IF('CALCULS Eau potable'!J74&gt;0,"P","")</f>
        <v/>
      </c>
      <c r="AY48" s="2422"/>
      <c r="AZ48" s="1119"/>
      <c r="BA48" s="3695" t="str">
        <f>IF('CALCULS Eau potable'!K74&gt;0,"P","")</f>
        <v/>
      </c>
      <c r="BB48" s="3695"/>
      <c r="BC48" s="3695"/>
      <c r="BD48" s="3695"/>
      <c r="BE48" s="3695"/>
      <c r="BF48" s="584"/>
      <c r="BI48" s="560"/>
      <c r="BK48" s="76"/>
      <c r="BL48" s="76"/>
      <c r="BM48" s="3630"/>
      <c r="BN48" s="3630"/>
      <c r="BO48" s="3630"/>
      <c r="BP48" s="3630"/>
      <c r="BQ48" s="3630"/>
      <c r="BR48" s="3630"/>
      <c r="BS48" s="3630"/>
      <c r="BT48" s="3630"/>
      <c r="BU48" s="3630"/>
      <c r="BV48" s="3630"/>
      <c r="BW48" s="3631"/>
      <c r="BX48" s="3617"/>
      <c r="BY48" s="3618"/>
      <c r="BZ48" s="3618"/>
      <c r="CA48" s="3619"/>
      <c r="CB48" s="3619"/>
      <c r="CC48" s="72"/>
      <c r="CD48" s="1052"/>
      <c r="CE48" s="1052"/>
      <c r="CF48" s="3618"/>
      <c r="CG48" s="3618"/>
      <c r="CH48" s="3629"/>
      <c r="CI48" s="3629"/>
      <c r="CJ48" s="3629"/>
      <c r="CK48" s="387"/>
      <c r="CL48" s="100"/>
      <c r="CM48" s="43"/>
    </row>
    <row r="49" spans="2:91" ht="21" customHeight="1">
      <c r="B49" s="44"/>
      <c r="C49" s="386"/>
      <c r="D49" s="3682" t="str">
        <f>IF('CALCULS Eau potable'!D66=0,"",'CALCULS Eau potable'!D66)</f>
        <v/>
      </c>
      <c r="E49" s="3682"/>
      <c r="F49" s="3682"/>
      <c r="G49" s="3682"/>
      <c r="H49" s="3682"/>
      <c r="I49" s="3682"/>
      <c r="J49" s="3682"/>
      <c r="K49" s="3682"/>
      <c r="L49" s="3682"/>
      <c r="M49" s="3682"/>
      <c r="N49" s="3684"/>
      <c r="O49" s="3682" t="str">
        <f>IF('CALCULS Eau potable'!H66=0,"",'CALCULS Eau potable'!H66)</f>
        <v/>
      </c>
      <c r="P49" s="3682"/>
      <c r="Q49" s="3682"/>
      <c r="R49" s="3682"/>
      <c r="S49" s="3682"/>
      <c r="T49" s="3682"/>
      <c r="U49" s="3682"/>
      <c r="V49" s="3682"/>
      <c r="W49" s="3682"/>
      <c r="X49" s="3682"/>
      <c r="Y49" s="2453"/>
      <c r="Z49" s="49"/>
      <c r="AA49" s="1044"/>
      <c r="AC49" s="1038" t="s">
        <v>764</v>
      </c>
      <c r="AD49" s="581"/>
      <c r="AE49" s="582"/>
      <c r="AF49" s="582"/>
      <c r="AG49" s="582"/>
      <c r="AH49" s="582"/>
      <c r="AI49" s="583"/>
      <c r="AJ49" s="583"/>
      <c r="AK49" s="583"/>
      <c r="AL49" s="583"/>
      <c r="AM49" s="583"/>
      <c r="AN49" s="584"/>
      <c r="AO49" s="584"/>
      <c r="AP49" s="584"/>
      <c r="AQ49" s="584"/>
      <c r="AR49" s="584"/>
      <c r="AS49" s="1033"/>
      <c r="AT49" s="1033"/>
      <c r="AU49" s="1033"/>
      <c r="AV49" s="2498"/>
      <c r="AW49" s="1036"/>
      <c r="AX49" s="1120" t="str">
        <f>IF('CALCULS Eau potable'!J75&gt;0,"P","")</f>
        <v/>
      </c>
      <c r="AY49" s="2422"/>
      <c r="AZ49" s="1119"/>
      <c r="BA49" s="3695" t="str">
        <f>IF('CALCULS Eau potable'!K75&gt;0,"P","")</f>
        <v/>
      </c>
      <c r="BB49" s="3695"/>
      <c r="BC49" s="3695"/>
      <c r="BD49" s="3695"/>
      <c r="BE49" s="3695"/>
      <c r="BF49" s="583"/>
      <c r="BI49" s="560"/>
      <c r="BK49" s="76"/>
      <c r="BL49" s="76"/>
      <c r="BM49" s="3630" t="str">
        <f>IF('CALCULS Eau potable'!D74=0,"",'CALCULS Eau potable'!D74)</f>
        <v/>
      </c>
      <c r="BN49" s="3630"/>
      <c r="BO49" s="3630"/>
      <c r="BP49" s="3630"/>
      <c r="BQ49" s="3630"/>
      <c r="BR49" s="3630"/>
      <c r="BS49" s="3630"/>
      <c r="BT49" s="3630"/>
      <c r="BU49" s="3630"/>
      <c r="BV49" s="3630"/>
      <c r="BW49" s="3631"/>
      <c r="BX49" s="3617" t="str">
        <f>'CALCULS Eau potable'!J89</f>
        <v/>
      </c>
      <c r="BY49" s="3618"/>
      <c r="BZ49" s="3618"/>
      <c r="CA49" s="3619" t="str">
        <f>'CALCULS Eau potable'!I89</f>
        <v/>
      </c>
      <c r="CB49" s="3619"/>
      <c r="CC49" s="72"/>
      <c r="CD49" s="1052"/>
      <c r="CE49" s="1052"/>
      <c r="CF49" s="3618" t="str">
        <f>'CALCULS Eau potable'!L89</f>
        <v/>
      </c>
      <c r="CG49" s="3618"/>
      <c r="CH49" s="3629" t="str">
        <f>'CALCULS Eau potable'!K89</f>
        <v/>
      </c>
      <c r="CI49" s="3629"/>
      <c r="CJ49" s="3629"/>
      <c r="CK49" s="387"/>
      <c r="CL49" s="100"/>
      <c r="CM49" s="43"/>
    </row>
    <row r="50" spans="2:91" ht="17.25" customHeight="1">
      <c r="B50" s="44"/>
      <c r="C50" s="386"/>
      <c r="D50" s="3682"/>
      <c r="E50" s="3682"/>
      <c r="F50" s="3682"/>
      <c r="G50" s="3682"/>
      <c r="H50" s="3682"/>
      <c r="I50" s="3682"/>
      <c r="J50" s="3682"/>
      <c r="K50" s="3682"/>
      <c r="L50" s="3682"/>
      <c r="M50" s="3682"/>
      <c r="N50" s="3684"/>
      <c r="O50" s="3682"/>
      <c r="P50" s="3682"/>
      <c r="Q50" s="3682"/>
      <c r="R50" s="3682"/>
      <c r="S50" s="3682"/>
      <c r="T50" s="3682"/>
      <c r="U50" s="3682"/>
      <c r="V50" s="3682"/>
      <c r="W50" s="3682"/>
      <c r="X50" s="3682"/>
      <c r="Y50" s="2453"/>
      <c r="Z50" s="49"/>
      <c r="AA50" s="1044"/>
      <c r="AC50" s="1136" t="s">
        <v>765</v>
      </c>
      <c r="AD50" s="1130"/>
      <c r="AE50" s="1131"/>
      <c r="AF50" s="1131"/>
      <c r="AG50" s="1131"/>
      <c r="AH50" s="1131"/>
      <c r="AI50" s="1131"/>
      <c r="AJ50" s="1131"/>
      <c r="AK50" s="1131"/>
      <c r="AL50" s="1131"/>
      <c r="AM50" s="1131"/>
      <c r="AN50" s="1132"/>
      <c r="AO50" s="1132"/>
      <c r="AP50" s="1132"/>
      <c r="AQ50" s="1132"/>
      <c r="AR50" s="1132"/>
      <c r="AS50" s="1133"/>
      <c r="AT50" s="1133"/>
      <c r="AU50" s="1133"/>
      <c r="AV50" s="2499"/>
      <c r="AW50" s="1134"/>
      <c r="AX50" s="1137" t="str">
        <f>IF('CALCULS Eau potable'!J76&gt;0,"P","")</f>
        <v/>
      </c>
      <c r="AY50" s="2501"/>
      <c r="AZ50" s="1135"/>
      <c r="BA50" s="3632" t="str">
        <f>IF('CALCULS Eau potable'!K76&gt;0,"P","")</f>
        <v/>
      </c>
      <c r="BB50" s="3632"/>
      <c r="BC50" s="3632"/>
      <c r="BD50" s="3632"/>
      <c r="BE50" s="3632"/>
      <c r="BF50" s="1131"/>
      <c r="BI50" s="560"/>
      <c r="BK50" s="76"/>
      <c r="BL50" s="76"/>
      <c r="BM50" s="3630"/>
      <c r="BN50" s="3630"/>
      <c r="BO50" s="3630"/>
      <c r="BP50" s="3630"/>
      <c r="BQ50" s="3630"/>
      <c r="BR50" s="3630"/>
      <c r="BS50" s="3630"/>
      <c r="BT50" s="3630"/>
      <c r="BU50" s="3630"/>
      <c r="BV50" s="3630"/>
      <c r="BW50" s="3631"/>
      <c r="BX50" s="3617"/>
      <c r="BY50" s="3618"/>
      <c r="BZ50" s="3618"/>
      <c r="CA50" s="3619"/>
      <c r="CB50" s="3619"/>
      <c r="CC50" s="72"/>
      <c r="CD50" s="561"/>
      <c r="CE50" s="561"/>
      <c r="CF50" s="3618"/>
      <c r="CG50" s="3618"/>
      <c r="CH50" s="3629"/>
      <c r="CI50" s="3629"/>
      <c r="CJ50" s="3629"/>
      <c r="CK50" s="387"/>
      <c r="CL50" s="100"/>
      <c r="CM50" s="43"/>
    </row>
    <row r="51" spans="2:91" ht="9" customHeight="1">
      <c r="B51" s="44"/>
      <c r="C51" s="388"/>
      <c r="D51" s="389"/>
      <c r="E51" s="389"/>
      <c r="F51" s="389"/>
      <c r="G51" s="389"/>
      <c r="H51" s="389"/>
      <c r="I51" s="390"/>
      <c r="J51" s="390"/>
      <c r="K51" s="390"/>
      <c r="L51" s="390"/>
      <c r="M51" s="390"/>
      <c r="N51" s="390"/>
      <c r="O51" s="390"/>
      <c r="P51" s="390"/>
      <c r="Q51" s="390"/>
      <c r="R51" s="390"/>
      <c r="S51" s="390"/>
      <c r="T51" s="390"/>
      <c r="U51" s="390"/>
      <c r="V51" s="390"/>
      <c r="W51" s="157"/>
      <c r="X51" s="390"/>
      <c r="Y51" s="391"/>
      <c r="Z51" s="562"/>
      <c r="AA51" s="388"/>
      <c r="AB51" s="390"/>
      <c r="AC51" s="157"/>
      <c r="AD51" s="157"/>
      <c r="AE51" s="157"/>
      <c r="AF51" s="157"/>
      <c r="AG51" s="390"/>
      <c r="AH51" s="390"/>
      <c r="AI51" s="390"/>
      <c r="AJ51" s="390"/>
      <c r="AK51" s="390"/>
      <c r="AL51" s="390"/>
      <c r="AM51" s="390"/>
      <c r="AN51" s="390"/>
      <c r="AO51" s="390"/>
      <c r="AP51" s="390"/>
      <c r="AQ51" s="390"/>
      <c r="AR51" s="390"/>
      <c r="AS51" s="390"/>
      <c r="AT51" s="390"/>
      <c r="AU51" s="390"/>
      <c r="AV51" s="390"/>
      <c r="AW51" s="390"/>
      <c r="AX51" s="390"/>
      <c r="AY51" s="390"/>
      <c r="AZ51" s="390"/>
      <c r="BA51" s="156"/>
      <c r="BB51" s="156"/>
      <c r="BC51" s="157"/>
      <c r="BD51" s="157"/>
      <c r="BE51" s="390"/>
      <c r="BF51" s="156"/>
      <c r="BG51" s="157"/>
      <c r="BH51" s="157"/>
      <c r="BI51" s="49"/>
      <c r="BJ51" s="157"/>
      <c r="BK51" s="157"/>
      <c r="BL51" s="390"/>
      <c r="BM51" s="390"/>
      <c r="BN51" s="390"/>
      <c r="BO51" s="390"/>
      <c r="BP51" s="390"/>
      <c r="BQ51" s="390"/>
      <c r="BR51" s="390"/>
      <c r="BS51" s="390"/>
      <c r="BT51" s="390"/>
      <c r="BU51" s="390"/>
      <c r="BV51" s="390"/>
      <c r="BW51" s="390"/>
      <c r="BX51" s="390"/>
      <c r="BY51" s="390"/>
      <c r="BZ51" s="390"/>
      <c r="CA51" s="390"/>
      <c r="CB51" s="390"/>
      <c r="CC51" s="390"/>
      <c r="CD51" s="390"/>
      <c r="CE51" s="390"/>
      <c r="CF51" s="390"/>
      <c r="CG51" s="390"/>
      <c r="CH51" s="390"/>
      <c r="CI51" s="390"/>
      <c r="CJ51" s="390"/>
      <c r="CK51" s="391"/>
      <c r="CL51" s="100"/>
      <c r="CM51" s="43"/>
    </row>
    <row r="52" spans="2:91" ht="12.75" customHeight="1">
      <c r="B52" s="94"/>
      <c r="C52" s="95"/>
      <c r="D52" s="95"/>
      <c r="E52" s="95"/>
      <c r="F52" s="95"/>
      <c r="G52" s="95"/>
      <c r="H52" s="95"/>
      <c r="I52" s="95"/>
      <c r="J52" s="95"/>
      <c r="K52" s="95"/>
      <c r="L52" s="95"/>
      <c r="M52" s="95"/>
      <c r="N52" s="95"/>
      <c r="O52" s="95"/>
      <c r="P52" s="95"/>
      <c r="Q52" s="95"/>
      <c r="R52" s="95"/>
      <c r="S52" s="95"/>
      <c r="T52" s="95"/>
      <c r="U52" s="95"/>
      <c r="V52" s="95"/>
      <c r="W52" s="95"/>
      <c r="X52" s="106"/>
      <c r="Y52" s="106"/>
      <c r="Z52" s="106"/>
      <c r="AA52" s="106"/>
      <c r="AB52" s="106"/>
      <c r="AC52" s="106"/>
      <c r="AD52" s="106"/>
      <c r="AE52" s="106"/>
      <c r="AF52" s="106"/>
      <c r="AG52" s="106"/>
      <c r="AH52" s="106"/>
      <c r="AI52" s="106"/>
      <c r="AJ52" s="106"/>
      <c r="AK52" s="106"/>
      <c r="AL52" s="106"/>
      <c r="AM52" s="106"/>
      <c r="AN52" s="106"/>
      <c r="AO52" s="106"/>
      <c r="AP52" s="106"/>
      <c r="AQ52" s="106"/>
      <c r="AR52" s="106"/>
      <c r="AS52" s="106"/>
      <c r="AT52" s="106"/>
      <c r="AU52" s="106"/>
      <c r="AV52" s="106"/>
      <c r="AW52" s="106"/>
      <c r="AX52" s="106"/>
      <c r="AY52" s="106"/>
      <c r="AZ52" s="106"/>
      <c r="BA52" s="106"/>
      <c r="BB52" s="106"/>
      <c r="BC52" s="106"/>
      <c r="BD52" s="106"/>
      <c r="BE52" s="106"/>
      <c r="BF52" s="106"/>
      <c r="BG52" s="106"/>
      <c r="BH52" s="106"/>
      <c r="BI52" s="106"/>
      <c r="BJ52" s="95"/>
      <c r="BK52" s="95"/>
      <c r="BL52" s="95"/>
      <c r="BM52" s="95"/>
      <c r="BN52" s="95"/>
      <c r="BO52" s="95"/>
      <c r="BP52" s="95"/>
      <c r="BQ52" s="95"/>
      <c r="BR52" s="95"/>
      <c r="BS52" s="95"/>
      <c r="BT52" s="95"/>
      <c r="BU52" s="95"/>
      <c r="BV52" s="95"/>
      <c r="BW52" s="95"/>
      <c r="BX52" s="95"/>
      <c r="BY52" s="95"/>
      <c r="BZ52" s="95"/>
      <c r="CA52" s="95"/>
      <c r="CB52" s="95"/>
      <c r="CC52" s="95"/>
      <c r="CD52" s="95"/>
      <c r="CE52" s="95"/>
      <c r="CF52" s="95"/>
      <c r="CG52" s="95"/>
      <c r="CH52" s="95"/>
      <c r="CI52" s="95"/>
      <c r="CJ52" s="95"/>
      <c r="CK52" s="95"/>
      <c r="CL52" s="96"/>
      <c r="CM52" s="43"/>
    </row>
    <row r="53" spans="2:91" ht="15.75" customHeight="1">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c r="CA53" s="59"/>
      <c r="CB53" s="59"/>
      <c r="CC53" s="59"/>
      <c r="CD53" s="59"/>
      <c r="CE53" s="59"/>
      <c r="CF53" s="59"/>
      <c r="CG53" s="59"/>
      <c r="CH53" s="59"/>
      <c r="CI53" s="59"/>
      <c r="CJ53" s="59"/>
      <c r="CK53" s="59"/>
      <c r="CL53" s="59"/>
      <c r="CM53" s="59"/>
    </row>
    <row r="54" spans="2:91" ht="22.5" customHeight="1">
      <c r="B54" s="36"/>
      <c r="C54" s="1014" t="s">
        <v>89</v>
      </c>
      <c r="D54" s="38"/>
      <c r="E54" s="38"/>
      <c r="F54" s="38"/>
      <c r="G54" s="38"/>
      <c r="H54" s="38"/>
      <c r="I54" s="38"/>
      <c r="J54" s="38"/>
      <c r="K54" s="38"/>
      <c r="L54" s="38"/>
      <c r="M54" s="38"/>
      <c r="N54" s="38"/>
      <c r="O54" s="38"/>
      <c r="P54" s="38"/>
      <c r="Q54" s="38"/>
      <c r="R54" s="38"/>
      <c r="S54" s="38"/>
      <c r="T54" s="38"/>
      <c r="U54" s="38"/>
      <c r="V54" s="38"/>
      <c r="W54" s="38"/>
      <c r="X54" s="39"/>
      <c r="Y54" s="3582"/>
      <c r="Z54" s="3582"/>
      <c r="AA54" s="3582"/>
      <c r="AB54" s="3582"/>
      <c r="AC54" s="38"/>
      <c r="AD54" s="107"/>
      <c r="AE54" s="38"/>
      <c r="AF54" s="38"/>
      <c r="AG54" s="38"/>
      <c r="AH54" s="38"/>
      <c r="AI54" s="38"/>
      <c r="AJ54" s="107"/>
      <c r="AK54" s="38"/>
      <c r="AL54" s="38"/>
      <c r="AM54" s="38"/>
      <c r="AN54" s="38"/>
      <c r="AO54" s="38"/>
      <c r="AP54" s="38"/>
      <c r="AQ54" s="38"/>
      <c r="AR54" s="38"/>
      <c r="AS54" s="55"/>
      <c r="AT54" s="38"/>
      <c r="AU54" s="237" t="s">
        <v>507</v>
      </c>
      <c r="AV54" s="108"/>
      <c r="AW54" s="108"/>
      <c r="AX54" s="39"/>
      <c r="AY54" s="39"/>
      <c r="AZ54" s="39"/>
      <c r="BA54" s="3582"/>
      <c r="BB54" s="3582"/>
      <c r="BC54" s="3582"/>
      <c r="BD54" s="3582"/>
      <c r="BE54" s="3582"/>
      <c r="BF54" s="3582"/>
      <c r="BG54" s="3582"/>
      <c r="BH54" s="3582"/>
      <c r="BI54" s="3582"/>
      <c r="BJ54" s="3582"/>
      <c r="BK54" s="3582"/>
      <c r="BL54" s="3582"/>
      <c r="BM54" s="3582"/>
      <c r="BN54" s="3582"/>
      <c r="BO54" s="3582"/>
      <c r="BP54" s="38"/>
      <c r="BQ54" s="38"/>
      <c r="BR54" s="38"/>
      <c r="BS54" s="38"/>
      <c r="BT54" s="38"/>
      <c r="BU54" s="38"/>
      <c r="BV54" s="38"/>
      <c r="BW54" s="38"/>
      <c r="BX54" s="38"/>
      <c r="BY54" s="38"/>
      <c r="BZ54" s="38"/>
      <c r="CA54" s="38"/>
      <c r="CB54" s="38"/>
      <c r="CC54" s="38"/>
      <c r="CD54" s="38"/>
      <c r="CE54" s="38"/>
      <c r="CF54" s="38"/>
      <c r="CG54" s="38"/>
      <c r="CH54" s="39"/>
      <c r="CI54" s="36"/>
      <c r="CJ54" s="3574"/>
      <c r="CK54" s="3574"/>
      <c r="CL54" s="38"/>
    </row>
    <row r="55" spans="2:91" ht="6.75" customHeight="1"/>
    <row r="56" spans="2:91" ht="14.25" customHeight="1">
      <c r="B56" s="40"/>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c r="AE56" s="41"/>
      <c r="AF56" s="41"/>
      <c r="AG56" s="41"/>
      <c r="AH56" s="41"/>
      <c r="AI56" s="41"/>
      <c r="AJ56" s="41"/>
      <c r="AK56" s="109"/>
      <c r="AL56" s="109"/>
      <c r="AM56" s="109"/>
      <c r="AN56" s="109"/>
      <c r="AO56" s="109"/>
      <c r="AP56" s="109"/>
      <c r="AQ56" s="109"/>
      <c r="AR56" s="109"/>
      <c r="AS56" s="110"/>
      <c r="AT56" s="109"/>
      <c r="AU56" s="109"/>
      <c r="AV56" s="109"/>
      <c r="AW56" s="109"/>
      <c r="AX56" s="109"/>
      <c r="AY56" s="109"/>
      <c r="AZ56" s="109"/>
      <c r="BA56" s="109"/>
      <c r="BB56" s="109"/>
      <c r="BC56" s="109"/>
      <c r="BD56" s="109"/>
      <c r="BE56" s="109"/>
      <c r="BF56" s="109"/>
      <c r="BG56" s="109"/>
      <c r="BH56" s="41"/>
      <c r="BI56" s="41"/>
      <c r="BJ56" s="41"/>
      <c r="BK56" s="41"/>
      <c r="BL56" s="41"/>
      <c r="BM56" s="41"/>
      <c r="BN56" s="41"/>
      <c r="BO56" s="41"/>
      <c r="BP56" s="41"/>
      <c r="BQ56" s="41"/>
      <c r="BR56" s="41"/>
      <c r="BS56" s="41"/>
      <c r="BT56" s="41"/>
      <c r="BU56" s="41"/>
      <c r="BV56" s="41"/>
      <c r="BW56" s="41"/>
      <c r="BX56" s="41"/>
      <c r="BY56" s="41"/>
      <c r="BZ56" s="41"/>
      <c r="CA56" s="41"/>
      <c r="CB56" s="41"/>
      <c r="CC56" s="41"/>
      <c r="CD56" s="41"/>
      <c r="CE56" s="41"/>
      <c r="CF56" s="41"/>
      <c r="CG56" s="41"/>
      <c r="CH56" s="41"/>
      <c r="CI56" s="41"/>
      <c r="CJ56" s="41"/>
      <c r="CK56" s="41"/>
      <c r="CL56" s="42"/>
      <c r="CM56" s="43"/>
    </row>
    <row r="57" spans="2:91" ht="9.75" customHeight="1">
      <c r="B57" s="44"/>
      <c r="C57" s="45"/>
      <c r="D57" s="46"/>
      <c r="E57" s="46"/>
      <c r="F57" s="46"/>
      <c r="G57" s="46"/>
      <c r="H57" s="46"/>
      <c r="I57" s="46"/>
      <c r="J57" s="46"/>
      <c r="K57" s="46"/>
      <c r="L57" s="46"/>
      <c r="M57" s="46"/>
      <c r="N57" s="46"/>
      <c r="O57" s="46"/>
      <c r="P57" s="46"/>
      <c r="Q57" s="46"/>
      <c r="R57" s="46"/>
      <c r="S57" s="46"/>
      <c r="T57" s="46"/>
      <c r="U57" s="46"/>
      <c r="V57" s="46"/>
      <c r="W57" s="46"/>
      <c r="X57" s="46"/>
      <c r="Y57" s="111"/>
      <c r="Z57" s="111"/>
      <c r="AA57" s="111"/>
      <c r="AB57" s="111"/>
      <c r="AC57" s="111"/>
      <c r="AD57" s="111"/>
      <c r="AE57" s="111"/>
      <c r="AF57" s="111"/>
      <c r="AG57" s="111"/>
      <c r="AH57" s="111"/>
      <c r="AI57" s="111"/>
      <c r="AJ57" s="111"/>
      <c r="AK57" s="111"/>
      <c r="AL57" s="111"/>
      <c r="AM57" s="111"/>
      <c r="AN57" s="111"/>
      <c r="AO57" s="111"/>
      <c r="AP57" s="111"/>
      <c r="AQ57" s="112"/>
      <c r="AR57" s="99"/>
      <c r="AS57" s="110"/>
      <c r="AT57" s="99"/>
      <c r="AU57" s="113"/>
      <c r="AV57" s="111"/>
      <c r="AW57" s="111"/>
      <c r="AX57" s="111"/>
      <c r="AY57" s="111"/>
      <c r="AZ57" s="111"/>
      <c r="BA57" s="111"/>
      <c r="BB57" s="111"/>
      <c r="BC57" s="111"/>
      <c r="BD57" s="111"/>
      <c r="BE57" s="111"/>
      <c r="BF57" s="111"/>
      <c r="BG57" s="111"/>
      <c r="BH57" s="111"/>
      <c r="BI57" s="111"/>
      <c r="BJ57" s="46"/>
      <c r="BK57" s="46"/>
      <c r="BL57" s="46"/>
      <c r="BM57" s="46"/>
      <c r="BN57" s="46"/>
      <c r="BO57" s="46"/>
      <c r="BP57" s="46"/>
      <c r="BQ57" s="46"/>
      <c r="BR57" s="46"/>
      <c r="BS57" s="46"/>
      <c r="BT57" s="46"/>
      <c r="BU57" s="46"/>
      <c r="BV57" s="46"/>
      <c r="BW57" s="46"/>
      <c r="BX57" s="46"/>
      <c r="BY57" s="46"/>
      <c r="BZ57" s="46"/>
      <c r="CA57" s="46"/>
      <c r="CB57" s="46"/>
      <c r="CC57" s="46"/>
      <c r="CD57" s="46"/>
      <c r="CE57" s="46"/>
      <c r="CF57" s="46"/>
      <c r="CG57" s="46"/>
      <c r="CH57" s="46"/>
      <c r="CI57" s="46"/>
      <c r="CJ57" s="46"/>
      <c r="CK57" s="47"/>
      <c r="CL57" s="100"/>
      <c r="CM57" s="43"/>
    </row>
    <row r="58" spans="2:91" ht="18" customHeight="1">
      <c r="B58" s="44"/>
      <c r="C58" s="101"/>
      <c r="D58" s="51" t="s">
        <v>766</v>
      </c>
      <c r="E58" s="51"/>
      <c r="F58" s="51"/>
      <c r="G58" s="51"/>
      <c r="H58" s="51"/>
      <c r="I58" s="59"/>
      <c r="J58" s="59"/>
      <c r="K58" s="59"/>
      <c r="L58" s="59"/>
      <c r="M58" s="59"/>
      <c r="N58" s="59"/>
      <c r="O58" s="59"/>
      <c r="P58" s="59"/>
      <c r="Q58" s="59"/>
      <c r="R58" s="59"/>
      <c r="S58" s="59"/>
      <c r="T58" s="59"/>
      <c r="U58" s="59"/>
      <c r="V58" s="59"/>
      <c r="W58" s="59"/>
      <c r="X58" s="59"/>
      <c r="Y58" s="59"/>
      <c r="Z58" s="59"/>
      <c r="AA58" s="59"/>
      <c r="AB58" s="59"/>
      <c r="AC58" s="59"/>
      <c r="AD58" s="55"/>
      <c r="AE58" s="59"/>
      <c r="AF58" s="57"/>
      <c r="AG58" s="59"/>
      <c r="AH58" s="59"/>
      <c r="AI58" s="59"/>
      <c r="AJ58" s="59"/>
      <c r="AK58" s="59"/>
      <c r="AL58" s="59"/>
      <c r="AM58" s="59"/>
      <c r="AN58" s="3620">
        <f>'CALCULS Eau potable'!L125</f>
        <v>0</v>
      </c>
      <c r="AO58" s="3620"/>
      <c r="AP58" s="3620"/>
      <c r="AQ58" s="114"/>
      <c r="AR58" s="99"/>
      <c r="AS58" s="110"/>
      <c r="AT58" s="99"/>
      <c r="AU58" s="115"/>
      <c r="AV58" s="102" t="s">
        <v>767</v>
      </c>
      <c r="AW58" s="102"/>
      <c r="BA58" s="59"/>
      <c r="BB58" s="59"/>
      <c r="BC58" s="59"/>
      <c r="BD58" s="59"/>
      <c r="BE58" s="59"/>
      <c r="BF58" s="59"/>
      <c r="BG58" s="55"/>
      <c r="BH58" s="59"/>
      <c r="BI58" s="57"/>
      <c r="BJ58" s="59"/>
      <c r="BL58" s="59"/>
      <c r="BN58" s="59"/>
      <c r="BO58" s="59"/>
      <c r="BP58" s="59"/>
      <c r="BQ58" s="59"/>
      <c r="BR58" s="59"/>
      <c r="BS58" s="59"/>
      <c r="BT58" s="59"/>
      <c r="BU58" s="59"/>
      <c r="BV58" s="59"/>
      <c r="BW58" s="59"/>
      <c r="BX58" s="59"/>
      <c r="BY58" s="59"/>
      <c r="BZ58" s="59"/>
      <c r="CA58" s="59"/>
      <c r="CB58" s="59"/>
      <c r="CC58" s="59"/>
      <c r="CD58" s="59"/>
      <c r="CE58" s="59"/>
      <c r="CF58" s="59"/>
      <c r="CG58" s="59"/>
      <c r="CH58" s="3620">
        <f>'CALCULS Eau potable'!L112</f>
        <v>0</v>
      </c>
      <c r="CI58" s="3620"/>
      <c r="CJ58" s="3620"/>
      <c r="CK58" s="61"/>
      <c r="CL58" s="100"/>
      <c r="CM58" s="43"/>
    </row>
    <row r="59" spans="2:91" ht="7.5" customHeight="1">
      <c r="B59" s="44"/>
      <c r="C59" s="50"/>
      <c r="D59" s="52"/>
      <c r="E59" s="52"/>
      <c r="F59" s="52"/>
      <c r="G59" s="52"/>
      <c r="H59" s="52"/>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114"/>
      <c r="AR59" s="99"/>
      <c r="AS59" s="110"/>
      <c r="AT59" s="99"/>
      <c r="AU59" s="115"/>
      <c r="AV59" s="59"/>
      <c r="AW59" s="59"/>
      <c r="AX59" s="59"/>
      <c r="AY59" s="59"/>
      <c r="AZ59" s="59"/>
      <c r="BA59" s="59"/>
      <c r="BB59" s="59"/>
      <c r="BC59" s="59"/>
      <c r="BD59" s="59"/>
      <c r="BE59" s="59"/>
      <c r="BF59" s="59"/>
      <c r="BG59" s="59"/>
      <c r="BH59" s="59"/>
      <c r="BI59" s="59"/>
      <c r="BJ59" s="59"/>
      <c r="BK59" s="59"/>
      <c r="BL59" s="59"/>
      <c r="BM59" s="59"/>
      <c r="BN59" s="59"/>
      <c r="BO59" s="59"/>
      <c r="BP59" s="59"/>
      <c r="BQ59" s="59"/>
      <c r="BR59" s="59"/>
      <c r="BS59" s="59"/>
      <c r="BT59" s="59"/>
      <c r="BU59" s="59"/>
      <c r="BV59" s="59"/>
      <c r="BW59" s="59"/>
      <c r="BX59" s="59"/>
      <c r="BY59" s="59"/>
      <c r="BZ59" s="59"/>
      <c r="CA59" s="59"/>
      <c r="CB59" s="59"/>
      <c r="CC59" s="59"/>
      <c r="CD59" s="59"/>
      <c r="CE59" s="59"/>
      <c r="CF59" s="59"/>
      <c r="CG59" s="59"/>
      <c r="CH59" s="59"/>
      <c r="CI59" s="59"/>
      <c r="CJ59" s="59"/>
      <c r="CK59" s="61"/>
      <c r="CL59" s="100"/>
      <c r="CM59" s="43"/>
    </row>
    <row r="60" spans="2:91" ht="6" customHeight="1">
      <c r="B60" s="44"/>
      <c r="C60" s="50"/>
      <c r="D60" s="52"/>
      <c r="E60" s="52"/>
      <c r="F60" s="52"/>
      <c r="G60" s="2539"/>
      <c r="H60" s="52"/>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114"/>
      <c r="AR60" s="99"/>
      <c r="AS60" s="110"/>
      <c r="AT60" s="99"/>
      <c r="AU60" s="115"/>
      <c r="AV60" s="59"/>
      <c r="AW60" s="59"/>
      <c r="AX60" s="59"/>
      <c r="AY60" s="59"/>
      <c r="AZ60" s="59"/>
      <c r="BA60" s="1460"/>
      <c r="BB60" s="59"/>
      <c r="BC60" s="59"/>
      <c r="BD60" s="59"/>
      <c r="BE60" s="59"/>
      <c r="BF60" s="59"/>
      <c r="BG60" s="59"/>
      <c r="BH60" s="59"/>
      <c r="BI60" s="59"/>
      <c r="BJ60" s="59"/>
      <c r="BK60" s="59"/>
      <c r="BL60" s="59"/>
      <c r="BM60" s="59"/>
      <c r="BN60" s="59"/>
      <c r="BO60" s="59"/>
      <c r="BP60" s="59"/>
      <c r="BQ60" s="59"/>
      <c r="BR60" s="59"/>
      <c r="BS60" s="59"/>
      <c r="BT60" s="59"/>
      <c r="BU60" s="59"/>
      <c r="BV60" s="59"/>
      <c r="BW60" s="59"/>
      <c r="BX60" s="59"/>
      <c r="BY60" s="59"/>
      <c r="BZ60" s="59"/>
      <c r="CA60" s="59"/>
      <c r="CB60" s="59"/>
      <c r="CC60" s="59"/>
      <c r="CD60" s="59"/>
      <c r="CE60" s="59"/>
      <c r="CF60" s="59"/>
      <c r="CG60" s="59"/>
      <c r="CH60" s="59"/>
      <c r="CI60" s="59"/>
      <c r="CJ60" s="59"/>
      <c r="CK60" s="61"/>
      <c r="CL60" s="100"/>
      <c r="CM60" s="43"/>
    </row>
    <row r="61" spans="2:91" ht="10.5" customHeight="1">
      <c r="B61" s="44"/>
      <c r="C61" s="50"/>
      <c r="D61" s="52"/>
      <c r="E61" s="52"/>
      <c r="F61" s="52"/>
      <c r="G61" s="2535" t="str">
        <f>'CALCULS Eau potable'!D123</f>
        <v>Actifs critiques</v>
      </c>
      <c r="H61" s="2536"/>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114"/>
      <c r="AR61" s="99"/>
      <c r="AS61" s="110"/>
      <c r="AT61" s="99"/>
      <c r="AU61" s="115"/>
      <c r="AV61" s="59"/>
      <c r="AW61" s="59"/>
      <c r="AX61" s="59"/>
      <c r="AY61" s="59"/>
      <c r="AZ61" s="2535" t="str">
        <f>'CALCULS Eau potable'!D105</f>
        <v>Démographiques</v>
      </c>
      <c r="BA61" s="122"/>
      <c r="BB61" s="59"/>
      <c r="BC61" s="59"/>
      <c r="BD61" s="59"/>
      <c r="BE61" s="59"/>
      <c r="BF61" s="59"/>
      <c r="BG61" s="59"/>
      <c r="BH61" s="59"/>
      <c r="BI61" s="59"/>
      <c r="BJ61" s="59"/>
      <c r="BK61" s="59"/>
      <c r="BL61" s="59"/>
      <c r="BM61" s="59"/>
      <c r="BN61" s="55"/>
      <c r="BO61" s="59"/>
      <c r="BP61" s="59"/>
      <c r="BQ61" s="59"/>
      <c r="BR61" s="59"/>
      <c r="BS61" s="59"/>
      <c r="BT61" s="59"/>
      <c r="BU61" s="59"/>
      <c r="BV61" s="59"/>
      <c r="BW61" s="59"/>
      <c r="BX61" s="59"/>
      <c r="BY61" s="55"/>
      <c r="BZ61" s="59"/>
      <c r="CA61" s="59"/>
      <c r="CB61" s="59"/>
      <c r="CC61" s="59"/>
      <c r="CD61" s="59"/>
      <c r="CE61" s="59"/>
      <c r="CF61" s="59"/>
      <c r="CG61" s="59"/>
      <c r="CH61" s="59"/>
      <c r="CI61" s="59"/>
      <c r="CJ61" s="59"/>
      <c r="CK61" s="61"/>
      <c r="CL61" s="100"/>
      <c r="CM61" s="43"/>
    </row>
    <row r="62" spans="2:91" ht="6" customHeight="1">
      <c r="B62" s="44"/>
      <c r="C62" s="50"/>
      <c r="D62" s="52"/>
      <c r="E62" s="52"/>
      <c r="F62" s="52"/>
      <c r="G62" s="52"/>
      <c r="H62" s="2536"/>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114"/>
      <c r="AR62" s="99"/>
      <c r="AS62" s="110"/>
      <c r="AT62" s="99"/>
      <c r="AU62" s="115"/>
      <c r="AV62" s="59"/>
      <c r="AW62" s="59"/>
      <c r="AX62" s="59"/>
      <c r="AY62" s="59"/>
      <c r="AZ62" s="52"/>
      <c r="BA62" s="122"/>
      <c r="BB62" s="59"/>
      <c r="BC62" s="59"/>
      <c r="BD62" s="59"/>
      <c r="BE62" s="59"/>
      <c r="BF62" s="59"/>
      <c r="BG62" s="59"/>
      <c r="BH62" s="59"/>
      <c r="BI62" s="59"/>
      <c r="BJ62" s="59"/>
      <c r="BK62" s="59"/>
      <c r="BL62" s="59"/>
      <c r="BM62" s="59"/>
      <c r="BN62" s="55"/>
      <c r="BO62" s="59"/>
      <c r="BP62" s="59"/>
      <c r="BQ62" s="59"/>
      <c r="BR62" s="59"/>
      <c r="BS62" s="59"/>
      <c r="BT62" s="59"/>
      <c r="BU62" s="59"/>
      <c r="BV62" s="59"/>
      <c r="BW62" s="59"/>
      <c r="BX62" s="59"/>
      <c r="BY62" s="55"/>
      <c r="BZ62" s="59"/>
      <c r="CA62" s="59"/>
      <c r="CB62" s="59"/>
      <c r="CC62" s="59"/>
      <c r="CD62" s="59"/>
      <c r="CE62" s="59"/>
      <c r="CF62" s="59"/>
      <c r="CG62" s="59"/>
      <c r="CH62" s="59"/>
      <c r="CI62" s="59"/>
      <c r="CJ62" s="59"/>
      <c r="CK62" s="61"/>
      <c r="CL62" s="100"/>
      <c r="CM62" s="43"/>
    </row>
    <row r="63" spans="2:91" ht="10.5" customHeight="1">
      <c r="B63" s="44"/>
      <c r="C63" s="50"/>
      <c r="D63" s="52"/>
      <c r="E63" s="52"/>
      <c r="F63" s="52"/>
      <c r="G63" s="2535" t="str">
        <f>'CALCULS Eau potable'!D122</f>
        <v>Dotation de personnel</v>
      </c>
      <c r="H63" s="2536"/>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114"/>
      <c r="AR63" s="99"/>
      <c r="AS63" s="110"/>
      <c r="AT63" s="99"/>
      <c r="AU63" s="115"/>
      <c r="AV63" s="59"/>
      <c r="AW63" s="59"/>
      <c r="AX63" s="59"/>
      <c r="AY63" s="59"/>
      <c r="AZ63" s="2535" t="str">
        <f>'CALCULS Eau potable'!D106</f>
        <v>Climatiques</v>
      </c>
      <c r="BA63" s="122"/>
      <c r="BB63" s="59"/>
      <c r="BC63" s="59"/>
      <c r="BD63" s="59"/>
      <c r="BE63" s="59"/>
      <c r="BF63" s="59"/>
      <c r="BG63" s="59"/>
      <c r="BH63" s="59"/>
      <c r="BI63" s="59"/>
      <c r="BJ63" s="59"/>
      <c r="BK63" s="59"/>
      <c r="BL63" s="59"/>
      <c r="BM63" s="59"/>
      <c r="BN63" s="55"/>
      <c r="BO63" s="59"/>
      <c r="BP63" s="59"/>
      <c r="BQ63" s="59"/>
      <c r="BR63" s="59"/>
      <c r="BS63" s="59"/>
      <c r="BT63" s="59"/>
      <c r="BU63" s="59"/>
      <c r="BV63" s="59"/>
      <c r="BW63" s="59"/>
      <c r="BX63" s="59"/>
      <c r="BY63" s="55"/>
      <c r="BZ63" s="59"/>
      <c r="CA63" s="59"/>
      <c r="CB63" s="59"/>
      <c r="CC63" s="59"/>
      <c r="CD63" s="59"/>
      <c r="CE63" s="59"/>
      <c r="CF63" s="59"/>
      <c r="CG63" s="59"/>
      <c r="CH63" s="59"/>
      <c r="CI63" s="59"/>
      <c r="CJ63" s="59"/>
      <c r="CK63" s="61"/>
      <c r="CL63" s="100"/>
      <c r="CM63" s="43"/>
    </row>
    <row r="64" spans="2:91" ht="6" customHeight="1">
      <c r="B64" s="44"/>
      <c r="C64" s="50"/>
      <c r="D64" s="52"/>
      <c r="E64" s="52"/>
      <c r="F64" s="52"/>
      <c r="G64" s="52"/>
      <c r="H64" s="2536"/>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114"/>
      <c r="AR64" s="99"/>
      <c r="AS64" s="110"/>
      <c r="AT64" s="99"/>
      <c r="AU64" s="115"/>
      <c r="AV64" s="59"/>
      <c r="AW64" s="59"/>
      <c r="AX64" s="59"/>
      <c r="AY64" s="59"/>
      <c r="AZ64" s="52"/>
      <c r="BA64" s="122"/>
      <c r="BB64" s="59"/>
      <c r="BC64" s="59"/>
      <c r="BD64" s="59"/>
      <c r="BE64" s="59"/>
      <c r="BF64" s="59"/>
      <c r="BG64" s="59"/>
      <c r="BH64" s="59"/>
      <c r="BI64" s="59"/>
      <c r="BJ64" s="59"/>
      <c r="BK64" s="59"/>
      <c r="BL64" s="59"/>
      <c r="BM64" s="59"/>
      <c r="BN64" s="55"/>
      <c r="BO64" s="59"/>
      <c r="BP64" s="59"/>
      <c r="BQ64" s="59"/>
      <c r="BR64" s="59"/>
      <c r="BS64" s="59"/>
      <c r="BT64" s="59"/>
      <c r="BU64" s="59"/>
      <c r="BV64" s="59"/>
      <c r="BW64" s="59"/>
      <c r="BX64" s="59"/>
      <c r="BY64" s="55"/>
      <c r="BZ64" s="59"/>
      <c r="CA64" s="59"/>
      <c r="CB64" s="59"/>
      <c r="CC64" s="59"/>
      <c r="CD64" s="59"/>
      <c r="CE64" s="59"/>
      <c r="CF64" s="59"/>
      <c r="CG64" s="59"/>
      <c r="CH64" s="59"/>
      <c r="CI64" s="59"/>
      <c r="CJ64" s="59"/>
      <c r="CK64" s="61"/>
      <c r="CL64" s="100"/>
      <c r="CM64" s="43"/>
    </row>
    <row r="65" spans="2:91" ht="10.5" customHeight="1">
      <c r="B65" s="44"/>
      <c r="C65" s="50"/>
      <c r="D65" s="52"/>
      <c r="E65" s="52"/>
      <c r="F65" s="52"/>
      <c r="G65" s="2535" t="str">
        <f>'CALCULS Eau potable'!D121</f>
        <v>Sous-financement</v>
      </c>
      <c r="H65" s="2536"/>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114"/>
      <c r="AR65" s="99"/>
      <c r="AS65" s="110"/>
      <c r="AT65" s="99"/>
      <c r="AU65" s="115"/>
      <c r="AV65" s="59"/>
      <c r="AW65" s="59"/>
      <c r="AX65" s="59"/>
      <c r="AY65" s="59"/>
      <c r="AZ65" s="2535" t="str">
        <f>'CALCULS Eau potable'!D107</f>
        <v>Cadre légal et règlementaire</v>
      </c>
      <c r="BA65" s="122"/>
      <c r="BB65" s="59"/>
      <c r="BC65" s="59"/>
      <c r="BD65" s="59"/>
      <c r="BE65" s="59"/>
      <c r="BF65" s="59"/>
      <c r="BG65" s="59"/>
      <c r="BH65" s="59"/>
      <c r="BI65" s="59"/>
      <c r="BJ65" s="59"/>
      <c r="BK65" s="59"/>
      <c r="BL65" s="59"/>
      <c r="BM65" s="59"/>
      <c r="BN65" s="55"/>
      <c r="BO65" s="59"/>
      <c r="BP65" s="59"/>
      <c r="BQ65" s="59"/>
      <c r="BR65" s="59"/>
      <c r="BS65" s="59"/>
      <c r="BT65" s="59"/>
      <c r="BU65" s="59"/>
      <c r="BV65" s="59"/>
      <c r="BW65" s="59"/>
      <c r="BX65" s="59"/>
      <c r="BY65" s="55"/>
      <c r="BZ65" s="59"/>
      <c r="CA65" s="59"/>
      <c r="CB65" s="59"/>
      <c r="CC65" s="59"/>
      <c r="CD65" s="59"/>
      <c r="CE65" s="59"/>
      <c r="CF65" s="59"/>
      <c r="CG65" s="59"/>
      <c r="CH65" s="59"/>
      <c r="CI65" s="59"/>
      <c r="CJ65" s="59"/>
      <c r="CK65" s="61"/>
      <c r="CL65" s="100"/>
      <c r="CM65" s="43"/>
    </row>
    <row r="66" spans="2:91" ht="6" customHeight="1">
      <c r="B66" s="44"/>
      <c r="C66" s="50"/>
      <c r="D66" s="52"/>
      <c r="E66" s="52"/>
      <c r="F66" s="52"/>
      <c r="G66" s="52"/>
      <c r="H66" s="2536"/>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114"/>
      <c r="AR66" s="99"/>
      <c r="AS66" s="110"/>
      <c r="AT66" s="99"/>
      <c r="AU66" s="115"/>
      <c r="AV66" s="59"/>
      <c r="AW66" s="59"/>
      <c r="AX66" s="59"/>
      <c r="AY66" s="59"/>
      <c r="AZ66" s="52"/>
      <c r="BA66" s="122"/>
      <c r="BB66" s="59"/>
      <c r="BC66" s="59"/>
      <c r="BD66" s="59"/>
      <c r="BE66" s="59"/>
      <c r="BF66" s="59"/>
      <c r="BG66" s="59"/>
      <c r="BH66" s="59"/>
      <c r="BI66" s="59"/>
      <c r="BJ66" s="59"/>
      <c r="BK66" s="59"/>
      <c r="BL66" s="59"/>
      <c r="BM66" s="59"/>
      <c r="BN66" s="55"/>
      <c r="BO66" s="59"/>
      <c r="BP66" s="59"/>
      <c r="BQ66" s="59"/>
      <c r="BR66" s="59"/>
      <c r="BS66" s="59"/>
      <c r="BT66" s="59"/>
      <c r="BU66" s="59"/>
      <c r="BV66" s="59"/>
      <c r="BW66" s="59"/>
      <c r="BX66" s="59"/>
      <c r="BY66" s="55"/>
      <c r="BZ66" s="59"/>
      <c r="CA66" s="59"/>
      <c r="CB66" s="59"/>
      <c r="CC66" s="59"/>
      <c r="CD66" s="59"/>
      <c r="CE66" s="59"/>
      <c r="CF66" s="59"/>
      <c r="CG66" s="59"/>
      <c r="CH66" s="59"/>
      <c r="CI66" s="59"/>
      <c r="CJ66" s="59"/>
      <c r="CK66" s="61"/>
      <c r="CL66" s="100"/>
      <c r="CM66" s="43"/>
    </row>
    <row r="67" spans="2:91" ht="10.5" customHeight="1">
      <c r="B67" s="44"/>
      <c r="C67" s="50"/>
      <c r="D67" s="52"/>
      <c r="E67" s="52"/>
      <c r="F67" s="52"/>
      <c r="G67" s="2535" t="str">
        <f>'CALCULS Eau potable'!D120</f>
        <v>Changements climatiques</v>
      </c>
      <c r="H67" s="2536"/>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114"/>
      <c r="AR67" s="99"/>
      <c r="AS67" s="110"/>
      <c r="AT67" s="99"/>
      <c r="AU67" s="115"/>
      <c r="AV67" s="59"/>
      <c r="AW67" s="59"/>
      <c r="AX67" s="59"/>
      <c r="AY67" s="59"/>
      <c r="AZ67" s="2535" t="str">
        <f>'CALCULS Eau potable'!D108</f>
        <v>Économiques</v>
      </c>
      <c r="BA67" s="122"/>
      <c r="BB67" s="59"/>
      <c r="BC67" s="59"/>
      <c r="BD67" s="59"/>
      <c r="BE67" s="59"/>
      <c r="BF67" s="59"/>
      <c r="BG67" s="59"/>
      <c r="BH67" s="59"/>
      <c r="BI67" s="59"/>
      <c r="BJ67" s="59"/>
      <c r="BK67" s="59"/>
      <c r="BL67" s="59"/>
      <c r="BM67" s="59"/>
      <c r="BN67" s="55"/>
      <c r="BO67" s="59"/>
      <c r="BP67" s="59"/>
      <c r="BQ67" s="59"/>
      <c r="BR67" s="59"/>
      <c r="BS67" s="59"/>
      <c r="BT67" s="59"/>
      <c r="BU67" s="59"/>
      <c r="BV67" s="59"/>
      <c r="BW67" s="59"/>
      <c r="BX67" s="59"/>
      <c r="BY67" s="55"/>
      <c r="BZ67" s="59"/>
      <c r="CA67" s="59"/>
      <c r="CB67" s="59"/>
      <c r="CC67" s="59"/>
      <c r="CD67" s="59"/>
      <c r="CE67" s="59"/>
      <c r="CF67" s="59"/>
      <c r="CG67" s="59"/>
      <c r="CH67" s="59"/>
      <c r="CI67" s="59"/>
      <c r="CJ67" s="59"/>
      <c r="CK67" s="61"/>
      <c r="CL67" s="100"/>
      <c r="CM67" s="43"/>
    </row>
    <row r="68" spans="2:91" ht="6" customHeight="1">
      <c r="B68" s="44"/>
      <c r="C68" s="50"/>
      <c r="D68" s="52"/>
      <c r="E68" s="52"/>
      <c r="F68" s="52"/>
      <c r="G68" s="52"/>
      <c r="H68" s="2536"/>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114"/>
      <c r="AR68" s="99"/>
      <c r="AS68" s="110"/>
      <c r="AT68" s="99"/>
      <c r="AU68" s="115"/>
      <c r="AV68" s="59"/>
      <c r="AW68" s="59"/>
      <c r="AX68" s="59"/>
      <c r="AY68" s="59"/>
      <c r="AZ68" s="52"/>
      <c r="BA68" s="122"/>
      <c r="BB68" s="59"/>
      <c r="BC68" s="59"/>
      <c r="BD68" s="59"/>
      <c r="BE68" s="59"/>
      <c r="BF68" s="59"/>
      <c r="BG68" s="59"/>
      <c r="BH68" s="59"/>
      <c r="BI68" s="59"/>
      <c r="BJ68" s="59"/>
      <c r="BK68" s="59"/>
      <c r="BL68" s="59"/>
      <c r="BM68" s="59"/>
      <c r="BN68" s="55"/>
      <c r="BO68" s="59"/>
      <c r="BP68" s="59"/>
      <c r="BQ68" s="59"/>
      <c r="BR68" s="59"/>
      <c r="BS68" s="59"/>
      <c r="BT68" s="59"/>
      <c r="BU68" s="59"/>
      <c r="BV68" s="59"/>
      <c r="BW68" s="59"/>
      <c r="BX68" s="59"/>
      <c r="BY68" s="55"/>
      <c r="BZ68" s="59"/>
      <c r="CA68" s="59"/>
      <c r="CB68" s="59"/>
      <c r="CC68" s="59"/>
      <c r="CD68" s="59"/>
      <c r="CE68" s="59"/>
      <c r="CF68" s="59"/>
      <c r="CG68" s="59"/>
      <c r="CH68" s="59"/>
      <c r="CI68" s="59"/>
      <c r="CJ68" s="59"/>
      <c r="CK68" s="61"/>
      <c r="CL68" s="100"/>
      <c r="CM68" s="43"/>
    </row>
    <row r="69" spans="2:91" ht="10.5" customHeight="1">
      <c r="B69" s="44"/>
      <c r="C69" s="50"/>
      <c r="D69" s="52"/>
      <c r="E69" s="52"/>
      <c r="F69" s="52"/>
      <c r="G69" s="2535" t="str">
        <f>'CALCULS Eau potable'!D119</f>
        <v>Manque d'informations</v>
      </c>
      <c r="H69" s="2536"/>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114"/>
      <c r="AR69" s="99"/>
      <c r="AS69" s="110"/>
      <c r="AT69" s="99"/>
      <c r="AU69" s="115"/>
      <c r="AV69" s="59"/>
      <c r="AW69" s="59"/>
      <c r="AX69" s="59"/>
      <c r="AY69" s="59"/>
      <c r="AZ69" s="2535" t="str">
        <f>'CALCULS Eau potable'!D109</f>
        <v>Technologiques</v>
      </c>
      <c r="BA69" s="122"/>
      <c r="BB69" s="59"/>
      <c r="BC69" s="59"/>
      <c r="BD69" s="59"/>
      <c r="BE69" s="59"/>
      <c r="BF69" s="59"/>
      <c r="BG69" s="59"/>
      <c r="BH69" s="59"/>
      <c r="BI69" s="59"/>
      <c r="BJ69" s="59"/>
      <c r="BK69" s="59"/>
      <c r="BL69" s="59"/>
      <c r="BM69" s="59"/>
      <c r="BN69" s="55"/>
      <c r="BO69" s="59"/>
      <c r="BP69" s="59"/>
      <c r="BQ69" s="59"/>
      <c r="BR69" s="59"/>
      <c r="BS69" s="59"/>
      <c r="BT69" s="59"/>
      <c r="BU69" s="59"/>
      <c r="BV69" s="59"/>
      <c r="BW69" s="59"/>
      <c r="BX69" s="59"/>
      <c r="BY69" s="55"/>
      <c r="BZ69" s="59"/>
      <c r="CA69" s="59"/>
      <c r="CB69" s="59"/>
      <c r="CC69" s="59"/>
      <c r="CD69" s="59"/>
      <c r="CE69" s="59"/>
      <c r="CF69" s="59"/>
      <c r="CG69" s="59"/>
      <c r="CH69" s="59"/>
      <c r="CI69" s="59"/>
      <c r="CJ69" s="59"/>
      <c r="CK69" s="61"/>
      <c r="CL69" s="100"/>
      <c r="CM69" s="43"/>
    </row>
    <row r="70" spans="2:91" ht="6" customHeight="1">
      <c r="B70" s="44"/>
      <c r="C70" s="50"/>
      <c r="D70" s="52"/>
      <c r="E70" s="52"/>
      <c r="F70" s="52"/>
      <c r="G70" s="52"/>
      <c r="H70" s="2536"/>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114"/>
      <c r="AR70" s="99"/>
      <c r="AS70" s="110"/>
      <c r="AT70" s="99"/>
      <c r="AU70" s="115"/>
      <c r="AV70" s="59"/>
      <c r="AW70" s="59"/>
      <c r="AX70" s="59"/>
      <c r="AY70" s="59"/>
      <c r="AZ70" s="59"/>
      <c r="BA70" s="122"/>
      <c r="BB70" s="59"/>
      <c r="BC70" s="59"/>
      <c r="BD70" s="59"/>
      <c r="BE70" s="59"/>
      <c r="BF70" s="59"/>
      <c r="BG70" s="59"/>
      <c r="BH70" s="59"/>
      <c r="BI70" s="59"/>
      <c r="BJ70" s="59"/>
      <c r="BK70" s="59"/>
      <c r="BL70" s="59"/>
      <c r="BM70" s="59"/>
      <c r="BN70" s="55"/>
      <c r="BO70" s="59"/>
      <c r="BP70" s="59"/>
      <c r="BQ70" s="59"/>
      <c r="BR70" s="59"/>
      <c r="BS70" s="59"/>
      <c r="BT70" s="59"/>
      <c r="BU70" s="59"/>
      <c r="BV70" s="59"/>
      <c r="BW70" s="59"/>
      <c r="BX70" s="59"/>
      <c r="BY70" s="55"/>
      <c r="BZ70" s="59"/>
      <c r="CA70" s="59"/>
      <c r="CB70" s="59"/>
      <c r="CC70" s="59"/>
      <c r="CD70" s="59"/>
      <c r="CE70" s="59"/>
      <c r="CF70" s="59"/>
      <c r="CG70" s="59"/>
      <c r="CH70" s="59"/>
      <c r="CI70" s="59"/>
      <c r="CJ70" s="59"/>
      <c r="CK70" s="61"/>
      <c r="CL70" s="100"/>
      <c r="CM70" s="43"/>
    </row>
    <row r="71" spans="2:91" ht="10.5" customHeight="1">
      <c r="B71" s="44"/>
      <c r="C71" s="50"/>
      <c r="D71" s="3579" t="str">
        <f>'CALCULS Eau potable'!D118</f>
        <v xml:space="preserve">Autre </v>
      </c>
      <c r="E71" s="3579"/>
      <c r="F71" s="3579"/>
      <c r="G71" s="3579"/>
      <c r="H71" s="2536"/>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114"/>
      <c r="AR71" s="99"/>
      <c r="AS71" s="110"/>
      <c r="AT71" s="99"/>
      <c r="AU71" s="115"/>
      <c r="AV71" s="59"/>
      <c r="AW71" s="3579" t="str">
        <f>'CALCULS Eau potable'!D110</f>
        <v xml:space="preserve">Autre </v>
      </c>
      <c r="AX71" s="3579"/>
      <c r="AY71" s="3579"/>
      <c r="AZ71" s="3579"/>
      <c r="BA71" s="122"/>
      <c r="BB71" s="59"/>
      <c r="BC71" s="59"/>
      <c r="BD71" s="59"/>
      <c r="BE71" s="59"/>
      <c r="BF71" s="59"/>
      <c r="BG71" s="59"/>
      <c r="BH71" s="59"/>
      <c r="BI71" s="59"/>
      <c r="BJ71" s="59"/>
      <c r="BK71" s="59"/>
      <c r="BL71" s="59"/>
      <c r="BM71" s="59"/>
      <c r="BN71" s="55"/>
      <c r="BO71" s="59"/>
      <c r="BP71" s="59"/>
      <c r="BQ71" s="59"/>
      <c r="BR71" s="59"/>
      <c r="BS71" s="59"/>
      <c r="BT71" s="59"/>
      <c r="BU71" s="59"/>
      <c r="BV71" s="59"/>
      <c r="BW71" s="59"/>
      <c r="BX71" s="59"/>
      <c r="BY71" s="55"/>
      <c r="BZ71" s="59"/>
      <c r="CA71" s="59"/>
      <c r="CB71" s="59"/>
      <c r="CC71" s="59"/>
      <c r="CD71" s="59"/>
      <c r="CE71" s="59"/>
      <c r="CF71" s="59"/>
      <c r="CG71" s="59"/>
      <c r="CH71" s="59"/>
      <c r="CI71" s="59"/>
      <c r="CJ71" s="59"/>
      <c r="CK71" s="61"/>
      <c r="CL71" s="100"/>
      <c r="CM71" s="43"/>
    </row>
    <row r="72" spans="2:91" ht="6" customHeight="1">
      <c r="B72" s="44"/>
      <c r="C72" s="50"/>
      <c r="D72" s="3579"/>
      <c r="E72" s="3579"/>
      <c r="F72" s="3579"/>
      <c r="G72" s="3579"/>
      <c r="H72" s="2537"/>
      <c r="I72" s="1578"/>
      <c r="J72" s="1578"/>
      <c r="K72" s="1578"/>
      <c r="L72" s="1578"/>
      <c r="M72" s="1578"/>
      <c r="N72" s="1578"/>
      <c r="O72" s="1578"/>
      <c r="P72" s="1578"/>
      <c r="Q72" s="1578"/>
      <c r="R72" s="1578"/>
      <c r="S72" s="1578"/>
      <c r="T72" s="1578"/>
      <c r="U72" s="1578"/>
      <c r="V72" s="1578"/>
      <c r="W72" s="1578"/>
      <c r="X72" s="1578"/>
      <c r="Y72" s="1578"/>
      <c r="Z72" s="1578"/>
      <c r="AA72" s="1578"/>
      <c r="AB72" s="1578"/>
      <c r="AC72" s="1578"/>
      <c r="AD72" s="1578"/>
      <c r="AE72" s="1578"/>
      <c r="AF72" s="1578"/>
      <c r="AG72" s="1578"/>
      <c r="AH72" s="1578"/>
      <c r="AI72" s="1578"/>
      <c r="AJ72" s="1578"/>
      <c r="AK72" s="1578"/>
      <c r="AL72" s="1578"/>
      <c r="AM72" s="1578"/>
      <c r="AN72" s="1578"/>
      <c r="AO72" s="1578"/>
      <c r="AP72" s="1578"/>
      <c r="AQ72" s="114"/>
      <c r="AR72" s="99"/>
      <c r="AS72" s="110"/>
      <c r="AT72" s="99"/>
      <c r="AU72" s="115"/>
      <c r="AV72" s="59"/>
      <c r="AW72" s="3579"/>
      <c r="AX72" s="3579"/>
      <c r="AY72" s="3579"/>
      <c r="AZ72" s="3579"/>
      <c r="BA72" s="2538"/>
      <c r="BB72" s="1578"/>
      <c r="BC72" s="1578"/>
      <c r="BD72" s="1578"/>
      <c r="BE72" s="1578"/>
      <c r="BF72" s="1578"/>
      <c r="BG72" s="1578"/>
      <c r="BH72" s="1578"/>
      <c r="BI72" s="1578"/>
      <c r="BJ72" s="1578"/>
      <c r="BK72" s="1578"/>
      <c r="BL72" s="1578"/>
      <c r="BM72" s="1578"/>
      <c r="BN72" s="1578"/>
      <c r="BO72" s="1578"/>
      <c r="BP72" s="1578"/>
      <c r="BQ72" s="1578"/>
      <c r="BR72" s="1578"/>
      <c r="BS72" s="1578"/>
      <c r="BT72" s="1578"/>
      <c r="BU72" s="1578"/>
      <c r="BV72" s="1578"/>
      <c r="BW72" s="1578"/>
      <c r="BX72" s="1578"/>
      <c r="BY72" s="1578"/>
      <c r="BZ72" s="1578"/>
      <c r="CA72" s="1578"/>
      <c r="CB72" s="1578"/>
      <c r="CC72" s="1578"/>
      <c r="CD72" s="1578"/>
      <c r="CE72" s="1578"/>
      <c r="CF72" s="1578"/>
      <c r="CG72" s="1578"/>
      <c r="CH72" s="1578"/>
      <c r="CI72" s="1578"/>
      <c r="CJ72" s="1578"/>
      <c r="CK72" s="61"/>
      <c r="CL72" s="100"/>
      <c r="CM72" s="43"/>
    </row>
    <row r="73" spans="2:91" ht="6.75" customHeight="1">
      <c r="B73" s="44"/>
      <c r="C73" s="50"/>
      <c r="D73" s="3579"/>
      <c r="E73" s="3579"/>
      <c r="F73" s="3579"/>
      <c r="G73" s="3579"/>
      <c r="H73" s="52"/>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114"/>
      <c r="AR73" s="99"/>
      <c r="AS73" s="110"/>
      <c r="AT73" s="99"/>
      <c r="AU73" s="115"/>
      <c r="AV73" s="59"/>
      <c r="AW73" s="3579"/>
      <c r="AX73" s="3579"/>
      <c r="AY73" s="3579"/>
      <c r="AZ73" s="3579"/>
      <c r="BA73" s="59"/>
      <c r="BB73" s="59"/>
      <c r="BC73" s="59"/>
      <c r="BD73" s="59"/>
      <c r="BE73" s="59"/>
      <c r="BF73" s="59"/>
      <c r="BG73" s="59"/>
      <c r="BH73" s="59"/>
      <c r="BI73" s="59"/>
      <c r="BJ73" s="59"/>
      <c r="BK73" s="59"/>
      <c r="BL73" s="59"/>
      <c r="BM73" s="59"/>
      <c r="BN73" s="59"/>
      <c r="BO73" s="59"/>
      <c r="BP73" s="59"/>
      <c r="BQ73" s="59"/>
      <c r="BR73" s="59"/>
      <c r="BS73" s="59"/>
      <c r="BT73" s="59"/>
      <c r="BU73" s="59"/>
      <c r="BV73" s="59"/>
      <c r="BW73" s="59"/>
      <c r="BX73" s="59"/>
      <c r="BY73" s="59"/>
      <c r="BZ73" s="59"/>
      <c r="CA73" s="59"/>
      <c r="CB73" s="59"/>
      <c r="CC73" s="59"/>
      <c r="CD73" s="59"/>
      <c r="CE73" s="59"/>
      <c r="CF73" s="59"/>
      <c r="CG73" s="59"/>
      <c r="CH73" s="59"/>
      <c r="CI73" s="59"/>
      <c r="CJ73" s="59"/>
      <c r="CK73" s="61"/>
      <c r="CL73" s="100"/>
      <c r="CM73" s="43"/>
    </row>
    <row r="74" spans="2:91" ht="36.75" customHeight="1">
      <c r="B74" s="44"/>
      <c r="C74" s="50"/>
      <c r="D74" s="59"/>
      <c r="E74" s="59"/>
      <c r="F74" s="59"/>
      <c r="G74" s="59"/>
      <c r="H74" s="3580" t="s">
        <v>768</v>
      </c>
      <c r="I74" s="3580"/>
      <c r="J74" s="3580"/>
      <c r="K74" s="3580"/>
      <c r="L74" s="3580"/>
      <c r="M74" s="3580"/>
      <c r="N74" s="3580"/>
      <c r="O74" s="3580"/>
      <c r="P74" s="3580"/>
      <c r="Q74" s="3580"/>
      <c r="R74" s="3580"/>
      <c r="S74" s="392"/>
      <c r="T74" s="3580" t="s">
        <v>769</v>
      </c>
      <c r="U74" s="3580"/>
      <c r="V74" s="3580"/>
      <c r="W74" s="3580"/>
      <c r="X74" s="3580"/>
      <c r="Y74" s="3580"/>
      <c r="Z74" s="3580"/>
      <c r="AA74" s="3580"/>
      <c r="AB74" s="3580"/>
      <c r="AC74" s="3580"/>
      <c r="AD74" s="392"/>
      <c r="AE74" s="392"/>
      <c r="AF74" s="3580" t="s">
        <v>770</v>
      </c>
      <c r="AG74" s="3580"/>
      <c r="AH74" s="3580"/>
      <c r="AI74" s="3580"/>
      <c r="AJ74" s="3580"/>
      <c r="AK74" s="3580"/>
      <c r="AL74" s="3580"/>
      <c r="AM74" s="3580"/>
      <c r="AN74" s="3580"/>
      <c r="AO74" s="3580"/>
      <c r="AP74" s="3580"/>
      <c r="AQ74" s="114"/>
      <c r="AR74" s="99"/>
      <c r="AS74" s="110"/>
      <c r="AT74" s="99"/>
      <c r="AU74" s="115"/>
      <c r="AV74" s="59"/>
      <c r="AW74" s="59"/>
      <c r="AX74" s="59"/>
      <c r="AY74" s="59"/>
      <c r="AZ74" s="59"/>
      <c r="BA74" s="3577" t="s">
        <v>771</v>
      </c>
      <c r="BB74" s="3577"/>
      <c r="BC74" s="3577"/>
      <c r="BD74" s="3577"/>
      <c r="BE74" s="3577"/>
      <c r="BF74" s="3577"/>
      <c r="BG74" s="3577"/>
      <c r="BH74" s="3577"/>
      <c r="BI74" s="3577"/>
      <c r="BJ74" s="3577"/>
      <c r="BK74" s="3577"/>
      <c r="BL74" s="3577"/>
      <c r="BM74" s="3577"/>
      <c r="BN74" s="3577" t="s">
        <v>772</v>
      </c>
      <c r="BO74" s="3577"/>
      <c r="BP74" s="3577"/>
      <c r="BQ74" s="3577"/>
      <c r="BR74" s="3577"/>
      <c r="BS74" s="3577"/>
      <c r="BT74" s="3577"/>
      <c r="BU74" s="3577"/>
      <c r="BV74" s="3577"/>
      <c r="BW74" s="3577"/>
      <c r="BX74" s="3577"/>
      <c r="BY74" s="2496"/>
      <c r="BZ74" s="3577" t="s">
        <v>773</v>
      </c>
      <c r="CA74" s="3577"/>
      <c r="CB74" s="3577"/>
      <c r="CC74" s="3577"/>
      <c r="CD74" s="3577"/>
      <c r="CE74" s="3577"/>
      <c r="CF74" s="3577"/>
      <c r="CG74" s="3577"/>
      <c r="CH74" s="3577"/>
      <c r="CI74" s="3577"/>
      <c r="CJ74" s="3577"/>
      <c r="CK74" s="61"/>
      <c r="CL74" s="100"/>
      <c r="CM74" s="43"/>
    </row>
    <row r="75" spans="2:91" ht="7.5" customHeight="1">
      <c r="B75" s="44"/>
      <c r="C75" s="91"/>
      <c r="D75" s="105"/>
      <c r="E75" s="105"/>
      <c r="F75" s="105"/>
      <c r="G75" s="105"/>
      <c r="H75" s="105"/>
      <c r="I75" s="92"/>
      <c r="J75" s="92"/>
      <c r="K75" s="92"/>
      <c r="L75" s="92"/>
      <c r="M75" s="92"/>
      <c r="N75" s="92"/>
      <c r="O75" s="92"/>
      <c r="P75" s="92"/>
      <c r="Q75" s="92"/>
      <c r="R75" s="92"/>
      <c r="S75" s="92"/>
      <c r="T75" s="92"/>
      <c r="U75" s="92"/>
      <c r="V75" s="92"/>
      <c r="W75" s="92"/>
      <c r="X75" s="92"/>
      <c r="Y75" s="116"/>
      <c r="Z75" s="116"/>
      <c r="AA75" s="116"/>
      <c r="AB75" s="116"/>
      <c r="AC75" s="116"/>
      <c r="AD75" s="116"/>
      <c r="AE75" s="116"/>
      <c r="AF75" s="116"/>
      <c r="AG75" s="116"/>
      <c r="AH75" s="116"/>
      <c r="AI75" s="116"/>
      <c r="AJ75" s="116"/>
      <c r="AK75" s="116"/>
      <c r="AL75" s="116"/>
      <c r="AM75" s="116"/>
      <c r="AN75" s="116"/>
      <c r="AO75" s="116"/>
      <c r="AP75" s="116"/>
      <c r="AQ75" s="117"/>
      <c r="AR75" s="99"/>
      <c r="AS75" s="110"/>
      <c r="AT75" s="99"/>
      <c r="AU75" s="118"/>
      <c r="AV75" s="116"/>
      <c r="AW75" s="116"/>
      <c r="AX75" s="116"/>
      <c r="AY75" s="116"/>
      <c r="AZ75" s="116"/>
      <c r="BA75" s="116"/>
      <c r="BB75" s="116"/>
      <c r="BC75" s="116"/>
      <c r="BD75" s="116"/>
      <c r="BE75" s="116"/>
      <c r="BF75" s="116"/>
      <c r="BG75" s="116"/>
      <c r="BH75" s="92"/>
      <c r="BI75" s="92"/>
      <c r="BJ75" s="92"/>
      <c r="BK75" s="92"/>
      <c r="BL75" s="92"/>
      <c r="BM75" s="92"/>
      <c r="BN75" s="92"/>
      <c r="BO75" s="92"/>
      <c r="BP75" s="92"/>
      <c r="BQ75" s="92"/>
      <c r="BR75" s="92"/>
      <c r="BS75" s="92"/>
      <c r="BT75" s="92"/>
      <c r="BU75" s="92"/>
      <c r="BV75" s="92"/>
      <c r="BW75" s="92"/>
      <c r="BX75" s="92"/>
      <c r="BY75" s="92"/>
      <c r="BZ75" s="92"/>
      <c r="CA75" s="92"/>
      <c r="CB75" s="92"/>
      <c r="CC75" s="92"/>
      <c r="CD75" s="92"/>
      <c r="CE75" s="92"/>
      <c r="CF75" s="92"/>
      <c r="CG75" s="92"/>
      <c r="CH75" s="92"/>
      <c r="CI75" s="92"/>
      <c r="CJ75" s="92"/>
      <c r="CK75" s="93"/>
      <c r="CL75" s="100"/>
      <c r="CM75" s="43"/>
    </row>
    <row r="76" spans="2:91" ht="12.75" customHeight="1">
      <c r="B76" s="94"/>
      <c r="C76" s="95"/>
      <c r="D76" s="95"/>
      <c r="E76" s="95"/>
      <c r="F76" s="95"/>
      <c r="G76" s="95"/>
      <c r="H76" s="95"/>
      <c r="I76" s="95"/>
      <c r="J76" s="95"/>
      <c r="K76" s="95"/>
      <c r="L76" s="95"/>
      <c r="M76" s="95"/>
      <c r="N76" s="95"/>
      <c r="O76" s="95"/>
      <c r="P76" s="95"/>
      <c r="Q76" s="95"/>
      <c r="R76" s="95"/>
      <c r="S76" s="95"/>
      <c r="T76" s="95"/>
      <c r="U76" s="95"/>
      <c r="V76" s="95"/>
      <c r="W76" s="95"/>
      <c r="X76" s="95"/>
      <c r="Y76" s="95"/>
      <c r="Z76" s="95"/>
      <c r="AA76" s="95"/>
      <c r="AB76" s="95"/>
      <c r="AC76" s="95"/>
      <c r="AD76" s="95"/>
      <c r="AE76" s="95"/>
      <c r="AF76" s="95"/>
      <c r="AG76" s="95"/>
      <c r="AH76" s="95"/>
      <c r="AI76" s="95"/>
      <c r="AJ76" s="95"/>
      <c r="AK76" s="119"/>
      <c r="AL76" s="119"/>
      <c r="AM76" s="119"/>
      <c r="AN76" s="119"/>
      <c r="AO76" s="119"/>
      <c r="AP76" s="119"/>
      <c r="AQ76" s="119"/>
      <c r="AR76" s="119"/>
      <c r="AS76" s="110"/>
      <c r="AT76" s="119"/>
      <c r="AU76" s="119"/>
      <c r="AV76" s="119"/>
      <c r="AW76" s="119"/>
      <c r="AX76" s="119"/>
      <c r="AY76" s="119"/>
      <c r="AZ76" s="119"/>
      <c r="BA76" s="119"/>
      <c r="BB76" s="119"/>
      <c r="BC76" s="119"/>
      <c r="BD76" s="119"/>
      <c r="BE76" s="119"/>
      <c r="BF76" s="119"/>
      <c r="BG76" s="119"/>
      <c r="BH76" s="95"/>
      <c r="BI76" s="95"/>
      <c r="BJ76" s="95"/>
      <c r="BK76" s="95"/>
      <c r="BL76" s="95"/>
      <c r="BM76" s="95"/>
      <c r="BN76" s="95"/>
      <c r="BO76" s="95"/>
      <c r="BP76" s="95"/>
      <c r="BQ76" s="95"/>
      <c r="BR76" s="95"/>
      <c r="BS76" s="95"/>
      <c r="BT76" s="95"/>
      <c r="BU76" s="95"/>
      <c r="BV76" s="95"/>
      <c r="BW76" s="95"/>
      <c r="BX76" s="95"/>
      <c r="BY76" s="95"/>
      <c r="BZ76" s="95"/>
      <c r="CA76" s="95"/>
      <c r="CB76" s="95"/>
      <c r="CC76" s="95"/>
      <c r="CD76" s="95"/>
      <c r="CE76" s="95"/>
      <c r="CF76" s="95"/>
      <c r="CG76" s="95"/>
      <c r="CH76" s="95"/>
      <c r="CI76" s="95"/>
      <c r="CJ76" s="95"/>
      <c r="CK76" s="95"/>
      <c r="CL76" s="96"/>
      <c r="CM76" s="43"/>
    </row>
    <row r="77" spans="2:91" ht="15.75" customHeight="1">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c r="CA77" s="59"/>
      <c r="CB77" s="59"/>
      <c r="CC77" s="59"/>
      <c r="CD77" s="59"/>
      <c r="CE77" s="59"/>
      <c r="CF77" s="59"/>
      <c r="CG77" s="59"/>
      <c r="CH77" s="59"/>
      <c r="CI77" s="59"/>
      <c r="CJ77" s="59"/>
      <c r="CK77" s="59"/>
      <c r="CL77" s="59"/>
      <c r="CM77" s="59"/>
    </row>
    <row r="78" spans="2:91" ht="22.5" customHeight="1">
      <c r="B78" s="36"/>
      <c r="C78" s="1014" t="s">
        <v>774</v>
      </c>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7"/>
      <c r="AV78" s="37"/>
      <c r="AW78" s="37"/>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6"/>
      <c r="CH78" s="39"/>
      <c r="CI78" s="36"/>
      <c r="CJ78" s="3574"/>
      <c r="CK78" s="3574"/>
      <c r="CL78" s="38"/>
    </row>
    <row r="79" spans="2:91" ht="6.75" customHeight="1"/>
    <row r="80" spans="2:91" ht="15" customHeight="1">
      <c r="B80" s="40"/>
      <c r="C80" s="41"/>
      <c r="D80" s="41"/>
      <c r="E80" s="41"/>
      <c r="F80" s="41"/>
      <c r="G80" s="41"/>
      <c r="H80" s="41"/>
      <c r="I80" s="41"/>
      <c r="J80" s="41"/>
      <c r="K80" s="41"/>
      <c r="L80" s="41"/>
      <c r="M80" s="41"/>
      <c r="N80" s="41"/>
      <c r="O80" s="41"/>
      <c r="P80" s="41"/>
      <c r="Q80" s="41"/>
      <c r="R80" s="41"/>
      <c r="S80" s="41"/>
      <c r="T80" s="41"/>
      <c r="U80" s="41"/>
      <c r="V80" s="41"/>
      <c r="W80" s="41"/>
      <c r="X80" s="41"/>
      <c r="Y80" s="41"/>
      <c r="Z80" s="41"/>
      <c r="AA80" s="41"/>
      <c r="AB80" s="41"/>
      <c r="AC80" s="41"/>
      <c r="AD80" s="41"/>
      <c r="AE80" s="41"/>
      <c r="AF80" s="41"/>
      <c r="AG80" s="41"/>
      <c r="AH80" s="41"/>
      <c r="AI80" s="41"/>
      <c r="AJ80" s="41"/>
      <c r="AK80" s="41"/>
      <c r="AL80" s="41"/>
      <c r="AM80" s="41"/>
      <c r="AN80" s="41"/>
      <c r="AO80" s="41"/>
      <c r="AP80" s="41"/>
      <c r="AQ80" s="41"/>
      <c r="AR80" s="41"/>
      <c r="AS80" s="41"/>
      <c r="AT80" s="41"/>
      <c r="AU80" s="41"/>
      <c r="AV80" s="41"/>
      <c r="AW80" s="41"/>
      <c r="AX80" s="41"/>
      <c r="AY80" s="41"/>
      <c r="AZ80" s="41"/>
      <c r="BA80" s="41"/>
      <c r="BB80" s="41"/>
      <c r="BC80" s="41"/>
      <c r="BD80" s="41"/>
      <c r="BE80" s="41"/>
      <c r="BF80" s="41"/>
      <c r="BG80" s="41"/>
      <c r="BH80" s="41"/>
      <c r="BI80" s="41"/>
      <c r="BJ80" s="41"/>
      <c r="BK80" s="41"/>
      <c r="BL80" s="41"/>
      <c r="BM80" s="41"/>
      <c r="BN80" s="41"/>
      <c r="BO80" s="41"/>
      <c r="BP80" s="41"/>
      <c r="BQ80" s="41"/>
      <c r="BR80" s="41"/>
      <c r="BS80" s="41"/>
      <c r="BT80" s="41"/>
      <c r="BU80" s="41"/>
      <c r="BV80" s="41"/>
      <c r="BW80" s="41"/>
      <c r="BX80" s="41"/>
      <c r="BY80" s="41"/>
      <c r="BZ80" s="41"/>
      <c r="CA80" s="41"/>
      <c r="CB80" s="41"/>
      <c r="CC80" s="41"/>
      <c r="CD80" s="41"/>
      <c r="CE80" s="41"/>
      <c r="CF80" s="41"/>
      <c r="CG80" s="41"/>
      <c r="CH80" s="41"/>
      <c r="CI80" s="41"/>
      <c r="CJ80" s="41"/>
      <c r="CK80" s="41"/>
      <c r="CL80" s="42"/>
      <c r="CM80" s="43"/>
    </row>
    <row r="81" spans="2:91" ht="9" customHeight="1">
      <c r="B81" s="44"/>
      <c r="C81" s="45"/>
      <c r="D81" s="46"/>
      <c r="E81" s="46"/>
      <c r="F81" s="46"/>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7"/>
      <c r="AH81" s="48"/>
      <c r="AI81" s="45"/>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c r="BI81" s="46"/>
      <c r="BJ81" s="46"/>
      <c r="BK81" s="46"/>
      <c r="BL81" s="46"/>
      <c r="BM81" s="46"/>
      <c r="BN81" s="46"/>
      <c r="BO81" s="47"/>
      <c r="BP81" s="99"/>
      <c r="BQ81" s="45"/>
      <c r="BR81" s="46"/>
      <c r="BS81" s="46"/>
      <c r="BT81" s="46"/>
      <c r="BU81" s="46"/>
      <c r="BV81" s="46"/>
      <c r="BW81" s="46"/>
      <c r="BX81" s="46"/>
      <c r="BY81" s="46"/>
      <c r="BZ81" s="46"/>
      <c r="CA81" s="46"/>
      <c r="CB81" s="46"/>
      <c r="CC81" s="46"/>
      <c r="CD81" s="46"/>
      <c r="CE81" s="46"/>
      <c r="CF81" s="46"/>
      <c r="CG81" s="46"/>
      <c r="CH81" s="46"/>
      <c r="CI81" s="46"/>
      <c r="CJ81" s="46"/>
      <c r="CK81" s="47"/>
      <c r="CL81" s="100"/>
      <c r="CM81" s="43"/>
    </row>
    <row r="82" spans="2:91" ht="19.5" customHeight="1">
      <c r="B82" s="44"/>
      <c r="C82" s="50"/>
      <c r="D82" s="1124" t="s">
        <v>775</v>
      </c>
      <c r="E82" s="1124"/>
      <c r="F82" s="1124"/>
      <c r="G82" s="1124"/>
      <c r="H82" s="1124"/>
      <c r="I82" s="59"/>
      <c r="J82" s="59"/>
      <c r="K82" s="59"/>
      <c r="L82" s="59"/>
      <c r="M82" s="59"/>
      <c r="N82" s="59"/>
      <c r="O82" s="59"/>
      <c r="P82" s="59"/>
      <c r="Q82" s="59"/>
      <c r="R82" s="59"/>
      <c r="S82" s="59"/>
      <c r="T82" s="59"/>
      <c r="U82" s="59"/>
      <c r="V82" s="59"/>
      <c r="W82" s="59"/>
      <c r="X82" s="76"/>
      <c r="Y82" s="76"/>
      <c r="Z82" s="55"/>
      <c r="AA82" s="76"/>
      <c r="AB82" s="76"/>
      <c r="AC82" s="76"/>
      <c r="AD82" s="3575">
        <f>'CALCULS Eau potable'!H161</f>
        <v>0</v>
      </c>
      <c r="AE82" s="3575"/>
      <c r="AF82" s="3575"/>
      <c r="AG82" s="120"/>
      <c r="AH82" s="121"/>
      <c r="AI82" s="122"/>
      <c r="AJ82" s="1125" t="s">
        <v>776</v>
      </c>
      <c r="AK82" s="1129"/>
      <c r="AL82" s="1129"/>
      <c r="AM82" s="123"/>
      <c r="AN82" s="1129"/>
      <c r="AO82" s="1129"/>
      <c r="AP82" s="1129"/>
      <c r="AQ82" s="124"/>
      <c r="AR82" s="124"/>
      <c r="AS82" s="124"/>
      <c r="AT82" s="124"/>
      <c r="AU82" s="124"/>
      <c r="AV82" s="124"/>
      <c r="AW82" s="124"/>
      <c r="AX82" s="125"/>
      <c r="AY82" s="125"/>
      <c r="AZ82" s="125"/>
      <c r="BA82" s="124"/>
      <c r="BB82" s="124"/>
      <c r="BC82" s="124"/>
      <c r="BD82" s="124"/>
      <c r="BE82" s="124"/>
      <c r="BF82" s="59"/>
      <c r="BG82" s="59"/>
      <c r="BH82" s="59"/>
      <c r="BI82" s="59"/>
      <c r="BJ82" s="59"/>
      <c r="BK82" s="57"/>
      <c r="BL82" s="59"/>
      <c r="BM82" s="59"/>
      <c r="BN82" s="59"/>
      <c r="BO82" s="61"/>
      <c r="BP82" s="99"/>
      <c r="BQ82" s="1126" t="s">
        <v>777</v>
      </c>
      <c r="BR82" s="1125"/>
      <c r="BT82" s="76"/>
      <c r="BU82" s="76"/>
      <c r="BV82" s="76"/>
      <c r="BW82" s="76"/>
      <c r="BX82" s="76"/>
      <c r="BY82" s="103"/>
      <c r="BZ82" s="76"/>
      <c r="CA82" s="76"/>
      <c r="CB82" s="76"/>
      <c r="CC82" s="126"/>
      <c r="CD82" s="76"/>
      <c r="CE82" s="76"/>
      <c r="CF82" s="76"/>
      <c r="CG82" s="59"/>
      <c r="CH82" s="76"/>
      <c r="CI82" s="59"/>
      <c r="CJ82" s="59"/>
      <c r="CK82" s="61"/>
      <c r="CL82" s="100"/>
      <c r="CM82" s="43"/>
    </row>
    <row r="83" spans="2:91" ht="21" customHeight="1">
      <c r="B83" s="44"/>
      <c r="C83" s="50"/>
      <c r="D83" s="124"/>
      <c r="E83" s="124"/>
      <c r="F83" s="124"/>
      <c r="G83" s="124"/>
      <c r="H83" s="124"/>
      <c r="I83" s="59"/>
      <c r="J83" s="59"/>
      <c r="K83" s="59"/>
      <c r="L83" s="59"/>
      <c r="M83" s="59"/>
      <c r="N83" s="59"/>
      <c r="O83" s="59"/>
      <c r="P83" s="59"/>
      <c r="Q83" s="59"/>
      <c r="R83" s="59"/>
      <c r="S83" s="59"/>
      <c r="T83" s="59"/>
      <c r="U83" s="59"/>
      <c r="V83" s="59"/>
      <c r="W83" s="59"/>
      <c r="X83" s="59"/>
      <c r="Y83" s="59"/>
      <c r="Z83" s="59"/>
      <c r="AA83" s="59"/>
      <c r="AB83" s="59"/>
      <c r="AC83" s="59"/>
      <c r="AD83" s="59"/>
      <c r="AE83" s="59"/>
      <c r="AF83" s="55"/>
      <c r="AG83" s="120"/>
      <c r="AH83" s="121"/>
      <c r="AI83" s="122"/>
      <c r="AJ83" s="127"/>
      <c r="AK83" s="127"/>
      <c r="AL83" s="127"/>
      <c r="AM83" s="127"/>
      <c r="AN83" s="127"/>
      <c r="AO83" s="127"/>
      <c r="AP83" s="127"/>
      <c r="AQ83" s="59"/>
      <c r="AR83" s="59"/>
      <c r="AS83" s="59"/>
      <c r="AT83" s="59"/>
      <c r="AU83" s="416" t="s">
        <v>778</v>
      </c>
      <c r="AX83" s="416"/>
      <c r="AY83" s="416"/>
      <c r="AZ83" s="416"/>
      <c r="BA83" s="3576" t="s">
        <v>100</v>
      </c>
      <c r="BB83" s="3576"/>
      <c r="BC83" s="3576"/>
      <c r="BD83" s="3576"/>
      <c r="BE83" s="3576"/>
      <c r="BF83" s="3576"/>
      <c r="BG83" s="3576"/>
      <c r="BH83" s="427"/>
      <c r="BI83" s="427"/>
      <c r="BJ83" s="427"/>
      <c r="BK83" s="3576" t="s">
        <v>461</v>
      </c>
      <c r="BL83" s="3576"/>
      <c r="BM83" s="3576"/>
      <c r="BN83" s="128"/>
      <c r="BO83" s="61"/>
      <c r="BP83" s="99"/>
      <c r="BQ83" s="174" t="s">
        <v>779</v>
      </c>
      <c r="BR83" s="125"/>
      <c r="BT83" s="59"/>
      <c r="BU83" s="59"/>
      <c r="BV83" s="59"/>
      <c r="BW83" s="59"/>
      <c r="BX83" s="59"/>
      <c r="BY83" s="59"/>
      <c r="BZ83" s="128"/>
      <c r="CA83" s="128"/>
      <c r="CB83" s="128"/>
      <c r="CC83" s="128"/>
      <c r="CD83" s="128"/>
      <c r="CE83" s="128"/>
      <c r="CF83" s="128"/>
      <c r="CG83" s="59"/>
      <c r="CH83" s="59"/>
      <c r="CI83" s="59"/>
      <c r="CJ83" s="129"/>
      <c r="CK83" s="61"/>
      <c r="CL83" s="100"/>
      <c r="CM83" s="43"/>
    </row>
    <row r="84" spans="2:91" ht="7.5" customHeight="1">
      <c r="B84" s="44"/>
      <c r="C84" s="50"/>
      <c r="D84" s="124"/>
      <c r="E84" s="124"/>
      <c r="F84" s="124"/>
      <c r="G84" s="124"/>
      <c r="H84" s="124"/>
      <c r="I84" s="59"/>
      <c r="J84" s="59"/>
      <c r="K84" s="59"/>
      <c r="L84" s="59"/>
      <c r="M84" s="59"/>
      <c r="N84" s="59"/>
      <c r="O84" s="59"/>
      <c r="P84" s="59"/>
      <c r="Q84" s="59"/>
      <c r="R84" s="59"/>
      <c r="S84" s="59"/>
      <c r="T84" s="59"/>
      <c r="U84" s="59"/>
      <c r="V84" s="59"/>
      <c r="W84" s="59"/>
      <c r="X84" s="59"/>
      <c r="Y84" s="59"/>
      <c r="Z84" s="59"/>
      <c r="AA84" s="59"/>
      <c r="AB84" s="59"/>
      <c r="AC84" s="59"/>
      <c r="AD84" s="59"/>
      <c r="AE84" s="59"/>
      <c r="AF84" s="55"/>
      <c r="AG84" s="120"/>
      <c r="AH84" s="121"/>
      <c r="AI84" s="122"/>
      <c r="AJ84" s="127"/>
      <c r="AK84" s="127"/>
      <c r="AL84" s="127"/>
      <c r="AM84" s="127"/>
      <c r="AN84" s="127"/>
      <c r="AO84" s="127"/>
      <c r="AP84" s="127"/>
      <c r="AQ84" s="59"/>
      <c r="AR84" s="59"/>
      <c r="AS84" s="59"/>
      <c r="AT84" s="59"/>
      <c r="AU84" s="59"/>
      <c r="AV84" s="59"/>
      <c r="AW84" s="59"/>
      <c r="AX84" s="130"/>
      <c r="AY84" s="130"/>
      <c r="AZ84" s="130"/>
      <c r="BA84" s="130"/>
      <c r="BB84" s="130"/>
      <c r="BC84" s="128"/>
      <c r="BD84" s="128"/>
      <c r="BE84" s="128"/>
      <c r="BF84" s="128"/>
      <c r="BG84" s="130"/>
      <c r="BH84" s="130"/>
      <c r="BI84" s="130"/>
      <c r="BJ84" s="130"/>
      <c r="BK84" s="130"/>
      <c r="BL84" s="130"/>
      <c r="BM84" s="130"/>
      <c r="BN84" s="128"/>
      <c r="BO84" s="61"/>
      <c r="BP84" s="99"/>
      <c r="BQ84" s="458"/>
      <c r="BS84" s="1051"/>
      <c r="BT84" s="1051"/>
      <c r="BU84" s="3575"/>
      <c r="BV84" s="3575"/>
      <c r="BW84" s="3575"/>
      <c r="BX84" s="3575"/>
      <c r="BY84" s="3575"/>
      <c r="BZ84" s="3575"/>
      <c r="CA84" s="127"/>
      <c r="CB84" s="127"/>
      <c r="CC84" s="127"/>
      <c r="CD84" s="127"/>
      <c r="CE84" s="127"/>
      <c r="CF84" s="127"/>
      <c r="CG84" s="59"/>
      <c r="CH84" s="59"/>
      <c r="CI84" s="59"/>
      <c r="CJ84" s="129"/>
      <c r="CK84" s="61"/>
      <c r="CL84" s="100"/>
      <c r="CM84" s="43"/>
    </row>
    <row r="85" spans="2:91" s="72" customFormat="1" ht="19.5" customHeight="1" thickBot="1">
      <c r="B85" s="63"/>
      <c r="C85" s="64"/>
      <c r="D85" s="83"/>
      <c r="E85" s="83"/>
      <c r="F85" s="83"/>
      <c r="G85" s="83"/>
      <c r="H85" s="83"/>
      <c r="I85" s="75"/>
      <c r="J85" s="75"/>
      <c r="K85" s="75"/>
      <c r="L85" s="75"/>
      <c r="M85" s="75"/>
      <c r="N85" s="75"/>
      <c r="O85" s="75"/>
      <c r="P85" s="75"/>
      <c r="Q85" s="75"/>
      <c r="R85" s="75"/>
      <c r="S85" s="75"/>
      <c r="T85" s="75"/>
      <c r="U85" s="75"/>
      <c r="V85" s="75"/>
      <c r="W85" s="75"/>
      <c r="X85" s="75"/>
      <c r="Y85" s="75"/>
      <c r="Z85" s="82"/>
      <c r="AA85" s="75"/>
      <c r="AB85" s="82"/>
      <c r="AC85" s="75"/>
      <c r="AD85" s="75"/>
      <c r="AE85" s="75"/>
      <c r="AF85" s="82"/>
      <c r="AG85" s="84"/>
      <c r="AH85" s="131"/>
      <c r="AI85" s="132"/>
      <c r="AJ85" s="75"/>
      <c r="AK85" s="133"/>
      <c r="AL85" s="419" t="s">
        <v>780</v>
      </c>
      <c r="AM85" s="134"/>
      <c r="AN85" s="134"/>
      <c r="AO85" s="134"/>
      <c r="AP85" s="134"/>
      <c r="AQ85" s="135"/>
      <c r="AR85" s="135"/>
      <c r="AS85" s="134"/>
      <c r="AT85" s="134"/>
      <c r="AU85" s="3581">
        <f>'CALCULS Eau potable'!E176</f>
        <v>0</v>
      </c>
      <c r="AV85" s="3581"/>
      <c r="AW85" s="3581"/>
      <c r="AX85" s="3581"/>
      <c r="AY85" s="2731">
        <f>'CALCULS Eau potable'!L176</f>
        <v>0</v>
      </c>
      <c r="AZ85" s="1108"/>
      <c r="BA85" s="3578">
        <f>'CALCULS Eau potable'!F176</f>
        <v>0</v>
      </c>
      <c r="BB85" s="3578"/>
      <c r="BC85" s="3578"/>
      <c r="BD85" s="3578"/>
      <c r="BE85" s="3578"/>
      <c r="BF85" s="1089"/>
      <c r="BG85" s="2731">
        <f>'CALCULS Eau potable'!F159</f>
        <v>0</v>
      </c>
      <c r="BH85" s="2738"/>
      <c r="BI85" s="3571">
        <f>'CALCULS Eau potable'!G176</f>
        <v>0</v>
      </c>
      <c r="BJ85" s="3571"/>
      <c r="BK85" s="3571"/>
      <c r="BL85" s="3571"/>
      <c r="BM85" s="3571"/>
      <c r="BN85" s="3571"/>
      <c r="BO85" s="69"/>
      <c r="BP85" s="136"/>
      <c r="BQ85" s="1128"/>
      <c r="BR85" s="1051"/>
      <c r="BS85" s="1051">
        <f>'CALCULS Eau potable'!D248</f>
        <v>0</v>
      </c>
      <c r="BT85" s="1051"/>
      <c r="BU85" s="3575"/>
      <c r="BV85" s="3575"/>
      <c r="BW85" s="3575"/>
      <c r="BX85" s="3575"/>
      <c r="BY85" s="3575"/>
      <c r="BZ85" s="3575"/>
      <c r="CA85" s="75"/>
      <c r="CB85" s="75"/>
      <c r="CC85" s="75"/>
      <c r="CD85" s="75"/>
      <c r="CE85" s="75"/>
      <c r="CF85" s="73"/>
      <c r="CG85" s="75"/>
      <c r="CH85" s="75"/>
      <c r="CI85" s="75"/>
      <c r="CJ85" s="75"/>
      <c r="CK85" s="69"/>
      <c r="CL85" s="137"/>
      <c r="CM85" s="71"/>
    </row>
    <row r="86" spans="2:91" ht="6.75" customHeight="1">
      <c r="B86" s="44"/>
      <c r="C86" s="50"/>
      <c r="D86" s="59"/>
      <c r="E86" s="59"/>
      <c r="F86" s="59"/>
      <c r="G86" s="59"/>
      <c r="H86" s="59"/>
      <c r="I86" s="59"/>
      <c r="J86" s="59"/>
      <c r="K86" s="59"/>
      <c r="L86" s="59"/>
      <c r="M86" s="59"/>
      <c r="N86" s="59"/>
      <c r="O86" s="59"/>
      <c r="P86" s="59"/>
      <c r="Q86" s="59"/>
      <c r="R86" s="59"/>
      <c r="S86" s="59"/>
      <c r="T86" s="59"/>
      <c r="U86" s="59"/>
      <c r="V86" s="59"/>
      <c r="W86" s="59"/>
      <c r="X86" s="59"/>
      <c r="Y86" s="59"/>
      <c r="Z86" s="55"/>
      <c r="AA86" s="59"/>
      <c r="AB86" s="55"/>
      <c r="AC86" s="59"/>
      <c r="AD86" s="59"/>
      <c r="AE86" s="59"/>
      <c r="AF86" s="55"/>
      <c r="AG86" s="120"/>
      <c r="AH86" s="121"/>
      <c r="AI86" s="122"/>
      <c r="AJ86" s="59"/>
      <c r="AK86" s="59"/>
      <c r="AL86" s="420"/>
      <c r="AM86" s="59"/>
      <c r="AN86" s="59"/>
      <c r="AO86" s="59"/>
      <c r="AP86" s="59"/>
      <c r="AQ86" s="138"/>
      <c r="AR86" s="138"/>
      <c r="AS86" s="59"/>
      <c r="AT86" s="59"/>
      <c r="AV86" s="1098"/>
      <c r="AW86" s="1098"/>
      <c r="AX86" s="1099"/>
      <c r="AY86" s="1107"/>
      <c r="AZ86" s="1107"/>
      <c r="BA86" s="1097"/>
      <c r="BB86" s="1097"/>
      <c r="BC86" s="1096"/>
      <c r="BD86" s="1097"/>
      <c r="BE86" s="1096"/>
      <c r="BF86" s="428"/>
      <c r="BG86" s="1115"/>
      <c r="BH86" s="2739"/>
      <c r="BI86" s="1103"/>
      <c r="BJ86" s="1104"/>
      <c r="BK86" s="1104"/>
      <c r="BL86" s="1104"/>
      <c r="BM86" s="1104"/>
      <c r="BN86" s="1104"/>
      <c r="BO86" s="61"/>
      <c r="BP86" s="99"/>
      <c r="BQ86" s="50"/>
      <c r="BR86" s="59"/>
      <c r="BS86" s="59"/>
      <c r="BT86" s="55"/>
      <c r="BU86" s="59"/>
      <c r="BV86" s="55"/>
      <c r="BW86" s="59"/>
      <c r="BX86" s="59"/>
      <c r="BY86" s="59"/>
      <c r="BZ86" s="59"/>
      <c r="CA86" s="59"/>
      <c r="CB86" s="59"/>
      <c r="CC86" s="59"/>
      <c r="CD86" s="59"/>
      <c r="CE86" s="59"/>
      <c r="CF86" s="89"/>
      <c r="CG86" s="59"/>
      <c r="CH86" s="59"/>
      <c r="CI86" s="59"/>
      <c r="CJ86" s="59"/>
      <c r="CK86" s="61"/>
      <c r="CL86" s="100"/>
      <c r="CM86" s="43"/>
    </row>
    <row r="87" spans="2:91" s="72" customFormat="1" ht="19.5" customHeight="1" thickBot="1">
      <c r="B87" s="63"/>
      <c r="C87" s="64"/>
      <c r="D87" s="75"/>
      <c r="E87" s="75"/>
      <c r="F87" s="75"/>
      <c r="G87" s="75"/>
      <c r="H87" s="75"/>
      <c r="I87" s="75"/>
      <c r="J87" s="75"/>
      <c r="K87" s="75"/>
      <c r="L87" s="75"/>
      <c r="M87" s="75"/>
      <c r="N87" s="75"/>
      <c r="O87" s="75"/>
      <c r="P87" s="75"/>
      <c r="Q87" s="75"/>
      <c r="R87" s="75"/>
      <c r="S87" s="75"/>
      <c r="T87" s="75"/>
      <c r="U87" s="75"/>
      <c r="V87" s="75"/>
      <c r="W87" s="75"/>
      <c r="X87" s="75"/>
      <c r="Y87" s="75"/>
      <c r="Z87" s="82"/>
      <c r="AA87" s="75"/>
      <c r="AB87" s="82"/>
      <c r="AC87" s="75"/>
      <c r="AD87" s="75"/>
      <c r="AE87" s="75"/>
      <c r="AF87" s="82"/>
      <c r="AG87" s="84"/>
      <c r="AH87" s="131"/>
      <c r="AI87" s="132"/>
      <c r="AJ87" s="75"/>
      <c r="AK87" s="139"/>
      <c r="AL87" s="421" t="s">
        <v>781</v>
      </c>
      <c r="AM87" s="140"/>
      <c r="AN87" s="140"/>
      <c r="AO87" s="140"/>
      <c r="AP87" s="140"/>
      <c r="AQ87" s="141"/>
      <c r="AR87" s="141"/>
      <c r="AS87" s="140"/>
      <c r="AT87" s="140"/>
      <c r="AU87" s="3698">
        <f>'CALCULS Eau potable'!E177</f>
        <v>0</v>
      </c>
      <c r="AV87" s="3698"/>
      <c r="AW87" s="3698"/>
      <c r="AX87" s="3698"/>
      <c r="AY87" s="2732">
        <f>'CALCULS Eau potable'!L176</f>
        <v>0</v>
      </c>
      <c r="AZ87" s="1109"/>
      <c r="BA87" s="3591">
        <f>'CALCULS Eau potable'!F177</f>
        <v>0</v>
      </c>
      <c r="BB87" s="3591"/>
      <c r="BC87" s="3591"/>
      <c r="BD87" s="3591"/>
      <c r="BE87" s="3591"/>
      <c r="BF87" s="1090"/>
      <c r="BG87" s="2732">
        <f>'CALCULS Eau potable'!F159</f>
        <v>0</v>
      </c>
      <c r="BH87" s="2740"/>
      <c r="BI87" s="3592">
        <f>'CALCULS Eau potable'!G177</f>
        <v>0</v>
      </c>
      <c r="BJ87" s="3592"/>
      <c r="BK87" s="3592"/>
      <c r="BL87" s="3592"/>
      <c r="BM87" s="3592"/>
      <c r="BN87" s="3592"/>
      <c r="BO87" s="69"/>
      <c r="BP87" s="136"/>
      <c r="BQ87" s="64"/>
      <c r="BR87" s="75"/>
      <c r="BS87" s="75"/>
      <c r="BT87" s="82"/>
      <c r="BU87" s="75"/>
      <c r="BV87" s="82"/>
      <c r="BW87" s="75"/>
      <c r="BX87" s="75"/>
      <c r="BY87" s="75"/>
      <c r="BZ87" s="75"/>
      <c r="CA87" s="75"/>
      <c r="CB87" s="75"/>
      <c r="CC87" s="75"/>
      <c r="CD87" s="75"/>
      <c r="CE87" s="75"/>
      <c r="CF87" s="73"/>
      <c r="CG87" s="75"/>
      <c r="CH87" s="75"/>
      <c r="CI87" s="75"/>
      <c r="CJ87" s="75"/>
      <c r="CK87" s="69"/>
      <c r="CL87" s="137"/>
      <c r="CM87" s="71"/>
    </row>
    <row r="88" spans="2:91" ht="6.75" customHeight="1">
      <c r="B88" s="44"/>
      <c r="C88" s="50"/>
      <c r="D88" s="59"/>
      <c r="E88" s="59"/>
      <c r="F88" s="59"/>
      <c r="G88" s="59"/>
      <c r="H88" s="59"/>
      <c r="I88" s="59"/>
      <c r="J88" s="59"/>
      <c r="K88" s="59"/>
      <c r="L88" s="59"/>
      <c r="M88" s="59"/>
      <c r="N88" s="59"/>
      <c r="O88" s="59"/>
      <c r="P88" s="59"/>
      <c r="Q88" s="59"/>
      <c r="R88" s="59"/>
      <c r="S88" s="59"/>
      <c r="T88" s="59"/>
      <c r="U88" s="59"/>
      <c r="V88" s="59"/>
      <c r="W88" s="59"/>
      <c r="X88" s="59"/>
      <c r="Y88" s="59"/>
      <c r="Z88" s="55"/>
      <c r="AA88" s="59"/>
      <c r="AB88" s="55"/>
      <c r="AC88" s="59"/>
      <c r="AD88" s="59"/>
      <c r="AE88" s="59"/>
      <c r="AF88" s="55"/>
      <c r="AG88" s="120"/>
      <c r="AH88" s="121"/>
      <c r="AI88" s="122"/>
      <c r="AJ88" s="59"/>
      <c r="AK88" s="59"/>
      <c r="AL88" s="420"/>
      <c r="AM88" s="59"/>
      <c r="AN88" s="59"/>
      <c r="AO88" s="59"/>
      <c r="AP88" s="59"/>
      <c r="AQ88" s="138"/>
      <c r="AR88" s="138"/>
      <c r="AS88" s="59"/>
      <c r="AT88" s="59"/>
      <c r="AV88" s="1098"/>
      <c r="AW88" s="1098"/>
      <c r="AX88" s="1100"/>
      <c r="AY88" s="1110"/>
      <c r="AZ88" s="1110"/>
      <c r="BA88" s="1097"/>
      <c r="BB88" s="1097"/>
      <c r="BC88" s="1095"/>
      <c r="BD88" s="1097"/>
      <c r="BE88" s="1095"/>
      <c r="BF88" s="428"/>
      <c r="BG88" s="1114"/>
      <c r="BH88" s="2739"/>
      <c r="BI88" s="1103"/>
      <c r="BJ88" s="1104"/>
      <c r="BK88" s="1104"/>
      <c r="BL88" s="1104"/>
      <c r="BM88" s="1104"/>
      <c r="BN88" s="1104"/>
      <c r="BO88" s="61"/>
      <c r="BP88" s="99"/>
      <c r="BQ88" s="50"/>
      <c r="BR88" s="59"/>
      <c r="BS88" s="59"/>
      <c r="BT88" s="55"/>
      <c r="BU88" s="59"/>
      <c r="BV88" s="55"/>
      <c r="BW88" s="59"/>
      <c r="BX88" s="59"/>
      <c r="BY88" s="59"/>
      <c r="BZ88" s="59"/>
      <c r="CA88" s="59"/>
      <c r="CB88" s="59"/>
      <c r="CC88" s="59"/>
      <c r="CD88" s="59"/>
      <c r="CE88" s="59"/>
      <c r="CF88" s="89"/>
      <c r="CG88" s="59"/>
      <c r="CH88" s="59"/>
      <c r="CI88" s="59"/>
      <c r="CJ88" s="59"/>
      <c r="CK88" s="61"/>
      <c r="CL88" s="100"/>
      <c r="CM88" s="43"/>
    </row>
    <row r="89" spans="2:91" s="72" customFormat="1" ht="19.5" customHeight="1" thickBot="1">
      <c r="B89" s="63"/>
      <c r="C89" s="64"/>
      <c r="D89" s="75"/>
      <c r="E89" s="75"/>
      <c r="F89" s="75"/>
      <c r="G89" s="75"/>
      <c r="H89" s="75"/>
      <c r="I89" s="75"/>
      <c r="J89" s="75"/>
      <c r="K89" s="75"/>
      <c r="L89" s="75"/>
      <c r="M89" s="75"/>
      <c r="N89" s="75"/>
      <c r="O89" s="75"/>
      <c r="P89" s="75"/>
      <c r="Q89" s="75"/>
      <c r="R89" s="75"/>
      <c r="S89" s="75"/>
      <c r="T89" s="75"/>
      <c r="U89" s="75"/>
      <c r="V89" s="75"/>
      <c r="W89" s="75"/>
      <c r="X89" s="75"/>
      <c r="Y89" s="75"/>
      <c r="Z89" s="82"/>
      <c r="AA89" s="75"/>
      <c r="AB89" s="82"/>
      <c r="AC89" s="75"/>
      <c r="AD89" s="75"/>
      <c r="AE89" s="75"/>
      <c r="AF89" s="82"/>
      <c r="AG89" s="84"/>
      <c r="AH89" s="131"/>
      <c r="AI89" s="132"/>
      <c r="AJ89" s="75"/>
      <c r="AK89" s="142"/>
      <c r="AL89" s="422" t="s">
        <v>482</v>
      </c>
      <c r="AM89" s="143"/>
      <c r="AN89" s="143"/>
      <c r="AO89" s="143"/>
      <c r="AP89" s="143"/>
      <c r="AQ89" s="144"/>
      <c r="AR89" s="144"/>
      <c r="AS89" s="143"/>
      <c r="AT89" s="143"/>
      <c r="AU89" s="3566">
        <f>'CALCULS Eau potable'!E178</f>
        <v>0</v>
      </c>
      <c r="AV89" s="3566"/>
      <c r="AW89" s="3566"/>
      <c r="AX89" s="3566"/>
      <c r="AY89" s="2733">
        <f>'CALCULS Eau potable'!L177</f>
        <v>0</v>
      </c>
      <c r="AZ89" s="1111"/>
      <c r="BA89" s="3610">
        <f>'CALCULS Eau potable'!F178</f>
        <v>0</v>
      </c>
      <c r="BB89" s="3610"/>
      <c r="BC89" s="3610"/>
      <c r="BD89" s="3610"/>
      <c r="BE89" s="3610"/>
      <c r="BF89" s="1091"/>
      <c r="BG89" s="2733">
        <f>'CALCULS Eau potable'!F160</f>
        <v>0</v>
      </c>
      <c r="BH89" s="2741"/>
      <c r="BI89" s="3611">
        <f>'CALCULS Eau potable'!G178</f>
        <v>0</v>
      </c>
      <c r="BJ89" s="3611"/>
      <c r="BK89" s="3611"/>
      <c r="BL89" s="3611"/>
      <c r="BM89" s="3611"/>
      <c r="BN89" s="3611"/>
      <c r="BO89" s="69"/>
      <c r="BP89" s="136"/>
      <c r="BQ89" s="64"/>
      <c r="BR89" s="75"/>
      <c r="BS89" s="75"/>
      <c r="BT89" s="82"/>
      <c r="BU89" s="75"/>
      <c r="BV89" s="82"/>
      <c r="BW89" s="75"/>
      <c r="BX89" s="75"/>
      <c r="BY89" s="75"/>
      <c r="BZ89" s="75"/>
      <c r="CA89" s="75"/>
      <c r="CB89" s="75"/>
      <c r="CC89" s="75"/>
      <c r="CD89" s="75"/>
      <c r="CE89" s="75"/>
      <c r="CF89" s="73"/>
      <c r="CG89" s="75"/>
      <c r="CH89" s="75"/>
      <c r="CI89" s="75"/>
      <c r="CJ89" s="75"/>
      <c r="CK89" s="69"/>
      <c r="CL89" s="137"/>
      <c r="CM89" s="71"/>
    </row>
    <row r="90" spans="2:91" ht="6.75" customHeight="1">
      <c r="B90" s="44"/>
      <c r="C90" s="50"/>
      <c r="D90" s="59"/>
      <c r="E90" s="59"/>
      <c r="F90" s="59"/>
      <c r="G90" s="59"/>
      <c r="H90" s="59"/>
      <c r="I90" s="59"/>
      <c r="J90" s="59"/>
      <c r="K90" s="59"/>
      <c r="L90" s="59"/>
      <c r="M90" s="59"/>
      <c r="N90" s="59"/>
      <c r="O90" s="59"/>
      <c r="P90" s="59"/>
      <c r="Q90" s="59"/>
      <c r="R90" s="59"/>
      <c r="S90" s="59"/>
      <c r="T90" s="59"/>
      <c r="U90" s="59"/>
      <c r="V90" s="59"/>
      <c r="W90" s="59"/>
      <c r="X90" s="59"/>
      <c r="Y90" s="59"/>
      <c r="Z90" s="55"/>
      <c r="AA90" s="59"/>
      <c r="AB90" s="55"/>
      <c r="AC90" s="59"/>
      <c r="AD90" s="59"/>
      <c r="AE90" s="59"/>
      <c r="AF90" s="55"/>
      <c r="AG90" s="120"/>
      <c r="AH90" s="121"/>
      <c r="AI90" s="122"/>
      <c r="AJ90" s="59"/>
      <c r="AK90" s="59"/>
      <c r="AL90" s="418"/>
      <c r="AM90" s="59"/>
      <c r="AN90" s="59"/>
      <c r="AO90" s="59"/>
      <c r="AP90" s="59"/>
      <c r="AQ90" s="138"/>
      <c r="AR90" s="138"/>
      <c r="AS90" s="59"/>
      <c r="AT90" s="59"/>
      <c r="AU90" s="89"/>
      <c r="AV90" s="88"/>
      <c r="AW90" s="88"/>
      <c r="AX90" s="1100"/>
      <c r="AY90" s="1110"/>
      <c r="AZ90" s="1110"/>
      <c r="BA90" s="89"/>
      <c r="BB90" s="89"/>
      <c r="BC90" s="1095"/>
      <c r="BD90" s="89"/>
      <c r="BE90" s="1095"/>
      <c r="BF90" s="428"/>
      <c r="BG90" s="1114"/>
      <c r="BH90" s="2739"/>
      <c r="BI90" s="1105"/>
      <c r="BJ90" s="1104"/>
      <c r="BK90" s="1104"/>
      <c r="BL90" s="1104"/>
      <c r="BM90" s="1104"/>
      <c r="BN90" s="1104"/>
      <c r="BO90" s="61"/>
      <c r="BP90" s="99"/>
      <c r="BQ90" s="50"/>
      <c r="BR90" s="59"/>
      <c r="BS90" s="59"/>
      <c r="BT90" s="55"/>
      <c r="BU90" s="59"/>
      <c r="BV90" s="55"/>
      <c r="BW90" s="59"/>
      <c r="BX90" s="59"/>
      <c r="BY90" s="59"/>
      <c r="BZ90" s="59"/>
      <c r="CA90" s="59"/>
      <c r="CB90" s="59"/>
      <c r="CC90" s="59"/>
      <c r="CD90" s="59"/>
      <c r="CE90" s="59"/>
      <c r="CF90" s="89"/>
      <c r="CG90" s="59"/>
      <c r="CH90" s="59"/>
      <c r="CI90" s="59"/>
      <c r="CJ90" s="59"/>
      <c r="CK90" s="61"/>
      <c r="CL90" s="100"/>
      <c r="CM90" s="43"/>
    </row>
    <row r="91" spans="2:91" s="72" customFormat="1" ht="19.5" customHeight="1" thickBot="1">
      <c r="B91" s="63"/>
      <c r="C91" s="64"/>
      <c r="D91" s="75"/>
      <c r="E91" s="75"/>
      <c r="F91" s="75"/>
      <c r="G91" s="75"/>
      <c r="H91" s="75"/>
      <c r="I91" s="75"/>
      <c r="J91" s="75"/>
      <c r="K91" s="75"/>
      <c r="L91" s="75"/>
      <c r="M91" s="75"/>
      <c r="N91" s="75"/>
      <c r="O91" s="75"/>
      <c r="P91" s="75"/>
      <c r="Q91" s="75"/>
      <c r="R91" s="75"/>
      <c r="S91" s="75"/>
      <c r="T91" s="75"/>
      <c r="U91" s="75"/>
      <c r="V91" s="75"/>
      <c r="W91" s="75"/>
      <c r="X91" s="75"/>
      <c r="Y91" s="75"/>
      <c r="Z91" s="82"/>
      <c r="AA91" s="75"/>
      <c r="AB91" s="82"/>
      <c r="AC91" s="75"/>
      <c r="AD91" s="75"/>
      <c r="AE91" s="75"/>
      <c r="AF91" s="82"/>
      <c r="AG91" s="84"/>
      <c r="AH91" s="131"/>
      <c r="AI91" s="132"/>
      <c r="AJ91" s="75"/>
      <c r="AK91" s="145"/>
      <c r="AL91" s="423" t="s">
        <v>782</v>
      </c>
      <c r="AM91" s="146"/>
      <c r="AN91" s="146"/>
      <c r="AO91" s="146"/>
      <c r="AP91" s="146"/>
      <c r="AQ91" s="147"/>
      <c r="AR91" s="147"/>
      <c r="AS91" s="146"/>
      <c r="AT91" s="146"/>
      <c r="AU91" s="3567">
        <f>'CALCULS Eau potable'!E179</f>
        <v>0</v>
      </c>
      <c r="AV91" s="3567"/>
      <c r="AW91" s="3567"/>
      <c r="AX91" s="3567"/>
      <c r="AY91" s="2734">
        <f>'CALCULS Eau potable'!L178</f>
        <v>0</v>
      </c>
      <c r="AZ91" s="1112"/>
      <c r="BA91" s="3699">
        <f>'CALCULS Eau potable'!F179</f>
        <v>0</v>
      </c>
      <c r="BB91" s="3699"/>
      <c r="BC91" s="3699"/>
      <c r="BD91" s="3699"/>
      <c r="BE91" s="3699"/>
      <c r="BF91" s="1092"/>
      <c r="BG91" s="2734">
        <f>'CALCULS Eau potable'!F160</f>
        <v>0</v>
      </c>
      <c r="BH91" s="2742"/>
      <c r="BI91" s="3565">
        <f>'CALCULS Eau potable'!G179</f>
        <v>0</v>
      </c>
      <c r="BJ91" s="3565"/>
      <c r="BK91" s="3565"/>
      <c r="BL91" s="3565"/>
      <c r="BM91" s="3565"/>
      <c r="BN91" s="3565"/>
      <c r="BO91" s="69"/>
      <c r="BP91" s="136"/>
      <c r="BQ91" s="64"/>
      <c r="BR91" s="75"/>
      <c r="BS91" s="75"/>
      <c r="BT91" s="82"/>
      <c r="BU91" s="75"/>
      <c r="BV91" s="82"/>
      <c r="BW91" s="75"/>
      <c r="BX91" s="75"/>
      <c r="BY91" s="75"/>
      <c r="BZ91" s="75"/>
      <c r="CA91" s="75"/>
      <c r="CB91" s="75"/>
      <c r="CC91" s="75"/>
      <c r="CD91" s="75"/>
      <c r="CE91" s="75"/>
      <c r="CF91" s="73"/>
      <c r="CG91" s="75"/>
      <c r="CH91" s="75"/>
      <c r="CI91" s="75"/>
      <c r="CJ91" s="75"/>
      <c r="CK91" s="69"/>
      <c r="CL91" s="137"/>
      <c r="CM91" s="71"/>
    </row>
    <row r="92" spans="2:91" ht="6.75" customHeight="1">
      <c r="B92" s="44"/>
      <c r="C92" s="50"/>
      <c r="D92" s="59"/>
      <c r="E92" s="59"/>
      <c r="F92" s="59"/>
      <c r="G92" s="59"/>
      <c r="H92" s="59"/>
      <c r="I92" s="59"/>
      <c r="J92" s="59"/>
      <c r="K92" s="59"/>
      <c r="L92" s="59"/>
      <c r="M92" s="59"/>
      <c r="N92" s="59"/>
      <c r="O92" s="59"/>
      <c r="P92" s="59"/>
      <c r="Q92" s="59"/>
      <c r="R92" s="59"/>
      <c r="S92" s="59"/>
      <c r="T92" s="59"/>
      <c r="U92" s="59"/>
      <c r="V92" s="59"/>
      <c r="W92" s="59"/>
      <c r="X92" s="59"/>
      <c r="Y92" s="59"/>
      <c r="Z92" s="55"/>
      <c r="AA92" s="59"/>
      <c r="AB92" s="55"/>
      <c r="AC92" s="59"/>
      <c r="AD92" s="59"/>
      <c r="AE92" s="59"/>
      <c r="AF92" s="55"/>
      <c r="AG92" s="120"/>
      <c r="AH92" s="121"/>
      <c r="AI92" s="122"/>
      <c r="AJ92" s="59"/>
      <c r="AK92" s="59"/>
      <c r="AL92" s="418"/>
      <c r="AM92" s="59"/>
      <c r="AN92" s="59"/>
      <c r="AO92" s="59"/>
      <c r="AP92" s="59"/>
      <c r="AQ92" s="138"/>
      <c r="AR92" s="138"/>
      <c r="AS92" s="59"/>
      <c r="AT92" s="59"/>
      <c r="AU92" s="89"/>
      <c r="AV92" s="88"/>
      <c r="AW92" s="88"/>
      <c r="AX92" s="1100"/>
      <c r="AY92" s="1110"/>
      <c r="AZ92" s="1110"/>
      <c r="BA92" s="89"/>
      <c r="BB92" s="89"/>
      <c r="BC92" s="1095"/>
      <c r="BD92" s="89"/>
      <c r="BE92" s="1095"/>
      <c r="BF92" s="428"/>
      <c r="BG92" s="1114"/>
      <c r="BH92" s="2739"/>
      <c r="BI92" s="1105"/>
      <c r="BJ92" s="1104"/>
      <c r="BK92" s="1104"/>
      <c r="BL92" s="1104"/>
      <c r="BM92" s="1104"/>
      <c r="BN92" s="1104"/>
      <c r="BO92" s="61"/>
      <c r="BP92" s="99"/>
      <c r="BQ92" s="50"/>
      <c r="BR92" s="59"/>
      <c r="BS92" s="59"/>
      <c r="BT92" s="55"/>
      <c r="BU92" s="59"/>
      <c r="BV92" s="55"/>
      <c r="BW92" s="59"/>
      <c r="BX92" s="59"/>
      <c r="BY92" s="59"/>
      <c r="BZ92" s="59"/>
      <c r="CA92" s="59"/>
      <c r="CB92" s="59"/>
      <c r="CC92" s="59"/>
      <c r="CD92" s="59"/>
      <c r="CE92" s="59"/>
      <c r="CF92" s="89"/>
      <c r="CG92" s="59"/>
      <c r="CH92" s="59"/>
      <c r="CI92" s="59"/>
      <c r="CJ92" s="59"/>
      <c r="CK92" s="61"/>
      <c r="CL92" s="100"/>
      <c r="CM92" s="43"/>
    </row>
    <row r="93" spans="2:91" s="72" customFormat="1" ht="19.5" customHeight="1" thickBot="1">
      <c r="B93" s="63"/>
      <c r="C93" s="64"/>
      <c r="D93" s="75"/>
      <c r="E93" s="75"/>
      <c r="F93" s="75"/>
      <c r="G93" s="75"/>
      <c r="H93" s="75"/>
      <c r="I93" s="75"/>
      <c r="J93" s="75"/>
      <c r="K93" s="75"/>
      <c r="L93" s="75"/>
      <c r="M93" s="75"/>
      <c r="N93" s="75"/>
      <c r="O93" s="75"/>
      <c r="P93" s="75"/>
      <c r="Q93" s="75"/>
      <c r="R93" s="75"/>
      <c r="S93" s="75"/>
      <c r="T93" s="75"/>
      <c r="U93" s="75"/>
      <c r="V93" s="75"/>
      <c r="W93" s="75"/>
      <c r="X93" s="75"/>
      <c r="Y93" s="75"/>
      <c r="Z93" s="82"/>
      <c r="AA93" s="75"/>
      <c r="AB93" s="82"/>
      <c r="AC93" s="75"/>
      <c r="AD93" s="75"/>
      <c r="AE93" s="75"/>
      <c r="AF93" s="82"/>
      <c r="AG93" s="84"/>
      <c r="AH93" s="131"/>
      <c r="AI93" s="132"/>
      <c r="AJ93" s="75"/>
      <c r="AK93" s="149"/>
      <c r="AL93" s="424" t="s">
        <v>783</v>
      </c>
      <c r="AM93" s="150"/>
      <c r="AN93" s="150"/>
      <c r="AO93" s="150"/>
      <c r="AP93" s="150"/>
      <c r="AQ93" s="151"/>
      <c r="AR93" s="151"/>
      <c r="AS93" s="150"/>
      <c r="AT93" s="150"/>
      <c r="AU93" s="3568">
        <f>'CALCULS Eau potable'!E180</f>
        <v>0</v>
      </c>
      <c r="AV93" s="3568"/>
      <c r="AW93" s="3568"/>
      <c r="AX93" s="3568"/>
      <c r="AY93" s="2735">
        <f>'CALCULS Eau potable'!L178</f>
        <v>0</v>
      </c>
      <c r="AZ93" s="1113"/>
      <c r="BA93" s="3606">
        <f>'CALCULS Eau potable'!F180</f>
        <v>0</v>
      </c>
      <c r="BB93" s="3606"/>
      <c r="BC93" s="3606"/>
      <c r="BD93" s="3606"/>
      <c r="BE93" s="3606"/>
      <c r="BF93" s="1093"/>
      <c r="BG93" s="2735">
        <f>'CALCULS Eau potable'!F160</f>
        <v>0</v>
      </c>
      <c r="BH93" s="2743"/>
      <c r="BI93" s="3572">
        <f>'CALCULS Eau potable'!G180</f>
        <v>0</v>
      </c>
      <c r="BJ93" s="3572"/>
      <c r="BK93" s="3572"/>
      <c r="BL93" s="3572"/>
      <c r="BM93" s="3572"/>
      <c r="BN93" s="3572"/>
      <c r="BO93" s="69"/>
      <c r="BP93" s="136"/>
      <c r="BQ93" s="64"/>
      <c r="BR93" s="75"/>
      <c r="BS93" s="75"/>
      <c r="BT93" s="82"/>
      <c r="BU93" s="75"/>
      <c r="BV93" s="82"/>
      <c r="BW93" s="75"/>
      <c r="BX93" s="75"/>
      <c r="BY93" s="75"/>
      <c r="BZ93" s="75"/>
      <c r="CA93" s="75"/>
      <c r="CB93" s="75"/>
      <c r="CC93" s="75"/>
      <c r="CD93" s="75"/>
      <c r="CE93" s="75"/>
      <c r="CF93" s="73"/>
      <c r="CG93" s="75"/>
      <c r="CH93" s="75"/>
      <c r="CI93" s="75"/>
      <c r="CJ93" s="75"/>
      <c r="CK93" s="69"/>
      <c r="CL93" s="137"/>
      <c r="CM93" s="71"/>
    </row>
    <row r="94" spans="2:91" ht="9" customHeight="1">
      <c r="B94" s="44"/>
      <c r="C94" s="50"/>
      <c r="D94" s="59"/>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5"/>
      <c r="AG94" s="120"/>
      <c r="AH94" s="121"/>
      <c r="AI94" s="122"/>
      <c r="AJ94" s="59"/>
      <c r="AK94" s="59"/>
      <c r="AL94" s="425"/>
      <c r="AM94" s="59"/>
      <c r="AN94" s="59"/>
      <c r="AO94" s="59"/>
      <c r="AP94" s="59"/>
      <c r="AQ94" s="59"/>
      <c r="AR94" s="59"/>
      <c r="AS94" s="59"/>
      <c r="AT94" s="59"/>
      <c r="AU94" s="59"/>
      <c r="AV94" s="138"/>
      <c r="AW94" s="138"/>
      <c r="AX94" s="1101"/>
      <c r="AY94" s="1114"/>
      <c r="AZ94" s="1114"/>
      <c r="BA94" s="436"/>
      <c r="BB94" s="436"/>
      <c r="BC94" s="1102"/>
      <c r="BD94" s="436"/>
      <c r="BE94" s="1102"/>
      <c r="BF94" s="417"/>
      <c r="BG94" s="2737"/>
      <c r="BH94" s="2744"/>
      <c r="BI94" s="1106"/>
      <c r="BJ94" s="1106"/>
      <c r="BK94" s="1105"/>
      <c r="BL94" s="1105"/>
      <c r="BM94" s="1105"/>
      <c r="BN94" s="1105"/>
      <c r="BO94" s="61"/>
      <c r="BP94" s="99"/>
      <c r="BQ94" s="50"/>
      <c r="BR94" s="59"/>
      <c r="BS94" s="59"/>
      <c r="BT94" s="59"/>
      <c r="BU94" s="59"/>
      <c r="BV94" s="59"/>
      <c r="BW94" s="59"/>
      <c r="BX94" s="59"/>
      <c r="BY94" s="59"/>
      <c r="BZ94" s="59"/>
      <c r="CA94" s="59"/>
      <c r="CB94" s="59"/>
      <c r="CC94" s="59"/>
      <c r="CD94" s="59"/>
      <c r="CE94" s="59"/>
      <c r="CF94" s="59"/>
      <c r="CG94" s="59"/>
      <c r="CH94" s="59"/>
      <c r="CI94" s="59"/>
      <c r="CJ94" s="59"/>
      <c r="CK94" s="61"/>
      <c r="CL94" s="100"/>
      <c r="CM94" s="43"/>
    </row>
    <row r="95" spans="2:91" ht="9" customHeight="1">
      <c r="B95" s="44"/>
      <c r="C95" s="50"/>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5"/>
      <c r="AG95" s="120"/>
      <c r="AH95" s="121"/>
      <c r="AI95" s="122"/>
      <c r="AJ95" s="59"/>
      <c r="AK95" s="59"/>
      <c r="AL95" s="425"/>
      <c r="AM95" s="59"/>
      <c r="AN95" s="59"/>
      <c r="AO95" s="59"/>
      <c r="AP95" s="59"/>
      <c r="AQ95" s="59"/>
      <c r="AR95" s="59"/>
      <c r="AS95" s="59"/>
      <c r="AT95" s="59"/>
      <c r="AU95" s="59"/>
      <c r="AV95" s="138"/>
      <c r="AW95" s="138"/>
      <c r="AX95" s="1101"/>
      <c r="AY95" s="1114"/>
      <c r="AZ95" s="1114"/>
      <c r="BA95" s="436"/>
      <c r="BB95" s="436"/>
      <c r="BC95" s="1102"/>
      <c r="BD95" s="436"/>
      <c r="BE95" s="1102"/>
      <c r="BF95" s="417"/>
      <c r="BG95" s="2737"/>
      <c r="BH95" s="2744"/>
      <c r="BI95" s="1106"/>
      <c r="BJ95" s="1106"/>
      <c r="BK95" s="1105"/>
      <c r="BL95" s="1105"/>
      <c r="BM95" s="1105"/>
      <c r="BN95" s="1105"/>
      <c r="BO95" s="61"/>
      <c r="BP95" s="99"/>
      <c r="BQ95" s="50"/>
      <c r="BR95" s="59"/>
      <c r="BS95" s="59"/>
      <c r="BT95" s="59"/>
      <c r="BU95" s="59"/>
      <c r="BV95" s="59"/>
      <c r="BW95" s="59"/>
      <c r="BX95" s="59"/>
      <c r="BY95" s="59"/>
      <c r="BZ95" s="59"/>
      <c r="CA95" s="59"/>
      <c r="CB95" s="59"/>
      <c r="CC95" s="59"/>
      <c r="CD95" s="59"/>
      <c r="CE95" s="59"/>
      <c r="CF95" s="59"/>
      <c r="CG95" s="59"/>
      <c r="CH95" s="59"/>
      <c r="CI95" s="59"/>
      <c r="CJ95" s="59"/>
      <c r="CK95" s="61"/>
      <c r="CL95" s="100"/>
      <c r="CM95" s="43"/>
    </row>
    <row r="96" spans="2:91" s="72" customFormat="1" ht="19.5" customHeight="1" thickBot="1">
      <c r="B96" s="63"/>
      <c r="C96" s="64"/>
      <c r="D96" s="75"/>
      <c r="E96" s="75"/>
      <c r="F96" s="75"/>
      <c r="G96" s="75"/>
      <c r="H96" s="75"/>
      <c r="I96" s="75"/>
      <c r="J96" s="75"/>
      <c r="K96" s="75"/>
      <c r="L96" s="75"/>
      <c r="M96" s="75"/>
      <c r="N96" s="75"/>
      <c r="O96" s="75"/>
      <c r="P96" s="75"/>
      <c r="Q96" s="75"/>
      <c r="R96" s="75"/>
      <c r="S96" s="75"/>
      <c r="T96" s="75"/>
      <c r="U96" s="75"/>
      <c r="V96" s="75"/>
      <c r="W96" s="75"/>
      <c r="X96" s="75"/>
      <c r="Y96" s="75"/>
      <c r="Z96" s="82"/>
      <c r="AA96" s="75"/>
      <c r="AB96" s="82"/>
      <c r="AC96" s="75"/>
      <c r="AD96" s="75"/>
      <c r="AE96" s="75"/>
      <c r="AF96" s="75"/>
      <c r="AG96" s="69"/>
      <c r="AH96" s="152"/>
      <c r="AI96" s="64"/>
      <c r="AJ96" s="75"/>
      <c r="AK96" s="153"/>
      <c r="AL96" s="426" t="s">
        <v>467</v>
      </c>
      <c r="AM96" s="154"/>
      <c r="AN96" s="154"/>
      <c r="AO96" s="154"/>
      <c r="AP96" s="155"/>
      <c r="AQ96" s="154"/>
      <c r="AR96" s="154"/>
      <c r="AS96" s="154"/>
      <c r="AT96" s="154"/>
      <c r="AU96" s="3569">
        <f>'CALCULS Eau potable'!E181</f>
        <v>0</v>
      </c>
      <c r="AV96" s="3569"/>
      <c r="AW96" s="3569"/>
      <c r="AX96" s="3569"/>
      <c r="AY96" s="2736">
        <f>'CALCULS Eau potable'!H161</f>
        <v>0</v>
      </c>
      <c r="AZ96" s="154"/>
      <c r="BA96" s="3573">
        <f>'CALCULS Eau potable'!F181</f>
        <v>0</v>
      </c>
      <c r="BB96" s="3573"/>
      <c r="BC96" s="3573"/>
      <c r="BD96" s="3573"/>
      <c r="BE96" s="3573"/>
      <c r="BF96" s="1094"/>
      <c r="BG96" s="2736">
        <f>'CALCULS Eau potable'!H159</f>
        <v>0</v>
      </c>
      <c r="BH96" s="2745"/>
      <c r="BI96" s="3608">
        <f>'CALCULS Eau potable'!G181</f>
        <v>0</v>
      </c>
      <c r="BJ96" s="3608"/>
      <c r="BK96" s="3608"/>
      <c r="BL96" s="3608"/>
      <c r="BM96" s="3608"/>
      <c r="BN96" s="3608"/>
      <c r="BO96" s="69"/>
      <c r="BP96" s="136"/>
      <c r="BQ96" s="64"/>
      <c r="BR96" s="3600" t="s">
        <v>2287</v>
      </c>
      <c r="BS96" s="3600"/>
      <c r="BT96" s="3600"/>
      <c r="BU96" s="3600"/>
      <c r="BV96" s="3600"/>
      <c r="BW96" s="3600"/>
      <c r="BX96" s="3600"/>
      <c r="BY96" s="3600"/>
      <c r="BZ96" s="3600"/>
      <c r="CA96" s="3600"/>
      <c r="CB96" s="3600"/>
      <c r="CC96" s="3600" t="s">
        <v>784</v>
      </c>
      <c r="CD96" s="3600"/>
      <c r="CE96" s="3600"/>
      <c r="CF96" s="3600"/>
      <c r="CG96" s="3600"/>
      <c r="CH96" s="3600"/>
      <c r="CI96" s="3600"/>
      <c r="CJ96" s="3600"/>
      <c r="CK96" s="3601"/>
      <c r="CL96" s="137"/>
      <c r="CM96" s="71"/>
    </row>
    <row r="97" spans="2:91" ht="16.5" customHeight="1">
      <c r="B97" s="44"/>
      <c r="C97" s="91"/>
      <c r="D97" s="92"/>
      <c r="E97" s="92"/>
      <c r="F97" s="92"/>
      <c r="G97" s="92"/>
      <c r="H97" s="92"/>
      <c r="I97" s="92"/>
      <c r="J97" s="92"/>
      <c r="K97" s="92"/>
      <c r="L97" s="92"/>
      <c r="M97" s="92"/>
      <c r="N97" s="92"/>
      <c r="O97" s="92"/>
      <c r="P97" s="92"/>
      <c r="Q97" s="92"/>
      <c r="R97" s="92"/>
      <c r="S97" s="92"/>
      <c r="T97" s="92"/>
      <c r="U97" s="92"/>
      <c r="V97" s="92"/>
      <c r="W97" s="92"/>
      <c r="X97" s="92"/>
      <c r="Y97" s="92"/>
      <c r="Z97" s="156"/>
      <c r="AA97" s="92"/>
      <c r="AB97" s="156"/>
      <c r="AC97" s="92"/>
      <c r="AD97" s="92"/>
      <c r="AE97" s="92"/>
      <c r="AF97" s="92"/>
      <c r="AG97" s="93"/>
      <c r="AH97" s="48"/>
      <c r="AI97" s="91"/>
      <c r="AJ97" s="92"/>
      <c r="AK97" s="92"/>
      <c r="AL97" s="157"/>
      <c r="AM97" s="92"/>
      <c r="AN97" s="92"/>
      <c r="AO97" s="92"/>
      <c r="AP97" s="92"/>
      <c r="AQ97" s="92"/>
      <c r="AR97" s="92"/>
      <c r="AS97" s="92"/>
      <c r="AT97" s="92"/>
      <c r="AU97" s="158"/>
      <c r="AV97" s="158"/>
      <c r="AW97" s="158"/>
      <c r="AX97" s="159"/>
      <c r="AY97" s="159"/>
      <c r="AZ97" s="159"/>
      <c r="BA97" s="159"/>
      <c r="BB97" s="159"/>
      <c r="BC97" s="159"/>
      <c r="BD97" s="159"/>
      <c r="BE97" s="159"/>
      <c r="BF97" s="92"/>
      <c r="BG97" s="92"/>
      <c r="BH97" s="92"/>
      <c r="BI97" s="92"/>
      <c r="BJ97" s="92"/>
      <c r="BK97" s="92"/>
      <c r="BL97" s="92"/>
      <c r="BM97" s="92"/>
      <c r="BN97" s="92"/>
      <c r="BO97" s="93"/>
      <c r="BP97" s="99"/>
      <c r="BQ97" s="50"/>
      <c r="BR97" s="3600"/>
      <c r="BS97" s="3600"/>
      <c r="BT97" s="3600"/>
      <c r="BU97" s="3600"/>
      <c r="BV97" s="3600"/>
      <c r="BW97" s="3600"/>
      <c r="BX97" s="3600"/>
      <c r="BY97" s="3600"/>
      <c r="BZ97" s="3600"/>
      <c r="CA97" s="3600"/>
      <c r="CB97" s="3600"/>
      <c r="CC97" s="3600"/>
      <c r="CD97" s="3600"/>
      <c r="CE97" s="3600"/>
      <c r="CF97" s="3600"/>
      <c r="CG97" s="3600"/>
      <c r="CH97" s="3600"/>
      <c r="CI97" s="3600"/>
      <c r="CJ97" s="3600"/>
      <c r="CK97" s="3601"/>
      <c r="CL97" s="100"/>
      <c r="CM97" s="43"/>
    </row>
    <row r="98" spans="2:91" ht="10.5" customHeight="1">
      <c r="B98" s="44"/>
      <c r="C98" s="99"/>
      <c r="D98" s="99"/>
      <c r="E98" s="99"/>
      <c r="F98" s="99"/>
      <c r="G98" s="99"/>
      <c r="H98" s="99"/>
      <c r="I98" s="99"/>
      <c r="J98" s="99"/>
      <c r="K98" s="99"/>
      <c r="L98" s="99"/>
      <c r="M98" s="99"/>
      <c r="N98" s="99"/>
      <c r="O98" s="99"/>
      <c r="P98" s="99"/>
      <c r="Q98" s="99"/>
      <c r="R98" s="99"/>
      <c r="S98" s="99"/>
      <c r="T98" s="99"/>
      <c r="U98" s="99"/>
      <c r="V98" s="99"/>
      <c r="W98" s="99"/>
      <c r="X98" s="99"/>
      <c r="Y98" s="99"/>
      <c r="Z98" s="160"/>
      <c r="AA98" s="99"/>
      <c r="AB98" s="160"/>
      <c r="AC98" s="99"/>
      <c r="AD98" s="99"/>
      <c r="AE98" s="99"/>
      <c r="AF98" s="99"/>
      <c r="AG98" s="99"/>
      <c r="AH98" s="99"/>
      <c r="AI98" s="99"/>
      <c r="AJ98" s="99"/>
      <c r="AK98" s="99"/>
      <c r="AL98" s="160"/>
      <c r="AM98" s="99"/>
      <c r="AN98" s="99"/>
      <c r="AO98" s="99"/>
      <c r="AP98" s="99"/>
      <c r="AQ98" s="99"/>
      <c r="AR98" s="99"/>
      <c r="AS98" s="99"/>
      <c r="AT98" s="99"/>
      <c r="AU98" s="161"/>
      <c r="AV98" s="161"/>
      <c r="AW98" s="161"/>
      <c r="AX98" s="162"/>
      <c r="AY98" s="162"/>
      <c r="AZ98" s="162"/>
      <c r="BA98" s="162"/>
      <c r="BB98" s="162"/>
      <c r="BC98" s="162"/>
      <c r="BD98" s="162"/>
      <c r="BE98" s="162"/>
      <c r="BF98" s="99"/>
      <c r="BG98" s="99"/>
      <c r="BH98" s="99"/>
      <c r="BI98" s="99"/>
      <c r="BJ98" s="99"/>
      <c r="BK98" s="99"/>
      <c r="BL98" s="99"/>
      <c r="BM98" s="99"/>
      <c r="BN98" s="99"/>
      <c r="BO98" s="99"/>
      <c r="BP98" s="100"/>
      <c r="BQ98" s="59"/>
      <c r="BR98" s="59"/>
      <c r="BS98" s="3609" t="s">
        <v>748</v>
      </c>
      <c r="BT98" s="3607" t="s">
        <v>31</v>
      </c>
      <c r="BU98" s="3607"/>
      <c r="BV98" s="3607"/>
      <c r="BW98" s="3607"/>
      <c r="BX98" s="3607"/>
      <c r="BY98" s="2475"/>
      <c r="BZ98" s="2475"/>
      <c r="CA98" s="2475"/>
      <c r="CC98" s="3602" t="s">
        <v>748</v>
      </c>
      <c r="CD98" s="3602"/>
      <c r="CE98" s="3603" t="s">
        <v>76</v>
      </c>
      <c r="CF98" s="3603"/>
      <c r="CG98" s="3603"/>
      <c r="CH98" s="3603"/>
      <c r="CI98" s="3603"/>
      <c r="CJ98" s="3603"/>
      <c r="CK98" s="3604"/>
      <c r="CL98" s="100"/>
      <c r="CM98" s="43"/>
    </row>
    <row r="99" spans="2:91" ht="9" customHeight="1" thickBot="1">
      <c r="B99" s="44"/>
      <c r="C99" s="113"/>
      <c r="D99" s="111"/>
      <c r="E99" s="111"/>
      <c r="F99" s="111"/>
      <c r="G99" s="111"/>
      <c r="H99" s="111"/>
      <c r="I99" s="111"/>
      <c r="J99" s="111"/>
      <c r="K99" s="111"/>
      <c r="L99" s="111"/>
      <c r="M99" s="111"/>
      <c r="N99" s="111"/>
      <c r="O99" s="111"/>
      <c r="P99" s="111"/>
      <c r="Q99" s="111"/>
      <c r="R99" s="111"/>
      <c r="S99" s="111"/>
      <c r="T99" s="111"/>
      <c r="U99" s="111"/>
      <c r="V99" s="111"/>
      <c r="W99" s="111"/>
      <c r="X99" s="111"/>
      <c r="Y99" s="111"/>
      <c r="Z99" s="163"/>
      <c r="AA99" s="111"/>
      <c r="AB99" s="163"/>
      <c r="AC99" s="111"/>
      <c r="AD99" s="111"/>
      <c r="AE99" s="111"/>
      <c r="AF99" s="111"/>
      <c r="AG99" s="111"/>
      <c r="AH99" s="111"/>
      <c r="AI99" s="111"/>
      <c r="AJ99" s="111"/>
      <c r="AK99" s="111"/>
      <c r="AL99" s="163"/>
      <c r="AM99" s="111"/>
      <c r="AN99" s="111"/>
      <c r="AO99" s="111"/>
      <c r="AP99" s="111"/>
      <c r="AQ99" s="111"/>
      <c r="AR99" s="111"/>
      <c r="AS99" s="111"/>
      <c r="AT99" s="111"/>
      <c r="AU99" s="164"/>
      <c r="AV99" s="164"/>
      <c r="AW99" s="164"/>
      <c r="AX99" s="165"/>
      <c r="AY99" s="165"/>
      <c r="AZ99" s="165"/>
      <c r="BA99" s="165"/>
      <c r="BB99" s="165"/>
      <c r="BC99" s="165"/>
      <c r="BD99" s="165"/>
      <c r="BE99" s="165"/>
      <c r="BF99" s="111"/>
      <c r="BG99" s="111"/>
      <c r="BH99" s="111"/>
      <c r="BI99" s="111"/>
      <c r="BJ99" s="111"/>
      <c r="BK99" s="111"/>
      <c r="BL99" s="111"/>
      <c r="BM99" s="111"/>
      <c r="BN99" s="111"/>
      <c r="BO99" s="112"/>
      <c r="BP99" s="99"/>
      <c r="BQ99" s="50"/>
      <c r="BS99" s="3609"/>
      <c r="BT99" s="3607"/>
      <c r="BU99" s="3607"/>
      <c r="BV99" s="3607"/>
      <c r="BW99" s="3607"/>
      <c r="BX99" s="3607"/>
      <c r="BY99" s="2475"/>
      <c r="BZ99" s="2475"/>
      <c r="CA99" s="2475"/>
      <c r="CB99" s="2476"/>
      <c r="CC99" s="3602"/>
      <c r="CD99" s="3602"/>
      <c r="CE99" s="3603"/>
      <c r="CF99" s="3603"/>
      <c r="CG99" s="3603"/>
      <c r="CH99" s="3603"/>
      <c r="CI99" s="3603"/>
      <c r="CJ99" s="3603"/>
      <c r="CK99" s="3604"/>
      <c r="CL99" s="100"/>
      <c r="CM99" s="43"/>
    </row>
    <row r="100" spans="2:91" s="72" customFormat="1" ht="16.5" customHeight="1" thickTop="1" thickBot="1">
      <c r="B100" s="63"/>
      <c r="C100" s="166"/>
      <c r="D100" s="51" t="s">
        <v>785</v>
      </c>
      <c r="E100" s="51"/>
      <c r="F100" s="51"/>
      <c r="G100" s="51"/>
      <c r="H100" s="51"/>
      <c r="AF100" s="75"/>
      <c r="AG100" s="75"/>
      <c r="AH100" s="75"/>
      <c r="AI100" s="75"/>
      <c r="AJ100" s="75"/>
      <c r="AK100" s="62"/>
      <c r="AL100" s="167"/>
      <c r="AM100" s="167"/>
      <c r="AN100" s="168"/>
      <c r="AO100" s="168"/>
      <c r="AP100" s="168"/>
      <c r="AQ100" s="168"/>
      <c r="AR100" s="168"/>
      <c r="AS100" s="168"/>
      <c r="AT100" s="168"/>
      <c r="AU100" s="168"/>
      <c r="AV100" s="168"/>
      <c r="AW100" s="168"/>
      <c r="AX100" s="168"/>
      <c r="AY100" s="168"/>
      <c r="AZ100" s="168"/>
      <c r="BA100" s="168"/>
      <c r="BB100" s="168"/>
      <c r="BC100" s="168"/>
      <c r="BD100" s="168"/>
      <c r="BE100" s="168"/>
      <c r="BF100" s="168"/>
      <c r="BG100" s="168"/>
      <c r="BH100" s="168"/>
      <c r="BI100" s="168"/>
      <c r="BJ100" s="168"/>
      <c r="BK100" s="168"/>
      <c r="BL100" s="168"/>
      <c r="BM100" s="168"/>
      <c r="BN100" s="75"/>
      <c r="BO100" s="169"/>
      <c r="BP100" s="136"/>
      <c r="BQ100" s="64"/>
      <c r="BR100" s="429"/>
      <c r="BS100" s="2477" t="s">
        <v>748</v>
      </c>
      <c r="BT100" s="2478" t="s">
        <v>75</v>
      </c>
      <c r="BU100" s="2466"/>
      <c r="BV100" s="2466"/>
      <c r="BW100" s="2466"/>
      <c r="BX100" s="2466"/>
      <c r="BY100" s="2466"/>
      <c r="BZ100" s="2466"/>
      <c r="CA100" s="2466"/>
      <c r="CB100" s="2466"/>
      <c r="CD100" s="2478"/>
      <c r="CE100" s="3603"/>
      <c r="CF100" s="3603"/>
      <c r="CG100" s="3603"/>
      <c r="CH100" s="3603"/>
      <c r="CI100" s="3603"/>
      <c r="CJ100" s="3603"/>
      <c r="CK100" s="3604"/>
      <c r="CL100" s="137"/>
      <c r="CM100" s="71"/>
    </row>
    <row r="101" spans="2:91" ht="6.75" customHeight="1" thickTop="1">
      <c r="B101" s="44"/>
      <c r="C101" s="115"/>
      <c r="D101" s="59"/>
      <c r="E101" s="59"/>
      <c r="F101" s="59"/>
      <c r="G101" s="59"/>
      <c r="H101" s="59"/>
      <c r="I101" s="59"/>
      <c r="J101" s="59"/>
      <c r="K101" s="59"/>
      <c r="L101" s="59"/>
      <c r="M101" s="59"/>
      <c r="N101" s="59"/>
      <c r="O101" s="59"/>
      <c r="P101" s="59"/>
      <c r="Q101" s="59"/>
      <c r="R101" s="59"/>
      <c r="S101" s="59"/>
      <c r="T101" s="59"/>
      <c r="U101" s="59"/>
      <c r="V101" s="59"/>
      <c r="W101" s="59"/>
      <c r="X101" s="59"/>
      <c r="Y101" s="59"/>
      <c r="Z101" s="55"/>
      <c r="AA101" s="59"/>
      <c r="AB101" s="55"/>
      <c r="AC101" s="59"/>
      <c r="AD101" s="59"/>
      <c r="AE101" s="59"/>
      <c r="AF101" s="59"/>
      <c r="AG101" s="59"/>
      <c r="AH101" s="59"/>
      <c r="AI101" s="59"/>
      <c r="AJ101" s="59"/>
      <c r="AK101" s="59"/>
      <c r="AL101" s="55"/>
      <c r="AM101" s="59"/>
      <c r="AN101" s="59"/>
      <c r="AO101" s="59"/>
      <c r="AP101" s="59"/>
      <c r="AQ101" s="59"/>
      <c r="AR101" s="59"/>
      <c r="AS101" s="59"/>
      <c r="AT101" s="59"/>
      <c r="AU101" s="89"/>
      <c r="AV101" s="89"/>
      <c r="AW101" s="89"/>
      <c r="AX101" s="138"/>
      <c r="AY101" s="138"/>
      <c r="AZ101" s="138"/>
      <c r="BA101" s="138"/>
      <c r="BB101" s="138"/>
      <c r="BC101" s="138"/>
      <c r="BD101" s="138"/>
      <c r="BE101" s="138"/>
      <c r="BF101" s="59"/>
      <c r="BG101" s="59"/>
      <c r="BH101" s="59"/>
      <c r="BI101" s="59"/>
      <c r="BJ101" s="59"/>
      <c r="BK101" s="59"/>
      <c r="BL101" s="59"/>
      <c r="BM101" s="59"/>
      <c r="BN101" s="59"/>
      <c r="BO101" s="114"/>
      <c r="BP101" s="99"/>
      <c r="BQ101" s="50"/>
      <c r="BR101" s="59"/>
      <c r="BS101" s="59"/>
      <c r="BT101" s="2466"/>
      <c r="BU101" s="2466"/>
      <c r="BV101" s="2466"/>
      <c r="BW101" s="2466"/>
      <c r="BX101" s="2466"/>
      <c r="BY101" s="2466"/>
      <c r="BZ101" s="2466"/>
      <c r="CA101" s="2466"/>
      <c r="CB101" s="2466"/>
      <c r="CC101" s="2466"/>
      <c r="CD101" s="2466"/>
      <c r="CE101" s="2466"/>
      <c r="CF101" s="2466"/>
      <c r="CG101" s="2466"/>
      <c r="CH101" s="2466"/>
      <c r="CI101" s="2466"/>
      <c r="CK101" s="61"/>
      <c r="CL101" s="100"/>
      <c r="CM101" s="43"/>
    </row>
    <row r="102" spans="2:91" ht="16.5" customHeight="1">
      <c r="B102" s="44"/>
      <c r="C102" s="115"/>
      <c r="D102" s="1019" t="s">
        <v>749</v>
      </c>
      <c r="E102" s="1165"/>
      <c r="F102" s="1165"/>
      <c r="G102" s="1165"/>
      <c r="H102" s="1165"/>
      <c r="I102" s="1021"/>
      <c r="J102" s="1021"/>
      <c r="K102" s="1022"/>
      <c r="L102" s="1023"/>
      <c r="M102" s="1022"/>
      <c r="N102" s="1024"/>
      <c r="O102" s="1022"/>
      <c r="P102" s="1025"/>
      <c r="Q102" s="1022"/>
      <c r="R102" s="1025"/>
      <c r="S102" s="1022"/>
      <c r="T102" s="1025"/>
      <c r="U102" s="1022"/>
      <c r="V102" s="1025"/>
      <c r="W102" s="1025"/>
      <c r="X102" s="1026"/>
      <c r="Y102" s="1027"/>
      <c r="Z102" s="1027"/>
      <c r="AA102" s="1027"/>
      <c r="AB102" s="1027"/>
      <c r="AC102" s="1027"/>
      <c r="AD102" s="1027"/>
      <c r="AE102" s="1027"/>
      <c r="AF102" s="2245" t="str">
        <f>IF(('FORMULAIRE PGA Eau potable'!$H$81='MENU DÉROULANT'!$C$31),"(Aucun actif)","")</f>
        <v/>
      </c>
      <c r="AG102" s="1028"/>
      <c r="AH102" s="59"/>
      <c r="AI102" s="1019" t="s">
        <v>750</v>
      </c>
      <c r="AJ102" s="1021"/>
      <c r="AK102" s="1021"/>
      <c r="AL102" s="1022"/>
      <c r="AM102" s="1023"/>
      <c r="AN102" s="1022"/>
      <c r="AO102" s="1024"/>
      <c r="AP102" s="1022"/>
      <c r="AQ102" s="1025"/>
      <c r="AR102" s="1022"/>
      <c r="AS102" s="1025"/>
      <c r="AT102" s="1022"/>
      <c r="AU102" s="1025"/>
      <c r="AV102" s="1025"/>
      <c r="AW102" s="1025"/>
      <c r="AX102" s="1022"/>
      <c r="AY102" s="1022"/>
      <c r="AZ102" s="1022"/>
      <c r="BA102" s="1025"/>
      <c r="BB102" s="1025"/>
      <c r="BC102" s="1025"/>
      <c r="BD102" s="1026"/>
      <c r="BE102" s="1027"/>
      <c r="BF102" s="1027"/>
      <c r="BG102" s="1027"/>
      <c r="BH102" s="1027"/>
      <c r="BI102" s="1027"/>
      <c r="BJ102" s="1027"/>
      <c r="BK102" s="1027"/>
      <c r="BL102" s="1027"/>
      <c r="BM102" s="2245" t="str">
        <f>IF(('FORMULAIRE PGA Eau potable'!$H$120='MENU DÉROULANT'!$F$31),"(Aucun actif)","")</f>
        <v/>
      </c>
      <c r="BN102" s="1028"/>
      <c r="BO102" s="114"/>
      <c r="BP102" s="99"/>
      <c r="BQ102" s="50"/>
      <c r="BR102" s="2478" t="s">
        <v>49</v>
      </c>
      <c r="BT102" s="2466"/>
      <c r="BU102" s="2466"/>
      <c r="BV102" s="2466"/>
      <c r="BW102" s="2466"/>
      <c r="BX102" s="2466"/>
      <c r="BY102" s="2466"/>
      <c r="BZ102" s="2466"/>
      <c r="CA102" s="2466"/>
      <c r="CB102" s="2466"/>
      <c r="CC102" s="2466"/>
      <c r="CD102" s="2466"/>
      <c r="CE102" s="2466"/>
      <c r="CF102" s="2466"/>
      <c r="CG102" s="2466"/>
      <c r="CH102" s="2466"/>
      <c r="CI102" s="2466"/>
      <c r="CJ102" s="3598"/>
      <c r="CK102" s="3599"/>
      <c r="CL102" s="100"/>
      <c r="CM102" s="43"/>
    </row>
    <row r="103" spans="2:91" ht="10.5" customHeight="1">
      <c r="B103" s="44"/>
      <c r="C103" s="115"/>
      <c r="D103" s="1059"/>
      <c r="E103" s="1055"/>
      <c r="F103" s="1055"/>
      <c r="G103" s="1055"/>
      <c r="H103" s="1055"/>
      <c r="I103" s="1055"/>
      <c r="J103" s="1055"/>
      <c r="K103" s="1055"/>
      <c r="L103" s="1055"/>
      <c r="M103" s="1055"/>
      <c r="N103" s="1055"/>
      <c r="O103" s="1055"/>
      <c r="P103" s="1055"/>
      <c r="Q103" s="1055"/>
      <c r="R103" s="1055"/>
      <c r="S103" s="1055"/>
      <c r="T103" s="1055"/>
      <c r="U103" s="1055"/>
      <c r="V103" s="1055"/>
      <c r="W103" s="1055"/>
      <c r="X103" s="1055"/>
      <c r="Y103" s="1055"/>
      <c r="Z103" s="1055"/>
      <c r="AA103" s="46"/>
      <c r="AB103" s="460"/>
      <c r="AC103" s="46"/>
      <c r="AD103" s="46"/>
      <c r="AE103" s="46"/>
      <c r="AF103" s="46"/>
      <c r="AG103" s="47"/>
      <c r="AH103" s="59"/>
      <c r="AI103" s="45"/>
      <c r="AJ103" s="46"/>
      <c r="AK103" s="46"/>
      <c r="AL103" s="1055"/>
      <c r="AM103" s="1055"/>
      <c r="AN103" s="1055"/>
      <c r="AO103" s="1055"/>
      <c r="AP103" s="1055"/>
      <c r="AQ103" s="1055"/>
      <c r="AR103" s="1055"/>
      <c r="AS103" s="1055"/>
      <c r="AT103" s="1055"/>
      <c r="AU103" s="1055"/>
      <c r="AV103" s="1055"/>
      <c r="AW103" s="1055"/>
      <c r="AX103" s="1055"/>
      <c r="AY103" s="1055"/>
      <c r="AZ103" s="1055"/>
      <c r="BA103" s="1055"/>
      <c r="BB103" s="1055"/>
      <c r="BC103" s="1055"/>
      <c r="BD103" s="1055"/>
      <c r="BE103" s="1055"/>
      <c r="BF103" s="1055"/>
      <c r="BG103" s="1055"/>
      <c r="BH103" s="1055"/>
      <c r="BI103" s="1055"/>
      <c r="BJ103" s="46"/>
      <c r="BK103" s="46"/>
      <c r="BL103" s="46"/>
      <c r="BM103" s="46"/>
      <c r="BN103" s="47"/>
      <c r="BO103" s="114"/>
      <c r="BP103" s="99"/>
      <c r="BQ103" s="50"/>
      <c r="BR103" s="55"/>
      <c r="BS103" s="2479" t="s">
        <v>748</v>
      </c>
      <c r="BT103" s="2480" t="s">
        <v>77</v>
      </c>
      <c r="BU103" s="2466"/>
      <c r="BV103" s="2466"/>
      <c r="BW103" s="2466"/>
      <c r="BX103" s="2466"/>
      <c r="BY103" s="2466"/>
      <c r="BZ103" s="2466"/>
      <c r="CA103" s="2466"/>
      <c r="CB103" s="2466"/>
      <c r="CC103" s="2466"/>
      <c r="CD103" s="2466"/>
      <c r="CE103" s="2466"/>
      <c r="CF103" s="2466"/>
      <c r="CG103" s="2466"/>
      <c r="CH103" s="2466"/>
      <c r="CI103" s="2466"/>
      <c r="CK103" s="61"/>
      <c r="CL103" s="100"/>
      <c r="CM103" s="43"/>
    </row>
    <row r="104" spans="2:91" ht="18" customHeight="1">
      <c r="B104" s="44"/>
      <c r="C104" s="115"/>
      <c r="D104" s="3648">
        <f>'CALCULS Eau potable'!O198</f>
        <v>0</v>
      </c>
      <c r="E104" s="3649"/>
      <c r="F104" s="3649"/>
      <c r="G104" s="3649"/>
      <c r="H104" s="3649"/>
      <c r="I104" s="1693" t="s">
        <v>786</v>
      </c>
      <c r="J104" s="3570">
        <f>'CALCULS Eau potable'!P198</f>
        <v>0</v>
      </c>
      <c r="K104" s="3570"/>
      <c r="L104" s="3570"/>
      <c r="M104" s="3570"/>
      <c r="N104" s="432" t="s">
        <v>787</v>
      </c>
      <c r="O104" s="433"/>
      <c r="P104" s="1057"/>
      <c r="Q104" s="1057"/>
      <c r="R104" s="1056"/>
      <c r="S104" s="1056"/>
      <c r="T104" s="1056"/>
      <c r="U104" s="433"/>
      <c r="V104" s="433"/>
      <c r="W104" s="433"/>
      <c r="X104" s="433"/>
      <c r="Y104" s="433"/>
      <c r="Z104" s="433"/>
      <c r="AA104" s="1057"/>
      <c r="AB104" s="1057"/>
      <c r="AC104" s="1057"/>
      <c r="AD104" s="3593">
        <f>'CALCULS Eau potable'!D202</f>
        <v>0</v>
      </c>
      <c r="AE104" s="3593"/>
      <c r="AF104" s="3593"/>
      <c r="AG104" s="3594"/>
      <c r="AH104" s="59"/>
      <c r="AI104" s="50"/>
      <c r="AJ104" s="3696">
        <f>'CALCULS Eau potable'!O215</f>
        <v>0</v>
      </c>
      <c r="AK104" s="3696"/>
      <c r="AL104" s="3696"/>
      <c r="AM104" s="3696"/>
      <c r="AN104" s="3696"/>
      <c r="AO104" s="3696"/>
      <c r="AP104" s="3696"/>
      <c r="AQ104" s="3696"/>
      <c r="AR104" s="3697" t="s">
        <v>786</v>
      </c>
      <c r="AS104" s="3697"/>
      <c r="AT104" s="3697"/>
      <c r="AU104" s="3570">
        <f>'CALCULS Eau potable'!P215</f>
        <v>0</v>
      </c>
      <c r="AV104" s="3570"/>
      <c r="AW104" s="3570"/>
      <c r="AX104" s="432" t="s">
        <v>787</v>
      </c>
      <c r="AY104" s="432"/>
      <c r="AZ104" s="432"/>
      <c r="BA104" s="1056"/>
      <c r="BB104" s="1056"/>
      <c r="BC104" s="1056"/>
      <c r="BD104" s="433"/>
      <c r="BE104" s="433"/>
      <c r="BF104" s="433"/>
      <c r="BG104" s="1057"/>
      <c r="BH104" s="1057"/>
      <c r="BI104" s="1057"/>
      <c r="BJ104" s="1057"/>
      <c r="BK104" s="3593">
        <f>'CALCULS Eau potable'!D219</f>
        <v>0</v>
      </c>
      <c r="BL104" s="3593"/>
      <c r="BM104" s="3593"/>
      <c r="BN104" s="3594"/>
      <c r="BO104" s="114"/>
      <c r="BP104" s="99"/>
      <c r="BQ104" s="50"/>
      <c r="BR104" s="55"/>
      <c r="BS104" s="2481" t="s">
        <v>748</v>
      </c>
      <c r="BT104" s="3595" t="s">
        <v>788</v>
      </c>
      <c r="BU104" s="3595"/>
      <c r="BV104" s="3595"/>
      <c r="BW104" s="3595"/>
      <c r="BX104" s="3595"/>
      <c r="BY104" s="3595"/>
      <c r="BZ104" s="3595"/>
      <c r="CA104" s="3595"/>
      <c r="CB104" s="3595"/>
      <c r="CC104" s="3595"/>
      <c r="CD104" s="3595"/>
      <c r="CE104" s="3595"/>
      <c r="CF104" s="3595"/>
      <c r="CG104" s="3595"/>
      <c r="CH104" s="3595"/>
      <c r="CI104" s="3595"/>
      <c r="CJ104" s="3595"/>
      <c r="CK104" s="3605"/>
      <c r="CL104" s="100"/>
      <c r="CM104" s="43"/>
    </row>
    <row r="105" spans="2:91" ht="10.5" customHeight="1" thickBot="1">
      <c r="B105" s="44"/>
      <c r="C105" s="115"/>
      <c r="D105" s="1060"/>
      <c r="E105" s="430"/>
      <c r="F105" s="430"/>
      <c r="G105" s="430"/>
      <c r="H105" s="430"/>
      <c r="I105" s="431"/>
      <c r="J105" s="1056"/>
      <c r="K105" s="433"/>
      <c r="L105" s="433"/>
      <c r="M105" s="433"/>
      <c r="N105" s="433"/>
      <c r="O105" s="433"/>
      <c r="P105" s="433"/>
      <c r="Q105" s="433"/>
      <c r="R105" s="1056"/>
      <c r="S105" s="1056"/>
      <c r="T105" s="1056"/>
      <c r="U105" s="433"/>
      <c r="V105" s="433"/>
      <c r="W105" s="433"/>
      <c r="X105" s="433"/>
      <c r="Y105" s="434"/>
      <c r="Z105" s="434"/>
      <c r="AA105" s="1057"/>
      <c r="AB105" s="1057"/>
      <c r="AC105" s="1057"/>
      <c r="AD105" s="1057"/>
      <c r="AE105" s="59"/>
      <c r="AF105" s="59"/>
      <c r="AG105" s="61"/>
      <c r="AH105" s="59"/>
      <c r="AI105" s="50"/>
      <c r="AJ105" s="416"/>
      <c r="AK105" s="416"/>
      <c r="AL105" s="430"/>
      <c r="AM105" s="431"/>
      <c r="AN105" s="1056"/>
      <c r="AO105" s="433"/>
      <c r="AP105" s="433"/>
      <c r="AQ105" s="433"/>
      <c r="AR105" s="433"/>
      <c r="AS105" s="433"/>
      <c r="AT105" s="433"/>
      <c r="AU105" s="433"/>
      <c r="AV105" s="433"/>
      <c r="AW105" s="433"/>
      <c r="AX105" s="1056"/>
      <c r="AY105" s="1056"/>
      <c r="AZ105" s="1056"/>
      <c r="BA105" s="1056"/>
      <c r="BB105" s="1056"/>
      <c r="BC105" s="1056"/>
      <c r="BD105" s="433"/>
      <c r="BE105" s="433"/>
      <c r="BF105" s="433"/>
      <c r="BG105" s="434"/>
      <c r="BH105" s="434"/>
      <c r="BI105" s="434"/>
      <c r="BJ105" s="1057"/>
      <c r="BK105" s="416"/>
      <c r="BL105" s="59"/>
      <c r="BM105" s="59"/>
      <c r="BN105" s="61"/>
      <c r="BO105" s="114"/>
      <c r="BP105" s="99"/>
      <c r="BQ105" s="50"/>
      <c r="BR105" s="55"/>
      <c r="BS105" s="55"/>
      <c r="BT105" s="3595"/>
      <c r="BU105" s="3595"/>
      <c r="BV105" s="3595"/>
      <c r="BW105" s="3595"/>
      <c r="BX105" s="3595"/>
      <c r="BY105" s="3595"/>
      <c r="BZ105" s="3595"/>
      <c r="CA105" s="3595"/>
      <c r="CB105" s="3595"/>
      <c r="CC105" s="3595"/>
      <c r="CD105" s="3595"/>
      <c r="CE105" s="3595"/>
      <c r="CF105" s="3595"/>
      <c r="CG105" s="3595"/>
      <c r="CH105" s="3595"/>
      <c r="CI105" s="3595"/>
      <c r="CJ105" s="3595"/>
      <c r="CK105" s="3605"/>
      <c r="CL105" s="100"/>
      <c r="CM105" s="43"/>
    </row>
    <row r="106" spans="2:91" ht="16.5" customHeight="1" thickTop="1">
      <c r="B106" s="44"/>
      <c r="C106" s="115"/>
      <c r="D106" s="2503" t="s">
        <v>789</v>
      </c>
      <c r="E106" s="2424"/>
      <c r="F106" s="2424"/>
      <c r="G106" s="2424"/>
      <c r="H106" s="2424"/>
      <c r="I106" s="1057"/>
      <c r="J106" s="1057"/>
      <c r="K106" s="1057"/>
      <c r="L106" s="1057"/>
      <c r="M106" s="1057"/>
      <c r="N106" s="1057"/>
      <c r="O106" s="1057"/>
      <c r="P106" s="1057"/>
      <c r="Q106" s="1057"/>
      <c r="R106" s="1057"/>
      <c r="S106" s="1057"/>
      <c r="T106" s="1057"/>
      <c r="U106" s="1057"/>
      <c r="V106" s="1057"/>
      <c r="W106" s="1057"/>
      <c r="X106" s="1057"/>
      <c r="Y106" s="1057"/>
      <c r="Z106" s="1057"/>
      <c r="AA106" s="1057"/>
      <c r="AB106" s="1057"/>
      <c r="AC106" s="1057"/>
      <c r="AD106" s="1057"/>
      <c r="AE106" s="59"/>
      <c r="AF106" s="59"/>
      <c r="AG106" s="61"/>
      <c r="AH106" s="59"/>
      <c r="AI106" s="50"/>
      <c r="AJ106" s="2504" t="s">
        <v>789</v>
      </c>
      <c r="AK106" s="416"/>
      <c r="AL106" s="1058"/>
      <c r="AM106" s="1057"/>
      <c r="AN106" s="1057"/>
      <c r="AO106" s="1057"/>
      <c r="AP106" s="1057"/>
      <c r="AQ106" s="1057"/>
      <c r="AR106" s="1057"/>
      <c r="AS106" s="1057"/>
      <c r="AT106" s="1057"/>
      <c r="AU106" s="1057"/>
      <c r="AV106" s="1057"/>
      <c r="AW106" s="1057"/>
      <c r="AX106" s="1057"/>
      <c r="AY106" s="1057"/>
      <c r="AZ106" s="1057"/>
      <c r="BA106" s="1057"/>
      <c r="BB106" s="1057"/>
      <c r="BC106" s="1057"/>
      <c r="BD106" s="1057"/>
      <c r="BE106" s="1057"/>
      <c r="BF106" s="1057"/>
      <c r="BG106" s="1057"/>
      <c r="BH106" s="1057"/>
      <c r="BI106" s="1057"/>
      <c r="BJ106" s="1057"/>
      <c r="BK106" s="416"/>
      <c r="BL106" s="59"/>
      <c r="BM106" s="59"/>
      <c r="BN106" s="61"/>
      <c r="BO106" s="114"/>
      <c r="BP106" s="99"/>
      <c r="BQ106" s="50"/>
      <c r="BR106" s="2482"/>
      <c r="BS106" s="59"/>
      <c r="BT106" s="2466"/>
      <c r="BU106" s="2466"/>
      <c r="BV106" s="2466"/>
      <c r="BW106" s="2466"/>
      <c r="BY106" s="2466"/>
      <c r="BZ106" s="2466"/>
      <c r="CA106" s="2466"/>
      <c r="CF106" s="2483" t="s">
        <v>31</v>
      </c>
      <c r="CG106" s="2466"/>
      <c r="CJ106" s="2484" t="s">
        <v>32</v>
      </c>
      <c r="CK106" s="2485"/>
      <c r="CL106" s="100"/>
      <c r="CM106" s="43"/>
    </row>
    <row r="107" spans="2:91" ht="5.25" customHeight="1">
      <c r="B107" s="44"/>
      <c r="C107" s="115"/>
      <c r="D107" s="50"/>
      <c r="E107" s="59"/>
      <c r="F107" s="59"/>
      <c r="G107" s="59"/>
      <c r="H107" s="59"/>
      <c r="I107" s="59"/>
      <c r="J107" s="59"/>
      <c r="K107" s="59"/>
      <c r="L107" s="59"/>
      <c r="M107" s="59"/>
      <c r="N107" s="59"/>
      <c r="O107" s="59"/>
      <c r="P107" s="59"/>
      <c r="Q107" s="59"/>
      <c r="R107" s="59"/>
      <c r="S107" s="59"/>
      <c r="T107" s="59"/>
      <c r="U107" s="59"/>
      <c r="V107" s="59"/>
      <c r="W107" s="59"/>
      <c r="X107" s="59"/>
      <c r="Y107" s="59"/>
      <c r="Z107" s="55"/>
      <c r="AA107" s="59"/>
      <c r="AB107" s="55"/>
      <c r="AC107" s="59"/>
      <c r="AD107" s="59"/>
      <c r="AE107" s="59"/>
      <c r="AF107" s="59"/>
      <c r="AG107" s="61"/>
      <c r="AH107" s="59"/>
      <c r="AI107" s="50"/>
      <c r="AJ107" s="59"/>
      <c r="AK107" s="59"/>
      <c r="AL107" s="55"/>
      <c r="AM107" s="59"/>
      <c r="AN107" s="59"/>
      <c r="AO107" s="59"/>
      <c r="AP107" s="59"/>
      <c r="AQ107" s="59"/>
      <c r="AR107" s="59"/>
      <c r="AS107" s="59"/>
      <c r="AT107" s="59"/>
      <c r="AU107" s="89"/>
      <c r="AV107" s="89"/>
      <c r="AW107" s="89"/>
      <c r="AX107" s="138"/>
      <c r="AY107" s="138"/>
      <c r="AZ107" s="138"/>
      <c r="BA107" s="138"/>
      <c r="BB107" s="138"/>
      <c r="BC107" s="138"/>
      <c r="BD107" s="138"/>
      <c r="BE107" s="138"/>
      <c r="BF107" s="59"/>
      <c r="BG107" s="59"/>
      <c r="BH107" s="59"/>
      <c r="BI107" s="59"/>
      <c r="BJ107" s="59"/>
      <c r="BK107" s="59"/>
      <c r="BL107" s="59"/>
      <c r="BM107" s="59"/>
      <c r="BN107" s="61"/>
      <c r="BO107" s="114"/>
      <c r="BP107" s="99"/>
      <c r="BQ107" s="50"/>
      <c r="BR107" s="2486"/>
      <c r="BS107" s="3595" t="s">
        <v>4043</v>
      </c>
      <c r="BT107" s="3595"/>
      <c r="BU107" s="3595"/>
      <c r="BV107" s="3595"/>
      <c r="BW107" s="3595"/>
      <c r="BX107" s="3595"/>
      <c r="BY107" s="2466"/>
      <c r="BZ107" s="2466"/>
      <c r="CA107" s="2466"/>
      <c r="CB107" s="2466"/>
      <c r="CC107" s="2466"/>
      <c r="CD107" s="2466"/>
      <c r="CE107" s="2466"/>
      <c r="CF107" s="2466"/>
      <c r="CG107" s="2466"/>
      <c r="CH107" s="2466"/>
      <c r="CI107" s="2466"/>
      <c r="CJ107" s="59"/>
      <c r="CK107" s="61"/>
      <c r="CL107" s="100"/>
      <c r="CM107" s="43"/>
    </row>
    <row r="108" spans="2:91" ht="22.5" customHeight="1" thickBot="1">
      <c r="B108" s="44"/>
      <c r="C108" s="115"/>
      <c r="D108" s="50"/>
      <c r="E108" s="59"/>
      <c r="F108" s="59"/>
      <c r="G108" s="59"/>
      <c r="H108" s="59"/>
      <c r="I108" s="59"/>
      <c r="J108" s="59"/>
      <c r="K108" s="59"/>
      <c r="L108" s="59"/>
      <c r="M108" s="59"/>
      <c r="N108" s="59"/>
      <c r="O108" s="59"/>
      <c r="P108" s="59"/>
      <c r="Q108" s="59"/>
      <c r="R108" s="59"/>
      <c r="S108" s="59"/>
      <c r="T108" s="59"/>
      <c r="U108" s="59"/>
      <c r="V108" s="59"/>
      <c r="W108" s="59"/>
      <c r="X108" s="59"/>
      <c r="Y108" s="59"/>
      <c r="Z108" s="55"/>
      <c r="AA108" s="59"/>
      <c r="AB108" s="55"/>
      <c r="AC108" s="59"/>
      <c r="AD108" s="59"/>
      <c r="AE108" s="59"/>
      <c r="AF108" s="59"/>
      <c r="AG108" s="61"/>
      <c r="AH108" s="59"/>
      <c r="AI108" s="50"/>
      <c r="AJ108" s="59"/>
      <c r="AK108" s="59"/>
      <c r="AL108" s="55"/>
      <c r="AM108" s="59"/>
      <c r="AN108" s="59"/>
      <c r="AO108" s="59"/>
      <c r="AP108" s="59"/>
      <c r="AQ108" s="59"/>
      <c r="AR108" s="59"/>
      <c r="AS108" s="59"/>
      <c r="AT108" s="59"/>
      <c r="AU108" s="89"/>
      <c r="AV108" s="89"/>
      <c r="AW108" s="89"/>
      <c r="AX108" s="138"/>
      <c r="AY108" s="138"/>
      <c r="AZ108" s="138"/>
      <c r="BA108" s="138"/>
      <c r="BB108" s="138"/>
      <c r="BC108" s="138"/>
      <c r="BD108" s="138"/>
      <c r="BE108" s="138"/>
      <c r="BF108" s="59"/>
      <c r="BG108" s="59"/>
      <c r="BH108" s="59"/>
      <c r="BI108" s="59"/>
      <c r="BJ108" s="59"/>
      <c r="BK108" s="59"/>
      <c r="BL108" s="59"/>
      <c r="BM108" s="59"/>
      <c r="BN108" s="61"/>
      <c r="BO108" s="114"/>
      <c r="BP108" s="99"/>
      <c r="BQ108" s="50"/>
      <c r="BR108" s="2487"/>
      <c r="BS108" s="3596"/>
      <c r="BT108" s="3596"/>
      <c r="BU108" s="3596"/>
      <c r="BV108" s="3596"/>
      <c r="BW108" s="3596"/>
      <c r="BX108" s="3596"/>
      <c r="BY108" s="2488"/>
      <c r="BZ108" s="2523">
        <f>'CALCULS Eau potable'!M253</f>
        <v>0</v>
      </c>
      <c r="CA108" s="2489"/>
      <c r="CB108" s="3590">
        <f>'CALCULS Eau potable'!N253</f>
        <v>0</v>
      </c>
      <c r="CC108" s="3590"/>
      <c r="CD108" s="3590"/>
      <c r="CE108" s="3590"/>
      <c r="CF108" s="3590"/>
      <c r="CG108" s="3588">
        <f>'CALCULS Eau potable'!O253</f>
        <v>0</v>
      </c>
      <c r="CH108" s="3588"/>
      <c r="CI108" s="3588"/>
      <c r="CJ108" s="3588"/>
      <c r="CK108" s="61"/>
      <c r="CL108" s="100"/>
      <c r="CM108" s="43"/>
    </row>
    <row r="109" spans="2:91" ht="5.25" customHeight="1">
      <c r="B109" s="44"/>
      <c r="C109" s="115"/>
      <c r="D109" s="50"/>
      <c r="E109" s="59"/>
      <c r="F109" s="59"/>
      <c r="G109" s="59"/>
      <c r="H109" s="59"/>
      <c r="I109" s="59"/>
      <c r="J109" s="59"/>
      <c r="K109" s="59"/>
      <c r="L109" s="59"/>
      <c r="M109" s="59"/>
      <c r="N109" s="59"/>
      <c r="O109" s="59"/>
      <c r="P109" s="59"/>
      <c r="Q109" s="59"/>
      <c r="R109" s="59"/>
      <c r="S109" s="59"/>
      <c r="T109" s="59"/>
      <c r="U109" s="59"/>
      <c r="V109" s="59"/>
      <c r="W109" s="59"/>
      <c r="X109" s="59"/>
      <c r="Y109" s="59"/>
      <c r="Z109" s="55"/>
      <c r="AA109" s="59"/>
      <c r="AB109" s="55"/>
      <c r="AC109" s="59"/>
      <c r="AD109" s="59"/>
      <c r="AE109" s="59"/>
      <c r="AF109" s="59"/>
      <c r="AG109" s="61"/>
      <c r="AH109" s="59"/>
      <c r="AI109" s="50"/>
      <c r="AJ109" s="59"/>
      <c r="AK109" s="59"/>
      <c r="AL109" s="55"/>
      <c r="AM109" s="59"/>
      <c r="AN109" s="59"/>
      <c r="AO109" s="59"/>
      <c r="AP109" s="59"/>
      <c r="AQ109" s="59"/>
      <c r="AR109" s="59"/>
      <c r="AS109" s="59"/>
      <c r="AT109" s="59"/>
      <c r="AU109" s="89"/>
      <c r="AV109" s="89"/>
      <c r="AW109" s="89"/>
      <c r="AX109" s="138"/>
      <c r="AY109" s="138"/>
      <c r="AZ109" s="138"/>
      <c r="BA109" s="138"/>
      <c r="BB109" s="138"/>
      <c r="BC109" s="138"/>
      <c r="BD109" s="138"/>
      <c r="BE109" s="138"/>
      <c r="BF109" s="59"/>
      <c r="BG109" s="59"/>
      <c r="BH109" s="59"/>
      <c r="BI109" s="59"/>
      <c r="BJ109" s="59"/>
      <c r="BK109" s="59"/>
      <c r="BL109" s="59"/>
      <c r="BM109" s="59"/>
      <c r="BN109" s="61"/>
      <c r="BO109" s="114"/>
      <c r="BP109" s="99"/>
      <c r="BQ109" s="50"/>
      <c r="BR109" s="55"/>
      <c r="BS109" s="55"/>
      <c r="CB109" s="2014"/>
      <c r="CC109" s="2014"/>
      <c r="CD109" s="2014"/>
      <c r="CE109" s="2014"/>
      <c r="CF109" s="2014"/>
      <c r="CG109" s="2525"/>
      <c r="CH109" s="2525"/>
      <c r="CI109" s="2525"/>
      <c r="CJ109" s="2525"/>
      <c r="CK109" s="61"/>
      <c r="CL109" s="100"/>
      <c r="CM109" s="43"/>
    </row>
    <row r="110" spans="2:91" ht="5.25" customHeight="1">
      <c r="B110" s="44"/>
      <c r="C110" s="115"/>
      <c r="D110" s="50"/>
      <c r="E110" s="59"/>
      <c r="F110" s="59"/>
      <c r="G110" s="59"/>
      <c r="H110" s="59"/>
      <c r="I110" s="59"/>
      <c r="J110" s="59"/>
      <c r="K110" s="59"/>
      <c r="L110" s="59"/>
      <c r="M110" s="59"/>
      <c r="N110" s="59"/>
      <c r="O110" s="59"/>
      <c r="P110" s="59"/>
      <c r="Q110" s="59"/>
      <c r="R110" s="59"/>
      <c r="S110" s="59"/>
      <c r="T110" s="59"/>
      <c r="U110" s="59"/>
      <c r="V110" s="59"/>
      <c r="W110" s="59"/>
      <c r="X110" s="59"/>
      <c r="Y110" s="59"/>
      <c r="Z110" s="55"/>
      <c r="AA110" s="59"/>
      <c r="AB110" s="55"/>
      <c r="AC110" s="59"/>
      <c r="AD110" s="59"/>
      <c r="AE110" s="59"/>
      <c r="AF110" s="59"/>
      <c r="AG110" s="61"/>
      <c r="AH110" s="59"/>
      <c r="AI110" s="50"/>
      <c r="AJ110" s="59"/>
      <c r="AK110" s="59"/>
      <c r="AL110" s="55"/>
      <c r="AM110" s="59"/>
      <c r="AN110" s="59"/>
      <c r="AO110" s="59"/>
      <c r="AP110" s="59"/>
      <c r="AQ110" s="59"/>
      <c r="AR110" s="59"/>
      <c r="AS110" s="59"/>
      <c r="AT110" s="59"/>
      <c r="AU110" s="89"/>
      <c r="AV110" s="89"/>
      <c r="AW110" s="89"/>
      <c r="AX110" s="138"/>
      <c r="AY110" s="138"/>
      <c r="AZ110" s="138"/>
      <c r="BA110" s="138"/>
      <c r="BB110" s="138"/>
      <c r="BC110" s="138"/>
      <c r="BD110" s="138"/>
      <c r="BE110" s="138"/>
      <c r="BF110" s="59"/>
      <c r="BG110" s="59"/>
      <c r="BH110" s="59"/>
      <c r="BI110" s="59"/>
      <c r="BJ110" s="59"/>
      <c r="BK110" s="59"/>
      <c r="BL110" s="59"/>
      <c r="BM110" s="59"/>
      <c r="BN110" s="61"/>
      <c r="BO110" s="114"/>
      <c r="BP110" s="99"/>
      <c r="BQ110" s="50"/>
      <c r="BR110" s="2490"/>
      <c r="BS110" s="3595" t="s">
        <v>790</v>
      </c>
      <c r="BT110" s="3595"/>
      <c r="BU110" s="3595"/>
      <c r="BV110" s="3595"/>
      <c r="BW110" s="3595"/>
      <c r="BX110" s="3595"/>
      <c r="BY110" s="2466"/>
      <c r="BZ110" s="2466"/>
      <c r="CA110" s="2466"/>
      <c r="CB110" s="2527"/>
      <c r="CC110" s="2527"/>
      <c r="CD110" s="2527"/>
      <c r="CE110" s="2527"/>
      <c r="CF110" s="2527"/>
      <c r="CG110" s="2526"/>
      <c r="CH110" s="2526"/>
      <c r="CI110" s="2526"/>
      <c r="CJ110" s="2526"/>
      <c r="CK110" s="61"/>
      <c r="CL110" s="100"/>
      <c r="CM110" s="43"/>
    </row>
    <row r="111" spans="2:91" ht="23.25" customHeight="1" thickBot="1">
      <c r="B111" s="44"/>
      <c r="C111" s="115"/>
      <c r="D111" s="2818" t="s">
        <v>748</v>
      </c>
      <c r="E111" s="2811" t="s">
        <v>101</v>
      </c>
      <c r="F111" s="2811"/>
      <c r="G111" s="2817" t="s">
        <v>748</v>
      </c>
      <c r="H111" s="2812" t="s">
        <v>102</v>
      </c>
      <c r="I111" s="2812"/>
      <c r="J111" s="2812"/>
      <c r="K111" s="59"/>
      <c r="L111" s="2814" t="s">
        <v>748</v>
      </c>
      <c r="M111" s="59"/>
      <c r="N111" s="2812" t="s">
        <v>103</v>
      </c>
      <c r="O111" s="2812"/>
      <c r="P111" s="2812"/>
      <c r="Q111" s="2812"/>
      <c r="R111" s="2812"/>
      <c r="S111" s="2812"/>
      <c r="T111" s="2812"/>
      <c r="U111" s="59"/>
      <c r="V111" s="2815" t="s">
        <v>748</v>
      </c>
      <c r="W111" s="2812" t="s">
        <v>104</v>
      </c>
      <c r="X111" s="2812"/>
      <c r="Y111" s="2812"/>
      <c r="Z111" s="2816" t="s">
        <v>748</v>
      </c>
      <c r="AA111" s="59"/>
      <c r="AB111" s="2812" t="s">
        <v>105</v>
      </c>
      <c r="AC111" s="2812"/>
      <c r="AD111" s="2812"/>
      <c r="AE111" s="2812"/>
      <c r="AF111" s="2812"/>
      <c r="AG111" s="61"/>
      <c r="AH111" s="59"/>
      <c r="AI111" s="50"/>
      <c r="AJ111" s="2820" t="s">
        <v>748</v>
      </c>
      <c r="AK111" s="2811" t="s">
        <v>101</v>
      </c>
      <c r="AL111" s="2811"/>
      <c r="AM111" s="2811"/>
      <c r="AN111" s="2811"/>
      <c r="AO111" s="2811"/>
      <c r="AP111" s="2819" t="s">
        <v>748</v>
      </c>
      <c r="AQ111" s="2811" t="s">
        <v>102</v>
      </c>
      <c r="AR111" s="2811"/>
      <c r="AS111" s="2811"/>
      <c r="AT111" s="2811"/>
      <c r="AU111" s="3645" t="s">
        <v>748</v>
      </c>
      <c r="AV111" s="3645"/>
      <c r="AW111" s="2812" t="s">
        <v>103</v>
      </c>
      <c r="AX111" s="2812"/>
      <c r="AY111" s="2812"/>
      <c r="AZ111" s="3646" t="s">
        <v>748</v>
      </c>
      <c r="BA111" s="3646"/>
      <c r="BB111" s="2812" t="s">
        <v>104</v>
      </c>
      <c r="BC111" s="2812"/>
      <c r="BD111" s="2812"/>
      <c r="BE111" s="2812"/>
      <c r="BF111" s="59"/>
      <c r="BG111" s="3647" t="s">
        <v>748</v>
      </c>
      <c r="BH111" s="3647"/>
      <c r="BI111" s="2812" t="s">
        <v>105</v>
      </c>
      <c r="BJ111" s="2812"/>
      <c r="BK111" s="2812"/>
      <c r="BL111" s="2812"/>
      <c r="BM111" s="2812"/>
      <c r="BN111" s="61"/>
      <c r="BO111" s="114"/>
      <c r="BP111" s="99"/>
      <c r="BQ111" s="50"/>
      <c r="BR111" s="2491"/>
      <c r="BS111" s="3597"/>
      <c r="BT111" s="3597"/>
      <c r="BU111" s="3597"/>
      <c r="BV111" s="3597"/>
      <c r="BW111" s="3597"/>
      <c r="BX111" s="3597"/>
      <c r="BY111" s="2492"/>
      <c r="BZ111" s="2524">
        <f>'CALCULS Eau potable'!M255</f>
        <v>0</v>
      </c>
      <c r="CA111" s="2492"/>
      <c r="CB111" s="3589">
        <f>'CALCULS Eau potable'!N255</f>
        <v>0</v>
      </c>
      <c r="CC111" s="3589"/>
      <c r="CD111" s="3589"/>
      <c r="CE111" s="3589"/>
      <c r="CF111" s="3589"/>
      <c r="CG111" s="3587">
        <f>'CALCULS Eau potable'!O255</f>
        <v>0</v>
      </c>
      <c r="CH111" s="3587"/>
      <c r="CI111" s="3587"/>
      <c r="CJ111" s="3587"/>
      <c r="CK111" s="2485"/>
      <c r="CL111" s="100"/>
      <c r="CM111" s="43"/>
    </row>
    <row r="112" spans="2:91" ht="4.5" customHeight="1">
      <c r="B112" s="44"/>
      <c r="C112" s="115"/>
      <c r="D112" s="458"/>
      <c r="E112" s="3634">
        <f>'CALCULS Eau potable'!O193</f>
        <v>0</v>
      </c>
      <c r="F112" s="3634"/>
      <c r="G112" s="3634"/>
      <c r="H112" s="3634">
        <f>'CALCULS Eau potable'!O194</f>
        <v>0</v>
      </c>
      <c r="I112" s="3634"/>
      <c r="J112" s="3634"/>
      <c r="K112" s="3634"/>
      <c r="L112" s="3634"/>
      <c r="M112" s="2835"/>
      <c r="N112" s="3634">
        <f>'CALCULS Eau potable'!O195</f>
        <v>0</v>
      </c>
      <c r="O112" s="3634"/>
      <c r="P112" s="3634"/>
      <c r="Q112" s="3634"/>
      <c r="R112" s="3634"/>
      <c r="S112" s="3634"/>
      <c r="T112" s="3634"/>
      <c r="U112" s="3634"/>
      <c r="V112" s="3634"/>
      <c r="W112" s="3634">
        <f>'CALCULS Eau potable'!O196</f>
        <v>0</v>
      </c>
      <c r="X112" s="3634"/>
      <c r="Y112" s="3634"/>
      <c r="Z112" s="3634"/>
      <c r="AA112" s="2835"/>
      <c r="AB112" s="3634">
        <f>'CALCULS Eau potable'!O197</f>
        <v>0</v>
      </c>
      <c r="AC112" s="3634"/>
      <c r="AD112" s="3634"/>
      <c r="AE112" s="3634"/>
      <c r="AF112" s="3634"/>
      <c r="AG112" s="3635"/>
      <c r="AH112" s="59"/>
      <c r="AI112" s="50"/>
      <c r="AK112" s="3634">
        <f>'CALCULS Eau potable'!O210</f>
        <v>0</v>
      </c>
      <c r="AL112" s="3634"/>
      <c r="AM112" s="3634"/>
      <c r="AN112" s="3634"/>
      <c r="AO112" s="3634"/>
      <c r="AP112" s="3634"/>
      <c r="AQ112" s="3634">
        <f>'CALCULS Eau potable'!O211</f>
        <v>0</v>
      </c>
      <c r="AR112" s="3634"/>
      <c r="AS112" s="3634"/>
      <c r="AT112" s="3634"/>
      <c r="AU112" s="3634"/>
      <c r="AV112" s="3634"/>
      <c r="AW112" s="3634">
        <f>'CALCULS Eau potable'!O212</f>
        <v>0</v>
      </c>
      <c r="AX112" s="3634"/>
      <c r="AY112" s="3634"/>
      <c r="AZ112" s="3634"/>
      <c r="BA112" s="3634"/>
      <c r="BB112" s="3634">
        <f>'CALCULS Eau potable'!O213</f>
        <v>0</v>
      </c>
      <c r="BC112" s="3634"/>
      <c r="BD112" s="3634"/>
      <c r="BE112" s="3634"/>
      <c r="BF112" s="3634"/>
      <c r="BG112" s="3634"/>
      <c r="BH112" s="3634"/>
      <c r="BI112" s="3634">
        <f>'CALCULS Eau potable'!O214</f>
        <v>0</v>
      </c>
      <c r="BJ112" s="3634"/>
      <c r="BK112" s="3634"/>
      <c r="BL112" s="3634"/>
      <c r="BM112" s="3634"/>
      <c r="BN112" s="3635"/>
      <c r="BO112" s="114"/>
      <c r="BP112" s="99"/>
      <c r="BQ112" s="50"/>
      <c r="BR112" s="55"/>
      <c r="BS112" s="55"/>
      <c r="BT112" s="2466"/>
      <c r="BU112" s="2466"/>
      <c r="BV112" s="2466"/>
      <c r="BW112" s="2466"/>
      <c r="BX112" s="2466"/>
      <c r="BY112" s="2466"/>
      <c r="BZ112" s="2466"/>
      <c r="CA112" s="2466"/>
      <c r="CB112" s="2527"/>
      <c r="CC112" s="2527"/>
      <c r="CD112" s="2527"/>
      <c r="CE112" s="2527"/>
      <c r="CF112" s="2527"/>
      <c r="CG112" s="2526"/>
      <c r="CH112" s="2526"/>
      <c r="CI112" s="2526"/>
      <c r="CJ112" s="2526"/>
      <c r="CK112" s="61"/>
      <c r="CL112" s="100"/>
      <c r="CM112" s="43"/>
    </row>
    <row r="113" spans="2:91" ht="9.75" customHeight="1">
      <c r="B113" s="44"/>
      <c r="C113" s="115"/>
      <c r="D113" s="2810"/>
      <c r="E113" s="3634"/>
      <c r="F113" s="3634"/>
      <c r="G113" s="3634"/>
      <c r="H113" s="3634"/>
      <c r="I113" s="3634"/>
      <c r="J113" s="3634"/>
      <c r="K113" s="3634"/>
      <c r="L113" s="3634"/>
      <c r="M113" s="2808"/>
      <c r="N113" s="3634"/>
      <c r="O113" s="3634"/>
      <c r="P113" s="3634"/>
      <c r="Q113" s="3634"/>
      <c r="R113" s="3634"/>
      <c r="S113" s="3634"/>
      <c r="T113" s="3634"/>
      <c r="U113" s="3634"/>
      <c r="V113" s="3634"/>
      <c r="W113" s="3634"/>
      <c r="X113" s="3634"/>
      <c r="Y113" s="3634"/>
      <c r="Z113" s="3634"/>
      <c r="AA113" s="2808"/>
      <c r="AB113" s="3634"/>
      <c r="AC113" s="3634"/>
      <c r="AD113" s="3634"/>
      <c r="AE113" s="3634"/>
      <c r="AF113" s="3634"/>
      <c r="AG113" s="3635"/>
      <c r="AH113" s="59"/>
      <c r="AI113" s="50"/>
      <c r="AJ113" s="2813"/>
      <c r="AK113" s="3634"/>
      <c r="AL113" s="3634"/>
      <c r="AM113" s="3634"/>
      <c r="AN113" s="3634"/>
      <c r="AO113" s="3634"/>
      <c r="AP113" s="3634"/>
      <c r="AQ113" s="3634"/>
      <c r="AR113" s="3634"/>
      <c r="AS113" s="3634"/>
      <c r="AT113" s="3634"/>
      <c r="AU113" s="3634"/>
      <c r="AV113" s="3634"/>
      <c r="AW113" s="3634"/>
      <c r="AX113" s="3634"/>
      <c r="AY113" s="3634"/>
      <c r="AZ113" s="3634"/>
      <c r="BA113" s="3634"/>
      <c r="BB113" s="3634"/>
      <c r="BC113" s="3634"/>
      <c r="BD113" s="3634"/>
      <c r="BE113" s="3634"/>
      <c r="BF113" s="3634"/>
      <c r="BG113" s="3634"/>
      <c r="BH113" s="3634"/>
      <c r="BI113" s="3634"/>
      <c r="BJ113" s="3634"/>
      <c r="BK113" s="3634"/>
      <c r="BL113" s="3634"/>
      <c r="BM113" s="3634"/>
      <c r="BN113" s="3635"/>
      <c r="BO113" s="114"/>
      <c r="BP113" s="99"/>
      <c r="BQ113" s="50"/>
      <c r="BR113" s="2493"/>
      <c r="BS113" s="3595" t="s">
        <v>791</v>
      </c>
      <c r="BT113" s="3595"/>
      <c r="BU113" s="3595"/>
      <c r="BV113" s="3595"/>
      <c r="BW113" s="3595"/>
      <c r="BX113" s="3595"/>
      <c r="BY113" s="2466"/>
      <c r="BZ113" s="3583">
        <f>'CALCULS Eau potable'!M257</f>
        <v>0</v>
      </c>
      <c r="CA113" s="2466"/>
      <c r="CB113" s="3642">
        <f>'CALCULS Eau potable'!N257</f>
        <v>0</v>
      </c>
      <c r="CC113" s="3642"/>
      <c r="CD113" s="3642"/>
      <c r="CE113" s="3642"/>
      <c r="CF113" s="3642"/>
      <c r="CG113" s="3636">
        <f>'CALCULS Eau potable'!O257</f>
        <v>0</v>
      </c>
      <c r="CH113" s="3636"/>
      <c r="CI113" s="3636"/>
      <c r="CJ113" s="3636"/>
      <c r="CK113" s="61"/>
      <c r="CL113" s="100"/>
      <c r="CM113" s="43"/>
    </row>
    <row r="114" spans="2:91" ht="15.75" customHeight="1">
      <c r="B114" s="44"/>
      <c r="C114" s="115"/>
      <c r="D114" s="50"/>
      <c r="E114" s="3585" t="str">
        <f>'CALCULS Eau potable'!P193</f>
        <v/>
      </c>
      <c r="F114" s="3585"/>
      <c r="G114" s="3585"/>
      <c r="H114" s="3585" t="str">
        <f>'CALCULS Eau potable'!P194</f>
        <v/>
      </c>
      <c r="I114" s="3585"/>
      <c r="J114" s="3585"/>
      <c r="K114" s="3585"/>
      <c r="L114" s="3585"/>
      <c r="M114" s="2821"/>
      <c r="N114" s="3585" t="str">
        <f>'CALCULS Eau potable'!P195</f>
        <v/>
      </c>
      <c r="O114" s="3585"/>
      <c r="P114" s="3585"/>
      <c r="Q114" s="3585"/>
      <c r="R114" s="3585"/>
      <c r="S114" s="3585"/>
      <c r="T114" s="3585"/>
      <c r="U114" s="3585"/>
      <c r="V114" s="3585"/>
      <c r="W114" s="3585" t="str">
        <f>'CALCULS Eau potable'!P196</f>
        <v/>
      </c>
      <c r="X114" s="3585"/>
      <c r="Y114" s="3585"/>
      <c r="Z114" s="3585"/>
      <c r="AA114" s="2821"/>
      <c r="AB114" s="3585" t="str">
        <f>'CALCULS Eau potable'!P197</f>
        <v/>
      </c>
      <c r="AC114" s="3585"/>
      <c r="AD114" s="3585"/>
      <c r="AE114" s="3585"/>
      <c r="AF114" s="3585"/>
      <c r="AG114" s="3586"/>
      <c r="AH114" s="59"/>
      <c r="AI114" s="50"/>
      <c r="AJ114" s="59"/>
      <c r="AK114" s="3585" t="str">
        <f>'CALCULS Eau potable'!P210</f>
        <v/>
      </c>
      <c r="AL114" s="3585"/>
      <c r="AM114" s="3585"/>
      <c r="AN114" s="3585"/>
      <c r="AO114" s="3585"/>
      <c r="AP114" s="3585"/>
      <c r="AQ114" s="3585" t="str">
        <f>'CALCULS Eau potable'!P211</f>
        <v/>
      </c>
      <c r="AR114" s="3585"/>
      <c r="AS114" s="3585"/>
      <c r="AT114" s="3585"/>
      <c r="AU114" s="3585"/>
      <c r="AV114" s="3585"/>
      <c r="AW114" s="3585" t="str">
        <f>'CALCULS Eau potable'!P212</f>
        <v/>
      </c>
      <c r="AX114" s="3585"/>
      <c r="AY114" s="3585"/>
      <c r="AZ114" s="2822"/>
      <c r="BA114" s="2822"/>
      <c r="BB114" s="3585" t="str">
        <f>'CALCULS Eau potable'!P213</f>
        <v/>
      </c>
      <c r="BC114" s="3585"/>
      <c r="BD114" s="3585"/>
      <c r="BE114" s="3585"/>
      <c r="BF114" s="3585"/>
      <c r="BG114" s="3585"/>
      <c r="BH114" s="2829"/>
      <c r="BI114" s="3585" t="str">
        <f>'CALCULS Eau potable'!P214</f>
        <v/>
      </c>
      <c r="BJ114" s="3585"/>
      <c r="BK114" s="3585"/>
      <c r="BL114" s="3585"/>
      <c r="BM114" s="3585"/>
      <c r="BN114" s="3586"/>
      <c r="BO114" s="114"/>
      <c r="BP114" s="99"/>
      <c r="BQ114" s="50"/>
      <c r="BR114" s="2493"/>
      <c r="BS114" s="3595"/>
      <c r="BT114" s="3595"/>
      <c r="BU114" s="3595"/>
      <c r="BV114" s="3595"/>
      <c r="BW114" s="3595"/>
      <c r="BX114" s="3595"/>
      <c r="BY114" s="2466"/>
      <c r="BZ114" s="3583"/>
      <c r="CA114" s="2466"/>
      <c r="CB114" s="3642"/>
      <c r="CC114" s="3642"/>
      <c r="CD114" s="3642"/>
      <c r="CE114" s="3642"/>
      <c r="CF114" s="3642"/>
      <c r="CG114" s="3636"/>
      <c r="CH114" s="3636"/>
      <c r="CI114" s="3636"/>
      <c r="CJ114" s="3636"/>
      <c r="CK114" s="61"/>
      <c r="CL114" s="100"/>
      <c r="CM114" s="43"/>
    </row>
    <row r="115" spans="2:91" ht="5.25" customHeight="1" thickBot="1">
      <c r="B115" s="44"/>
      <c r="C115" s="115"/>
      <c r="D115" s="91"/>
      <c r="E115" s="92"/>
      <c r="F115" s="92"/>
      <c r="G115" s="92"/>
      <c r="H115" s="92"/>
      <c r="I115" s="92"/>
      <c r="J115" s="92"/>
      <c r="K115" s="92"/>
      <c r="L115" s="92"/>
      <c r="M115" s="92"/>
      <c r="N115" s="92"/>
      <c r="O115" s="92"/>
      <c r="P115" s="92"/>
      <c r="Q115" s="92"/>
      <c r="R115" s="92"/>
      <c r="S115" s="92"/>
      <c r="T115" s="92"/>
      <c r="U115" s="92"/>
      <c r="V115" s="92"/>
      <c r="W115" s="92"/>
      <c r="X115" s="92"/>
      <c r="Y115" s="92"/>
      <c r="Z115" s="156"/>
      <c r="AA115" s="92"/>
      <c r="AB115" s="156"/>
      <c r="AC115" s="92"/>
      <c r="AD115" s="92"/>
      <c r="AE115" s="92"/>
      <c r="AF115" s="92"/>
      <c r="AG115" s="93"/>
      <c r="AH115" s="59"/>
      <c r="AI115" s="91"/>
      <c r="AJ115" s="92"/>
      <c r="AK115" s="92"/>
      <c r="AL115" s="156"/>
      <c r="AM115" s="92"/>
      <c r="AN115" s="92"/>
      <c r="AO115" s="92"/>
      <c r="AP115" s="92"/>
      <c r="AQ115" s="92"/>
      <c r="AR115" s="92"/>
      <c r="AS115" s="92"/>
      <c r="AT115" s="92"/>
      <c r="AU115" s="158"/>
      <c r="AV115" s="158"/>
      <c r="AW115" s="158"/>
      <c r="AX115" s="159"/>
      <c r="AY115" s="159"/>
      <c r="AZ115" s="159"/>
      <c r="BA115" s="159"/>
      <c r="BB115" s="159"/>
      <c r="BC115" s="159"/>
      <c r="BD115" s="159"/>
      <c r="BE115" s="159"/>
      <c r="BF115" s="92"/>
      <c r="BG115" s="92"/>
      <c r="BH115" s="92"/>
      <c r="BI115" s="92"/>
      <c r="BJ115" s="92"/>
      <c r="BK115" s="92"/>
      <c r="BL115" s="92"/>
      <c r="BM115" s="92"/>
      <c r="BN115" s="93"/>
      <c r="BO115" s="114"/>
      <c r="BP115" s="99"/>
      <c r="BQ115" s="50"/>
      <c r="BR115" s="2494"/>
      <c r="BS115" s="3644"/>
      <c r="BT115" s="3644"/>
      <c r="BU115" s="3644"/>
      <c r="BV115" s="3644"/>
      <c r="BW115" s="3644"/>
      <c r="BX115" s="3644"/>
      <c r="BY115" s="2495"/>
      <c r="BZ115" s="3584"/>
      <c r="CA115" s="2495"/>
      <c r="CB115" s="3643"/>
      <c r="CC115" s="3643"/>
      <c r="CD115" s="3643"/>
      <c r="CE115" s="3643"/>
      <c r="CF115" s="3643"/>
      <c r="CG115" s="3637"/>
      <c r="CH115" s="3637"/>
      <c r="CI115" s="3637"/>
      <c r="CJ115" s="3637"/>
      <c r="CK115" s="2485"/>
      <c r="CL115" s="100"/>
      <c r="CM115" s="43"/>
    </row>
    <row r="116" spans="2:91" ht="12" customHeight="1">
      <c r="B116" s="44"/>
      <c r="C116" s="118"/>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70"/>
      <c r="AA116" s="116"/>
      <c r="AB116" s="170"/>
      <c r="AC116" s="116"/>
      <c r="AD116" s="116"/>
      <c r="AE116" s="116"/>
      <c r="AF116" s="116"/>
      <c r="AG116" s="116"/>
      <c r="AH116" s="116"/>
      <c r="AI116" s="116"/>
      <c r="AJ116" s="116"/>
      <c r="AK116" s="116"/>
      <c r="AL116" s="170"/>
      <c r="AM116" s="116"/>
      <c r="AN116" s="116"/>
      <c r="AO116" s="116"/>
      <c r="AP116" s="116"/>
      <c r="AQ116" s="116"/>
      <c r="AR116" s="116"/>
      <c r="AS116" s="116"/>
      <c r="AT116" s="116"/>
      <c r="AU116" s="171"/>
      <c r="AV116" s="171" t="s">
        <v>552</v>
      </c>
      <c r="AW116" s="171"/>
      <c r="AX116" s="172"/>
      <c r="AY116" s="172"/>
      <c r="AZ116" s="172"/>
      <c r="BA116" s="172"/>
      <c r="BB116" s="172"/>
      <c r="BC116" s="172"/>
      <c r="BD116" s="172"/>
      <c r="BE116" s="172"/>
      <c r="BF116" s="116"/>
      <c r="BG116" s="116"/>
      <c r="BH116" s="116"/>
      <c r="BI116" s="116"/>
      <c r="BJ116" s="116"/>
      <c r="BK116" s="116"/>
      <c r="BL116" s="116"/>
      <c r="BM116" s="116"/>
      <c r="BN116" s="116"/>
      <c r="BO116" s="117"/>
      <c r="BP116" s="99"/>
      <c r="BQ116" s="91"/>
      <c r="BR116" s="92"/>
      <c r="BS116" s="92"/>
      <c r="BT116" s="156"/>
      <c r="BU116" s="92"/>
      <c r="BV116" s="156"/>
      <c r="BW116" s="92"/>
      <c r="BX116" s="92"/>
      <c r="BY116" s="92"/>
      <c r="BZ116" s="92"/>
      <c r="CA116" s="92"/>
      <c r="CB116" s="92"/>
      <c r="CC116" s="92"/>
      <c r="CD116" s="92"/>
      <c r="CE116" s="92"/>
      <c r="CF116" s="158"/>
      <c r="CG116" s="92"/>
      <c r="CH116" s="92"/>
      <c r="CI116" s="92"/>
      <c r="CJ116" s="92"/>
      <c r="CK116" s="93"/>
      <c r="CL116" s="100"/>
      <c r="CM116" s="43"/>
    </row>
    <row r="117" spans="2:91" ht="13.5" customHeight="1">
      <c r="B117" s="94"/>
      <c r="C117" s="95"/>
      <c r="D117" s="95"/>
      <c r="E117" s="95"/>
      <c r="F117" s="95"/>
      <c r="G117" s="95"/>
      <c r="H117" s="95"/>
      <c r="I117" s="95"/>
      <c r="J117" s="95"/>
      <c r="K117" s="95"/>
      <c r="L117" s="95"/>
      <c r="M117" s="95"/>
      <c r="N117" s="95"/>
      <c r="O117" s="95"/>
      <c r="P117" s="95"/>
      <c r="Q117" s="95"/>
      <c r="R117" s="95"/>
      <c r="S117" s="95"/>
      <c r="T117" s="95"/>
      <c r="U117" s="95"/>
      <c r="V117" s="95"/>
      <c r="W117" s="95"/>
      <c r="X117" s="95"/>
      <c r="Y117" s="95"/>
      <c r="Z117" s="95"/>
      <c r="AA117" s="95"/>
      <c r="AB117" s="95"/>
      <c r="AC117" s="95"/>
      <c r="AD117" s="95"/>
      <c r="AE117" s="95"/>
      <c r="AF117" s="95"/>
      <c r="AG117" s="95"/>
      <c r="AH117" s="95"/>
      <c r="AI117" s="95"/>
      <c r="AJ117" s="95"/>
      <c r="AK117" s="95"/>
      <c r="AL117" s="95"/>
      <c r="AM117" s="95"/>
      <c r="AN117" s="95"/>
      <c r="AO117" s="95"/>
      <c r="AP117" s="95"/>
      <c r="AQ117" s="95"/>
      <c r="AR117" s="95"/>
      <c r="AS117" s="95"/>
      <c r="AT117" s="95"/>
      <c r="AU117" s="95"/>
      <c r="AV117" s="95"/>
      <c r="AW117" s="95"/>
      <c r="AX117" s="95"/>
      <c r="AY117" s="95"/>
      <c r="AZ117" s="95"/>
      <c r="BA117" s="95"/>
      <c r="BB117" s="95"/>
      <c r="BC117" s="95"/>
      <c r="BD117" s="95"/>
      <c r="BE117" s="95"/>
      <c r="BF117" s="95"/>
      <c r="BG117" s="95"/>
      <c r="BH117" s="95"/>
      <c r="BI117" s="95"/>
      <c r="BJ117" s="95"/>
      <c r="BK117" s="95"/>
      <c r="BL117" s="95"/>
      <c r="BM117" s="95"/>
      <c r="BN117" s="95"/>
      <c r="BO117" s="95"/>
      <c r="BP117" s="95"/>
      <c r="BQ117" s="95"/>
      <c r="BR117" s="95"/>
      <c r="BS117" s="95"/>
      <c r="BT117" s="95"/>
      <c r="BU117" s="95"/>
      <c r="BV117" s="95"/>
      <c r="BW117" s="95"/>
      <c r="BX117" s="95"/>
      <c r="BY117" s="95"/>
      <c r="BZ117" s="95"/>
      <c r="CA117" s="95"/>
      <c r="CB117" s="95"/>
      <c r="CC117" s="95"/>
      <c r="CD117" s="95"/>
      <c r="CE117" s="95"/>
      <c r="CF117" s="95"/>
      <c r="CG117" s="95"/>
      <c r="CH117" s="95"/>
      <c r="CI117" s="95"/>
      <c r="CJ117" s="95"/>
      <c r="CK117" s="95"/>
      <c r="CL117" s="96"/>
      <c r="CM117" s="43"/>
    </row>
    <row r="118" spans="2:91" ht="9.75" customHeight="1">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c r="AS118" s="59"/>
      <c r="AT118" s="59"/>
      <c r="AU118" s="59"/>
      <c r="AV118" s="59"/>
      <c r="AW118" s="59"/>
      <c r="AX118" s="59"/>
      <c r="AY118" s="59"/>
      <c r="AZ118" s="59"/>
      <c r="BA118" s="59"/>
      <c r="BB118" s="59"/>
      <c r="BC118" s="59"/>
      <c r="BD118" s="59"/>
      <c r="BE118" s="59"/>
      <c r="BF118" s="59"/>
      <c r="BG118" s="59"/>
      <c r="BH118" s="59"/>
      <c r="BI118" s="59"/>
      <c r="BJ118" s="59"/>
      <c r="BK118" s="59"/>
      <c r="BL118" s="59"/>
      <c r="BM118" s="59"/>
      <c r="BN118" s="59"/>
      <c r="BO118" s="59"/>
      <c r="BP118" s="59"/>
      <c r="BQ118" s="59"/>
      <c r="BR118" s="59"/>
      <c r="BS118" s="59"/>
      <c r="BT118" s="59"/>
      <c r="BU118" s="59"/>
      <c r="BV118" s="59"/>
      <c r="BW118" s="59"/>
      <c r="BX118" s="59"/>
      <c r="BY118" s="59"/>
      <c r="BZ118" s="59"/>
      <c r="CA118" s="59"/>
      <c r="CB118" s="59"/>
      <c r="CC118" s="59"/>
      <c r="CD118" s="59"/>
      <c r="CE118" s="59"/>
      <c r="CF118" s="59"/>
      <c r="CG118" s="59"/>
      <c r="CH118" s="59"/>
      <c r="CI118" s="59"/>
      <c r="CJ118" s="59"/>
      <c r="CK118" s="59"/>
      <c r="CL118" s="59"/>
      <c r="CM118" s="59"/>
    </row>
    <row r="119" spans="2:91" ht="22.5" customHeight="1">
      <c r="B119" s="36"/>
      <c r="C119" s="1014" t="s">
        <v>513</v>
      </c>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7"/>
      <c r="AV119" s="37"/>
      <c r="AW119" s="37"/>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6"/>
      <c r="CG119" s="36"/>
      <c r="CH119" s="39"/>
      <c r="CI119" s="36"/>
      <c r="CJ119" s="3574"/>
      <c r="CK119" s="3574"/>
      <c r="CL119" s="38"/>
    </row>
    <row r="120" spans="2:91" ht="6.75" customHeight="1"/>
    <row r="121" spans="2:91" ht="14.25" customHeight="1">
      <c r="B121" s="40"/>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c r="AE121" s="41"/>
      <c r="AF121" s="41"/>
      <c r="AG121" s="41"/>
      <c r="AH121" s="41"/>
      <c r="AI121" s="41"/>
      <c r="AJ121" s="41"/>
      <c r="AK121" s="41"/>
      <c r="AL121" s="41"/>
      <c r="AM121" s="41"/>
      <c r="AN121" s="41"/>
      <c r="AO121" s="41"/>
      <c r="AP121" s="41"/>
      <c r="AQ121" s="41"/>
      <c r="AR121" s="41"/>
      <c r="AS121" s="41"/>
      <c r="AT121" s="41"/>
      <c r="AU121" s="41"/>
      <c r="AV121" s="41"/>
      <c r="AW121" s="41"/>
      <c r="AX121" s="41"/>
      <c r="AY121" s="41"/>
      <c r="AZ121" s="41"/>
      <c r="BA121" s="41"/>
      <c r="BB121" s="41"/>
      <c r="BC121" s="41"/>
      <c r="BD121" s="41"/>
      <c r="BE121" s="41"/>
      <c r="BF121" s="41"/>
      <c r="BG121" s="41"/>
      <c r="BH121" s="41"/>
      <c r="BI121" s="41"/>
      <c r="BJ121" s="41"/>
      <c r="BK121" s="41"/>
      <c r="BL121" s="41"/>
      <c r="BM121" s="41"/>
      <c r="BN121" s="41"/>
      <c r="BO121" s="41"/>
      <c r="BP121" s="41"/>
      <c r="BQ121" s="41"/>
      <c r="BR121" s="41"/>
      <c r="BS121" s="41"/>
      <c r="BT121" s="41"/>
      <c r="BU121" s="41"/>
      <c r="BV121" s="41"/>
      <c r="BW121" s="41"/>
      <c r="BX121" s="41"/>
      <c r="BY121" s="41"/>
      <c r="BZ121" s="41"/>
      <c r="CA121" s="41"/>
      <c r="CB121" s="41"/>
      <c r="CC121" s="41"/>
      <c r="CD121" s="41"/>
      <c r="CE121" s="41"/>
      <c r="CF121" s="41"/>
      <c r="CG121" s="41"/>
      <c r="CH121" s="41"/>
      <c r="CI121" s="41"/>
      <c r="CJ121" s="41"/>
      <c r="CK121" s="41"/>
      <c r="CL121" s="42"/>
      <c r="CM121" s="43"/>
    </row>
    <row r="122" spans="2:91" ht="9.75" customHeight="1">
      <c r="B122" s="44"/>
      <c r="C122" s="45"/>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7"/>
      <c r="AB122" s="99"/>
      <c r="AC122" s="45"/>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7"/>
      <c r="BE122" s="173"/>
      <c r="BF122" s="113"/>
      <c r="BG122" s="111"/>
      <c r="BH122" s="111"/>
      <c r="BI122" s="111"/>
      <c r="BJ122" s="46"/>
      <c r="BK122" s="46"/>
      <c r="BL122" s="46"/>
      <c r="BM122" s="46"/>
      <c r="BN122" s="46"/>
      <c r="BO122" s="46"/>
      <c r="BP122" s="46"/>
      <c r="BQ122" s="46"/>
      <c r="BR122" s="46"/>
      <c r="BS122" s="46"/>
      <c r="BT122" s="46"/>
      <c r="BU122" s="46"/>
      <c r="BV122" s="46"/>
      <c r="BW122" s="46"/>
      <c r="BX122" s="46"/>
      <c r="BY122" s="46"/>
      <c r="BZ122" s="46"/>
      <c r="CA122" s="46"/>
      <c r="CB122" s="46"/>
      <c r="CC122" s="46"/>
      <c r="CD122" s="46"/>
      <c r="CE122" s="46"/>
      <c r="CF122" s="46"/>
      <c r="CG122" s="46"/>
      <c r="CH122" s="46"/>
      <c r="CI122" s="46"/>
      <c r="CJ122" s="46"/>
      <c r="CK122" s="47"/>
      <c r="CL122" s="100"/>
      <c r="CM122" s="43"/>
    </row>
    <row r="123" spans="2:91" ht="18" customHeight="1">
      <c r="B123" s="44"/>
      <c r="C123" s="445" t="s">
        <v>792</v>
      </c>
      <c r="D123" s="203"/>
      <c r="E123" s="203"/>
      <c r="F123" s="203"/>
      <c r="G123" s="203"/>
      <c r="H123" s="203"/>
      <c r="I123" s="59"/>
      <c r="J123" s="59"/>
      <c r="K123" s="59"/>
      <c r="L123" s="59"/>
      <c r="M123" s="59"/>
      <c r="N123" s="59"/>
      <c r="O123" s="59"/>
      <c r="P123" s="59"/>
      <c r="Q123" s="59"/>
      <c r="R123" s="59"/>
      <c r="S123" s="59"/>
      <c r="T123" s="59"/>
      <c r="U123" s="59"/>
      <c r="V123" s="59"/>
      <c r="W123" s="59"/>
      <c r="X123" s="59"/>
      <c r="Y123" s="3639">
        <f>'CALCULS Eau potable'!O276</f>
        <v>0</v>
      </c>
      <c r="Z123" s="3639"/>
      <c r="AA123" s="61"/>
      <c r="AB123" s="99"/>
      <c r="AC123" s="50"/>
      <c r="AD123" s="532" t="s">
        <v>793</v>
      </c>
      <c r="AE123" s="59"/>
      <c r="AG123" s="59"/>
      <c r="AH123" s="59"/>
      <c r="AI123" s="59"/>
      <c r="AJ123" s="59"/>
      <c r="AK123" s="59"/>
      <c r="AL123" s="59"/>
      <c r="AM123" s="59"/>
      <c r="AN123" s="59"/>
      <c r="AO123" s="59"/>
      <c r="AP123" s="59"/>
      <c r="AQ123" s="59"/>
      <c r="AR123" s="59"/>
      <c r="AS123" s="59"/>
      <c r="AT123" s="59"/>
      <c r="AU123" s="59"/>
      <c r="AV123" s="59"/>
      <c r="AW123" s="59"/>
      <c r="AX123" s="59"/>
      <c r="AY123" s="59"/>
      <c r="AZ123" s="59"/>
      <c r="BA123" s="3640">
        <f>'CALCULS Eau potable'!O295</f>
        <v>0</v>
      </c>
      <c r="BB123" s="3640"/>
      <c r="BC123" s="3640"/>
      <c r="BD123" s="61"/>
      <c r="BE123" s="173"/>
      <c r="BF123" s="115"/>
      <c r="BG123" s="532" t="s">
        <v>794</v>
      </c>
      <c r="BH123" s="59"/>
      <c r="BJ123" s="59"/>
      <c r="BL123" s="59"/>
      <c r="BN123" s="59"/>
      <c r="BO123" s="59"/>
      <c r="BP123" s="59"/>
      <c r="BQ123" s="59"/>
      <c r="BR123" s="59"/>
      <c r="BS123" s="59"/>
      <c r="BT123" s="59"/>
      <c r="BU123" s="59"/>
      <c r="BV123" s="59"/>
      <c r="BW123" s="59"/>
      <c r="BX123" s="59"/>
      <c r="BY123" s="59"/>
      <c r="BZ123" s="59"/>
      <c r="CA123" s="59"/>
      <c r="CB123" s="59"/>
      <c r="CC123" s="59"/>
      <c r="CD123" s="59"/>
      <c r="CE123" s="59"/>
      <c r="CF123" s="59"/>
      <c r="CG123" s="59"/>
      <c r="CH123" s="59"/>
      <c r="CI123" s="59"/>
      <c r="CJ123" s="3640">
        <f>'CALCULS Eau potable'!O314</f>
        <v>0</v>
      </c>
      <c r="CK123" s="3641"/>
      <c r="CL123" s="100"/>
      <c r="CM123" s="43"/>
    </row>
    <row r="124" spans="2:91" ht="3.75" customHeight="1">
      <c r="B124" s="44"/>
      <c r="C124" s="174"/>
      <c r="I124" s="59"/>
      <c r="J124" s="59"/>
      <c r="K124" s="59"/>
      <c r="L124" s="59"/>
      <c r="M124" s="59"/>
      <c r="N124" s="59"/>
      <c r="O124" s="59"/>
      <c r="P124" s="59"/>
      <c r="Q124" s="59"/>
      <c r="R124" s="59"/>
      <c r="S124" s="59"/>
      <c r="T124" s="59"/>
      <c r="U124" s="59"/>
      <c r="V124" s="59"/>
      <c r="W124" s="59"/>
      <c r="X124" s="59"/>
      <c r="Y124" s="59"/>
      <c r="Z124" s="59"/>
      <c r="AA124" s="61"/>
      <c r="AB124" s="99"/>
      <c r="AC124" s="50"/>
      <c r="AD124" s="125"/>
      <c r="AE124" s="59"/>
      <c r="AG124" s="59"/>
      <c r="AH124" s="59"/>
      <c r="AI124" s="59"/>
      <c r="AJ124" s="59"/>
      <c r="AK124" s="59"/>
      <c r="AL124" s="59"/>
      <c r="AM124" s="59"/>
      <c r="AN124" s="59"/>
      <c r="AO124" s="59"/>
      <c r="AP124" s="59"/>
      <c r="AQ124" s="59"/>
      <c r="AR124" s="59"/>
      <c r="AS124" s="59"/>
      <c r="AT124" s="59"/>
      <c r="AU124" s="59"/>
      <c r="AV124" s="59"/>
      <c r="AW124" s="59"/>
      <c r="AX124" s="59"/>
      <c r="AY124" s="59"/>
      <c r="AZ124" s="59"/>
      <c r="BA124" s="59"/>
      <c r="BB124" s="59"/>
      <c r="BC124" s="59"/>
      <c r="BD124" s="61"/>
      <c r="BE124" s="173"/>
      <c r="BF124" s="115"/>
      <c r="BG124" s="125"/>
      <c r="BH124" s="59"/>
      <c r="BJ124" s="59"/>
      <c r="BL124" s="59"/>
      <c r="BN124" s="59"/>
      <c r="BO124" s="59"/>
      <c r="BP124" s="59"/>
      <c r="BQ124" s="59"/>
      <c r="BR124" s="59"/>
      <c r="BS124" s="59"/>
      <c r="BT124" s="59"/>
      <c r="BU124" s="59"/>
      <c r="BV124" s="59"/>
      <c r="BW124" s="59"/>
      <c r="BX124" s="59"/>
      <c r="BY124" s="59"/>
      <c r="BZ124" s="59"/>
      <c r="CA124" s="59"/>
      <c r="CB124" s="59"/>
      <c r="CC124" s="59"/>
      <c r="CD124" s="59"/>
      <c r="CE124" s="59"/>
      <c r="CF124" s="59"/>
      <c r="CG124" s="59"/>
      <c r="CH124" s="59"/>
      <c r="CI124" s="59"/>
      <c r="CJ124" s="59"/>
      <c r="CK124" s="61"/>
      <c r="CL124" s="100"/>
      <c r="CM124" s="43"/>
    </row>
    <row r="125" spans="2:91" ht="15.75" customHeight="1">
      <c r="B125" s="44"/>
      <c r="C125" s="174"/>
      <c r="D125" s="3650" t="s">
        <v>795</v>
      </c>
      <c r="E125" s="3650"/>
      <c r="F125" s="3650"/>
      <c r="G125" s="3650"/>
      <c r="H125" s="3650"/>
      <c r="I125" s="3650"/>
      <c r="J125" s="3650"/>
      <c r="K125" s="3650"/>
      <c r="L125" s="3650"/>
      <c r="M125" s="3650"/>
      <c r="N125" s="3650"/>
      <c r="O125" s="3650"/>
      <c r="P125" s="3650"/>
      <c r="Q125" s="3650"/>
      <c r="R125" s="3650"/>
      <c r="S125" s="3650"/>
      <c r="T125" s="3650"/>
      <c r="U125" s="3650"/>
      <c r="V125" s="3650"/>
      <c r="W125" s="3650"/>
      <c r="X125" s="3650"/>
      <c r="Y125" s="3650"/>
      <c r="Z125" s="59"/>
      <c r="AA125" s="61"/>
      <c r="AB125" s="99"/>
      <c r="AC125" s="50"/>
      <c r="AD125" s="125"/>
      <c r="AE125" s="3650" t="s">
        <v>795</v>
      </c>
      <c r="AF125" s="3650"/>
      <c r="AG125" s="3650"/>
      <c r="AH125" s="3650"/>
      <c r="AI125" s="3650"/>
      <c r="AJ125" s="3650"/>
      <c r="AK125" s="3650"/>
      <c r="AL125" s="3650"/>
      <c r="AM125" s="3650"/>
      <c r="AN125" s="3650"/>
      <c r="AO125" s="3650"/>
      <c r="AP125" s="3650"/>
      <c r="AQ125" s="3650"/>
      <c r="AR125" s="3650"/>
      <c r="AS125" s="3650"/>
      <c r="AT125" s="3650"/>
      <c r="AU125" s="3650"/>
      <c r="AV125" s="3650"/>
      <c r="AW125" s="3650"/>
      <c r="AX125" s="3650"/>
      <c r="AY125" s="3650"/>
      <c r="AZ125" s="3650"/>
      <c r="BA125" s="3650"/>
      <c r="BB125" s="3650"/>
      <c r="BC125" s="59"/>
      <c r="BD125" s="61"/>
      <c r="BE125" s="173"/>
      <c r="BF125" s="115"/>
      <c r="BG125" s="125"/>
      <c r="BH125" s="3650" t="s">
        <v>795</v>
      </c>
      <c r="BI125" s="3650"/>
      <c r="BJ125" s="3650"/>
      <c r="BK125" s="3650"/>
      <c r="BL125" s="3650"/>
      <c r="BM125" s="3650"/>
      <c r="BN125" s="3650"/>
      <c r="BO125" s="3650"/>
      <c r="BP125" s="3650"/>
      <c r="BQ125" s="3650"/>
      <c r="BR125" s="3650"/>
      <c r="BS125" s="3650"/>
      <c r="BT125" s="3650"/>
      <c r="BU125" s="3650"/>
      <c r="BV125" s="3650"/>
      <c r="BW125" s="3650"/>
      <c r="BX125" s="3650"/>
      <c r="BY125" s="3650"/>
      <c r="BZ125" s="3650"/>
      <c r="CA125" s="3650"/>
      <c r="CB125" s="3650"/>
      <c r="CC125" s="3650"/>
      <c r="CD125" s="3650"/>
      <c r="CE125" s="3650"/>
      <c r="CF125" s="3650"/>
      <c r="CG125" s="3650"/>
      <c r="CH125" s="3650"/>
      <c r="CI125" s="3650"/>
      <c r="CJ125" s="3650"/>
      <c r="CK125" s="61"/>
      <c r="CL125" s="100"/>
      <c r="CM125" s="43"/>
    </row>
    <row r="126" spans="2:91" ht="102.75" customHeight="1">
      <c r="B126" s="44"/>
      <c r="C126" s="50"/>
      <c r="D126" s="59"/>
      <c r="E126" s="59"/>
      <c r="F126" s="59"/>
      <c r="G126" s="59"/>
      <c r="H126" s="59"/>
      <c r="I126" s="59"/>
      <c r="J126" s="59"/>
      <c r="K126" s="59"/>
      <c r="L126" s="59"/>
      <c r="M126" s="59"/>
      <c r="N126" s="59"/>
      <c r="O126" s="59"/>
      <c r="P126" s="59"/>
      <c r="Q126" s="59"/>
      <c r="R126" s="59"/>
      <c r="S126" s="59"/>
      <c r="T126" s="59"/>
      <c r="U126" s="59"/>
      <c r="V126" s="59"/>
      <c r="W126" s="59"/>
      <c r="X126" s="59"/>
      <c r="Y126" s="59"/>
      <c r="Z126" s="59"/>
      <c r="AA126" s="61"/>
      <c r="AB126" s="99"/>
      <c r="AC126" s="50"/>
      <c r="AD126" s="59"/>
      <c r="AE126" s="59"/>
      <c r="AF126" s="59"/>
      <c r="AG126" s="59"/>
      <c r="AH126" s="59"/>
      <c r="AI126" s="59"/>
      <c r="AJ126" s="59"/>
      <c r="AK126" s="59"/>
      <c r="AL126" s="59"/>
      <c r="AM126" s="59"/>
      <c r="AN126" s="59"/>
      <c r="AO126" s="59"/>
      <c r="AP126" s="59"/>
      <c r="AQ126" s="59"/>
      <c r="AR126" s="59"/>
      <c r="AS126" s="59"/>
      <c r="AT126" s="59"/>
      <c r="AU126" s="59"/>
      <c r="AV126" s="59"/>
      <c r="AW126" s="59"/>
      <c r="AX126" s="59"/>
      <c r="AY126" s="59"/>
      <c r="AZ126" s="59"/>
      <c r="BA126" s="59"/>
      <c r="BB126" s="59"/>
      <c r="BC126" s="59"/>
      <c r="BD126" s="61"/>
      <c r="BE126" s="173"/>
      <c r="BF126" s="115"/>
      <c r="BG126" s="59"/>
      <c r="BH126" s="59"/>
      <c r="BI126" s="59"/>
      <c r="BJ126" s="59"/>
      <c r="BK126" s="59"/>
      <c r="BL126" s="59"/>
      <c r="BM126" s="59"/>
      <c r="BN126" s="59"/>
      <c r="BO126" s="59"/>
      <c r="BP126" s="59"/>
      <c r="BQ126" s="59"/>
      <c r="BR126" s="59"/>
      <c r="BS126" s="59"/>
      <c r="BT126" s="59"/>
      <c r="BU126" s="59"/>
      <c r="BV126" s="59"/>
      <c r="BW126" s="59"/>
      <c r="BX126" s="59"/>
      <c r="BY126" s="59"/>
      <c r="BZ126" s="59"/>
      <c r="CA126" s="59"/>
      <c r="CB126" s="59"/>
      <c r="CC126" s="59"/>
      <c r="CD126" s="59"/>
      <c r="CE126" s="59"/>
      <c r="CF126" s="59"/>
      <c r="CG126" s="59"/>
      <c r="CH126" s="59"/>
      <c r="CI126" s="59"/>
      <c r="CJ126" s="59"/>
      <c r="CK126" s="61"/>
      <c r="CL126" s="100"/>
      <c r="CM126" s="43"/>
    </row>
    <row r="127" spans="2:91" ht="28.5" customHeight="1">
      <c r="B127" s="44"/>
      <c r="C127" s="50"/>
      <c r="D127" s="46"/>
      <c r="E127" s="46"/>
      <c r="F127" s="46"/>
      <c r="G127" s="46"/>
      <c r="H127" s="46"/>
      <c r="I127" s="46"/>
      <c r="J127" s="46"/>
      <c r="K127" s="46"/>
      <c r="L127" s="46"/>
      <c r="M127" s="46"/>
      <c r="N127" s="46"/>
      <c r="O127" s="46"/>
      <c r="P127" s="46"/>
      <c r="Q127" s="46"/>
      <c r="R127" s="46"/>
      <c r="S127" s="46"/>
      <c r="T127" s="46"/>
      <c r="U127" s="46"/>
      <c r="V127" s="46"/>
      <c r="W127" s="46"/>
      <c r="X127" s="46"/>
      <c r="Y127" s="46"/>
      <c r="Z127" s="59"/>
      <c r="AA127" s="61"/>
      <c r="AB127" s="99"/>
      <c r="AC127" s="50"/>
      <c r="AD127" s="59"/>
      <c r="AE127" s="59"/>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59"/>
      <c r="BD127" s="61"/>
      <c r="BE127" s="173"/>
      <c r="BF127" s="115"/>
      <c r="BG127" s="59"/>
      <c r="BH127" s="59"/>
      <c r="BI127" s="46"/>
      <c r="BJ127" s="46"/>
      <c r="BK127" s="46"/>
      <c r="BL127" s="46"/>
      <c r="BM127" s="46"/>
      <c r="BN127" s="46"/>
      <c r="BO127" s="46"/>
      <c r="BP127" s="46"/>
      <c r="BQ127" s="46"/>
      <c r="BR127" s="46"/>
      <c r="BS127" s="46"/>
      <c r="BT127" s="46"/>
      <c r="BU127" s="46"/>
      <c r="BV127" s="46"/>
      <c r="BW127" s="46"/>
      <c r="BX127" s="46"/>
      <c r="BY127" s="46"/>
      <c r="BZ127" s="46"/>
      <c r="CA127" s="46"/>
      <c r="CB127" s="46"/>
      <c r="CC127" s="46"/>
      <c r="CD127" s="46"/>
      <c r="CE127" s="46"/>
      <c r="CF127" s="46"/>
      <c r="CG127" s="46"/>
      <c r="CH127" s="46"/>
      <c r="CI127" s="46"/>
      <c r="CJ127" s="46"/>
      <c r="CK127" s="61"/>
      <c r="CL127" s="100"/>
      <c r="CM127" s="43"/>
    </row>
    <row r="128" spans="2:91" ht="21" customHeight="1">
      <c r="B128" s="44"/>
      <c r="C128" s="2804" t="str">
        <f>IF(('FORMULAIRE PGA Eau potable'!$H$81='MENU DÉROULANT'!$C$31),"(Aucun actif)","")</f>
        <v/>
      </c>
      <c r="D128" s="2798"/>
      <c r="E128" s="92"/>
      <c r="F128" s="92"/>
      <c r="G128" s="92"/>
      <c r="H128" s="92"/>
      <c r="I128" s="92"/>
      <c r="J128" s="92"/>
      <c r="K128" s="92"/>
      <c r="L128" s="2800" t="s">
        <v>796</v>
      </c>
      <c r="M128" s="91"/>
      <c r="N128" s="2794" t="s">
        <v>797</v>
      </c>
      <c r="O128" s="92"/>
      <c r="P128" s="92"/>
      <c r="Q128" s="92"/>
      <c r="R128" s="92"/>
      <c r="S128" s="92"/>
      <c r="T128" s="2796" t="str">
        <f>IF(('FORMULAIRE PGA Eau potable'!$H$120='MENU DÉROULANT'!$F$31),"(Aucun actif)","")</f>
        <v/>
      </c>
      <c r="U128" s="92"/>
      <c r="V128" s="92"/>
      <c r="W128" s="92"/>
      <c r="X128" s="92"/>
      <c r="Y128" s="92"/>
      <c r="Z128" s="59"/>
      <c r="AA128" s="61"/>
      <c r="AB128" s="99"/>
      <c r="AC128" s="50"/>
      <c r="AD128" s="2858" t="str">
        <f>IF(('FORMULAIRE PGA Eau potable'!$H$81='MENU DÉROULANT'!$C$31),"(Aucun actif)","")</f>
        <v/>
      </c>
      <c r="AE128" s="92"/>
      <c r="AF128" s="92"/>
      <c r="AG128" s="92"/>
      <c r="AH128" s="92"/>
      <c r="AI128" s="157"/>
      <c r="AJ128" s="157"/>
      <c r="AK128" s="157"/>
      <c r="AL128" s="157"/>
      <c r="AM128" s="157"/>
      <c r="AN128" s="92"/>
      <c r="AO128" s="92"/>
      <c r="AP128" s="92"/>
      <c r="AQ128" s="92"/>
      <c r="AR128" s="2801"/>
      <c r="AS128" s="2800" t="s">
        <v>796</v>
      </c>
      <c r="AT128" s="2793" t="s">
        <v>106</v>
      </c>
      <c r="AU128" s="157"/>
      <c r="AV128" s="157"/>
      <c r="AW128" s="92"/>
      <c r="AX128" s="2803" t="str">
        <f>IF(('FORMULAIRE PGA Eau potable'!$H$120='MENU DÉROULANT'!$F$31),"(Aucun actif)","")</f>
        <v/>
      </c>
      <c r="AY128" s="92"/>
      <c r="AZ128" s="92"/>
      <c r="BA128" s="92"/>
      <c r="BB128" s="92"/>
      <c r="BC128" s="59"/>
      <c r="BD128" s="61"/>
      <c r="BE128" s="173"/>
      <c r="BF128" s="2802"/>
      <c r="BG128" s="2858" t="str">
        <f>IF(('FORMULAIRE PGA Eau potable'!$H$81='MENU DÉROULANT'!$C$31),"(Aucun actif)","")</f>
        <v/>
      </c>
      <c r="BH128" s="92"/>
      <c r="BI128" s="92"/>
      <c r="BJ128" s="92"/>
      <c r="BK128" s="92"/>
      <c r="BL128" s="157"/>
      <c r="BM128" s="157"/>
      <c r="BN128" s="157"/>
      <c r="BO128" s="157"/>
      <c r="BP128" s="157"/>
      <c r="BQ128" s="92"/>
      <c r="BR128" s="92"/>
      <c r="BS128" s="92"/>
      <c r="BT128" s="92"/>
      <c r="BU128" s="2800" t="s">
        <v>796</v>
      </c>
      <c r="BV128" s="2793" t="s">
        <v>106</v>
      </c>
      <c r="BW128" s="92"/>
      <c r="BX128" s="92"/>
      <c r="BY128" s="92"/>
      <c r="BZ128" s="92"/>
      <c r="CA128" s="92"/>
      <c r="CB128" s="2796" t="str">
        <f>IF(('FORMULAIRE PGA Eau potable'!$H$120='MENU DÉROULANT'!$F$31),"(Aucun actif)","")</f>
        <v/>
      </c>
      <c r="CC128" s="92"/>
      <c r="CD128" s="92"/>
      <c r="CE128" s="92"/>
      <c r="CF128" s="92"/>
      <c r="CG128" s="92"/>
      <c r="CH128" s="92"/>
      <c r="CI128" s="92"/>
      <c r="CJ128" s="92"/>
      <c r="CK128" s="61"/>
      <c r="CL128" s="100"/>
      <c r="CM128" s="43"/>
    </row>
    <row r="129" spans="2:91" ht="6" customHeight="1">
      <c r="B129" s="44"/>
      <c r="C129" s="50"/>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61"/>
      <c r="AB129" s="99"/>
      <c r="AC129" s="50"/>
      <c r="AD129" s="59"/>
      <c r="AE129" s="59"/>
      <c r="AF129" s="59"/>
      <c r="AG129" s="59"/>
      <c r="AH129" s="59"/>
      <c r="AI129" s="59"/>
      <c r="AJ129" s="59"/>
      <c r="AK129" s="59"/>
      <c r="AL129" s="59"/>
      <c r="AM129" s="59"/>
      <c r="AN129" s="59"/>
      <c r="AO129" s="59"/>
      <c r="AP129" s="59"/>
      <c r="AQ129" s="59"/>
      <c r="AR129" s="59"/>
      <c r="AS129" s="59"/>
      <c r="AT129" s="59"/>
      <c r="AU129" s="59"/>
      <c r="AV129" s="59"/>
      <c r="AW129" s="59"/>
      <c r="AX129" s="59"/>
      <c r="AY129" s="59"/>
      <c r="AZ129" s="59"/>
      <c r="BA129" s="59"/>
      <c r="BB129" s="59"/>
      <c r="BC129" s="59"/>
      <c r="BD129" s="61"/>
      <c r="BE129" s="173"/>
      <c r="BF129" s="115"/>
      <c r="BG129" s="59"/>
      <c r="BH129" s="59"/>
      <c r="BI129" s="59"/>
      <c r="BJ129" s="59"/>
      <c r="BK129" s="59"/>
      <c r="BL129" s="59"/>
      <c r="BM129" s="59"/>
      <c r="BN129" s="59"/>
      <c r="BO129" s="59"/>
      <c r="BP129" s="59"/>
      <c r="BQ129" s="59"/>
      <c r="BR129" s="59"/>
      <c r="BS129" s="59"/>
      <c r="BT129" s="59"/>
      <c r="BU129" s="59"/>
      <c r="BV129" s="59"/>
      <c r="BW129" s="59"/>
      <c r="BX129" s="59"/>
      <c r="BY129" s="59"/>
      <c r="BZ129" s="59"/>
      <c r="CA129" s="59"/>
      <c r="CB129" s="59"/>
      <c r="CC129" s="59"/>
      <c r="CD129" s="59"/>
      <c r="CE129" s="59"/>
      <c r="CF129" s="59"/>
      <c r="CG129" s="59"/>
      <c r="CH129" s="59"/>
      <c r="CI129" s="59"/>
      <c r="CJ129" s="59"/>
      <c r="CK129" s="61"/>
      <c r="CL129" s="100"/>
      <c r="CM129" s="43"/>
    </row>
    <row r="130" spans="2:91" ht="21.75" customHeight="1">
      <c r="B130" s="44"/>
      <c r="C130" s="64"/>
      <c r="I130" s="436"/>
      <c r="J130" s="90"/>
      <c r="K130" s="59"/>
      <c r="M130" s="59"/>
      <c r="N130" s="59"/>
      <c r="O130" s="59"/>
      <c r="S130" s="75"/>
      <c r="T130" s="1141" t="s">
        <v>475</v>
      </c>
      <c r="V130" s="3633" t="str">
        <f>'CALCULS Eau potable'!N271</f>
        <v/>
      </c>
      <c r="W130" s="3633"/>
      <c r="X130" s="3633"/>
      <c r="Y130" s="2837">
        <f>'CALCULS Eau potable'!O276</f>
        <v>0</v>
      </c>
      <c r="AA130" s="1163"/>
      <c r="AB130" s="99"/>
      <c r="AC130" s="50"/>
      <c r="AE130" s="59"/>
      <c r="AF130" s="59"/>
      <c r="AG130" s="59"/>
      <c r="AH130" s="59"/>
      <c r="AI130" s="59"/>
      <c r="AJ130" s="59"/>
      <c r="AK130" s="59"/>
      <c r="AL130" s="59"/>
      <c r="AM130" s="59"/>
      <c r="AN130" s="59"/>
      <c r="AO130" s="59"/>
      <c r="AP130" s="59"/>
      <c r="AQ130" s="59"/>
      <c r="AR130" s="59"/>
      <c r="AS130" s="59"/>
      <c r="AT130" s="59"/>
      <c r="AX130" s="1141" t="s">
        <v>480</v>
      </c>
      <c r="AY130" s="3633" t="str">
        <f>'CALCULS Eau potable'!N290</f>
        <v/>
      </c>
      <c r="AZ130" s="3633"/>
      <c r="BA130" s="3651">
        <f>'CALCULS Eau potable'!O295</f>
        <v>0</v>
      </c>
      <c r="BB130" s="3651"/>
      <c r="BC130" s="1162"/>
      <c r="BD130" s="61"/>
      <c r="BE130" s="99"/>
      <c r="BF130" s="175"/>
      <c r="BH130" s="59"/>
      <c r="BI130" s="59"/>
      <c r="BJ130" s="59"/>
      <c r="BK130" s="59"/>
      <c r="BL130" s="59"/>
      <c r="BM130" s="59"/>
      <c r="BN130" s="59"/>
      <c r="BO130" s="59"/>
      <c r="BP130" s="59"/>
      <c r="BQ130" s="59"/>
      <c r="BR130" s="59"/>
      <c r="BS130" s="59"/>
      <c r="BT130" s="59"/>
      <c r="BU130" s="59"/>
      <c r="BV130" s="59"/>
      <c r="BW130" s="59"/>
      <c r="BX130" s="59"/>
      <c r="BY130" s="59"/>
      <c r="BZ130" s="59"/>
      <c r="CA130" s="59"/>
      <c r="CC130" s="1141" t="s">
        <v>483</v>
      </c>
      <c r="CD130" s="3633" t="str">
        <f>'CALCULS Eau potable'!N309</f>
        <v/>
      </c>
      <c r="CE130" s="3633"/>
      <c r="CF130" s="3633"/>
      <c r="CG130" s="3633"/>
      <c r="CH130" s="3651">
        <f>'CALCULS Eau potable'!O314</f>
        <v>0</v>
      </c>
      <c r="CI130" s="3651"/>
      <c r="CJ130" s="3651"/>
      <c r="CK130" s="1161"/>
      <c r="CL130" s="100"/>
      <c r="CM130" s="43"/>
    </row>
    <row r="131" spans="2:91" ht="15" customHeight="1">
      <c r="B131" s="44"/>
      <c r="C131" s="64"/>
      <c r="D131" s="435"/>
      <c r="E131" s="435"/>
      <c r="F131" s="435"/>
      <c r="G131" s="435"/>
      <c r="H131" s="435"/>
      <c r="I131" s="436"/>
      <c r="J131" s="90"/>
      <c r="K131" s="59"/>
      <c r="M131" s="59"/>
      <c r="N131" s="59"/>
      <c r="O131" s="59"/>
      <c r="P131" s="1127"/>
      <c r="Q131" s="1127"/>
      <c r="R131" s="1127"/>
      <c r="S131" s="59"/>
      <c r="T131" s="1141" t="s">
        <v>476</v>
      </c>
      <c r="V131" s="3633" t="str">
        <f>'CALCULS Eau potable'!N272</f>
        <v/>
      </c>
      <c r="W131" s="3633"/>
      <c r="X131" s="3633"/>
      <c r="Y131" s="2836">
        <f>'CALCULS Eau potable'!N276</f>
        <v>0</v>
      </c>
      <c r="AA131" s="1163"/>
      <c r="AB131" s="99"/>
      <c r="AC131" s="50"/>
      <c r="AD131" s="437"/>
      <c r="AE131" s="59"/>
      <c r="AF131" s="59"/>
      <c r="AG131" s="59"/>
      <c r="AH131" s="59"/>
      <c r="AI131" s="59"/>
      <c r="AJ131" s="59"/>
      <c r="AK131" s="59"/>
      <c r="AL131" s="59"/>
      <c r="AM131" s="59"/>
      <c r="AN131" s="59"/>
      <c r="AO131" s="59"/>
      <c r="AP131" s="59"/>
      <c r="AQ131" s="59"/>
      <c r="AR131" s="59"/>
      <c r="AS131" s="59"/>
      <c r="AT131" s="59"/>
      <c r="AU131" s="1127"/>
      <c r="AV131" s="1127"/>
      <c r="AW131" s="1127"/>
      <c r="AX131" s="1141" t="s">
        <v>481</v>
      </c>
      <c r="AY131" s="3633" t="str">
        <f>'CALCULS Eau potable'!N291</f>
        <v/>
      </c>
      <c r="AZ131" s="3633"/>
      <c r="BA131" s="3638">
        <f>'CALCULS Eau potable'!N295</f>
        <v>0</v>
      </c>
      <c r="BB131" s="3638"/>
      <c r="BC131" s="1162"/>
      <c r="BD131" s="61"/>
      <c r="BE131" s="99"/>
      <c r="BF131" s="175"/>
      <c r="BG131" s="437"/>
      <c r="BH131" s="59"/>
      <c r="BI131" s="59"/>
      <c r="BJ131" s="59"/>
      <c r="BK131" s="59"/>
      <c r="BL131" s="59"/>
      <c r="BM131" s="59"/>
      <c r="BN131" s="59"/>
      <c r="BO131" s="59"/>
      <c r="BP131" s="59"/>
      <c r="BQ131" s="59"/>
      <c r="BR131" s="59"/>
      <c r="BS131" s="59"/>
      <c r="BT131" s="59"/>
      <c r="BU131" s="59"/>
      <c r="BV131" s="59"/>
      <c r="BW131" s="59"/>
      <c r="BX131" s="59"/>
      <c r="BY131" s="59"/>
      <c r="BZ131" s="59"/>
      <c r="CA131" s="59"/>
      <c r="CB131" s="1127"/>
      <c r="CC131" s="1141" t="s">
        <v>484</v>
      </c>
      <c r="CD131" s="3633" t="str">
        <f>'CALCULS Eau potable'!N310</f>
        <v/>
      </c>
      <c r="CE131" s="3633"/>
      <c r="CF131" s="3633"/>
      <c r="CG131" s="3633"/>
      <c r="CH131" s="3638">
        <f>'CALCULS Eau potable'!N314</f>
        <v>0</v>
      </c>
      <c r="CI131" s="3638"/>
      <c r="CJ131" s="3638"/>
      <c r="CK131" s="1161"/>
      <c r="CL131" s="100"/>
      <c r="CM131" s="43"/>
    </row>
    <row r="132" spans="2:91" ht="10.5" customHeight="1">
      <c r="B132" s="44"/>
      <c r="C132" s="91"/>
      <c r="D132" s="105"/>
      <c r="E132" s="105"/>
      <c r="F132" s="105"/>
      <c r="G132" s="105"/>
      <c r="H132" s="105"/>
      <c r="I132" s="92"/>
      <c r="J132" s="92"/>
      <c r="K132" s="92"/>
      <c r="L132" s="92"/>
      <c r="M132" s="92"/>
      <c r="N132" s="92"/>
      <c r="O132" s="92"/>
      <c r="P132" s="92"/>
      <c r="Q132" s="92"/>
      <c r="R132" s="92"/>
      <c r="S132" s="92"/>
      <c r="T132" s="92"/>
      <c r="U132" s="92"/>
      <c r="V132" s="92"/>
      <c r="W132" s="92"/>
      <c r="X132" s="92"/>
      <c r="Y132" s="92"/>
      <c r="Z132" s="92"/>
      <c r="AA132" s="93"/>
      <c r="AB132" s="99"/>
      <c r="AC132" s="91"/>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3"/>
      <c r="BE132" s="99"/>
      <c r="BF132" s="91"/>
      <c r="BG132" s="92"/>
      <c r="BH132" s="92"/>
      <c r="BI132" s="92"/>
      <c r="BJ132" s="92"/>
      <c r="BK132" s="92"/>
      <c r="BL132" s="92"/>
      <c r="BM132" s="92"/>
      <c r="BN132" s="92"/>
      <c r="BO132" s="92"/>
      <c r="BP132" s="92"/>
      <c r="BQ132" s="92"/>
      <c r="BR132" s="92"/>
      <c r="BS132" s="92"/>
      <c r="BT132" s="92"/>
      <c r="BU132" s="92"/>
      <c r="BV132" s="92"/>
      <c r="BW132" s="92"/>
      <c r="BX132" s="92"/>
      <c r="BY132" s="92"/>
      <c r="BZ132" s="92"/>
      <c r="CA132" s="92"/>
      <c r="CB132" s="92"/>
      <c r="CC132" s="92"/>
      <c r="CD132" s="92"/>
      <c r="CE132" s="92"/>
      <c r="CF132" s="92"/>
      <c r="CG132" s="92"/>
      <c r="CH132" s="92"/>
      <c r="CI132" s="92"/>
      <c r="CJ132" s="92"/>
      <c r="CK132" s="93"/>
      <c r="CL132" s="100"/>
      <c r="CM132" s="43"/>
    </row>
    <row r="133" spans="2:91" ht="12.75" customHeight="1">
      <c r="B133" s="94"/>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95"/>
      <c r="AS133" s="95"/>
      <c r="AT133" s="95"/>
      <c r="AU133" s="95"/>
      <c r="AV133" s="95"/>
      <c r="AW133" s="95"/>
      <c r="AX133" s="95"/>
      <c r="AY133" s="95"/>
      <c r="AZ133" s="95"/>
      <c r="BA133" s="95"/>
      <c r="BB133" s="95"/>
      <c r="BC133" s="95"/>
      <c r="BD133" s="95"/>
      <c r="BE133" s="95"/>
      <c r="BF133" s="95"/>
      <c r="BG133" s="95"/>
      <c r="BH133" s="95"/>
      <c r="BI133" s="95"/>
      <c r="BJ133" s="95"/>
      <c r="BK133" s="95"/>
      <c r="BL133" s="95"/>
      <c r="BM133" s="95"/>
      <c r="BN133" s="95"/>
      <c r="BO133" s="95"/>
      <c r="BP133" s="95"/>
      <c r="BQ133" s="95"/>
      <c r="BR133" s="95"/>
      <c r="BS133" s="95"/>
      <c r="BT133" s="95"/>
      <c r="BU133" s="95"/>
      <c r="BV133" s="95"/>
      <c r="BW133" s="95"/>
      <c r="BX133" s="95"/>
      <c r="BY133" s="95"/>
      <c r="BZ133" s="95"/>
      <c r="CA133" s="95"/>
      <c r="CB133" s="95"/>
      <c r="CC133" s="95"/>
      <c r="CD133" s="95"/>
      <c r="CE133" s="95"/>
      <c r="CF133" s="95"/>
      <c r="CG133" s="95"/>
      <c r="CH133" s="95"/>
      <c r="CI133" s="95"/>
      <c r="CJ133" s="95"/>
      <c r="CK133" s="95"/>
      <c r="CL133" s="96"/>
      <c r="CM133" s="43"/>
    </row>
    <row r="134" spans="2:91" ht="9.75" customHeight="1">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c r="AS134" s="59"/>
      <c r="AT134" s="59"/>
      <c r="AU134" s="59"/>
      <c r="AV134" s="59"/>
      <c r="AW134" s="59"/>
      <c r="AX134" s="59"/>
      <c r="AY134" s="59"/>
      <c r="AZ134" s="59"/>
      <c r="BA134" s="59"/>
      <c r="BB134" s="59"/>
      <c r="BC134" s="59"/>
      <c r="BD134" s="59"/>
      <c r="BE134" s="59"/>
      <c r="BF134" s="59"/>
      <c r="BG134" s="59"/>
      <c r="BH134" s="59"/>
      <c r="BI134" s="59"/>
      <c r="BJ134" s="59"/>
      <c r="BK134" s="59"/>
      <c r="BL134" s="59"/>
      <c r="BM134" s="59"/>
      <c r="BN134" s="59"/>
      <c r="BO134" s="59"/>
      <c r="BP134" s="59"/>
      <c r="BQ134" s="59"/>
      <c r="BR134" s="59"/>
      <c r="BS134" s="59"/>
      <c r="BT134" s="59"/>
      <c r="BU134" s="59"/>
      <c r="BV134" s="59"/>
      <c r="BW134" s="59"/>
      <c r="BX134" s="59"/>
      <c r="BY134" s="59"/>
      <c r="BZ134" s="59"/>
      <c r="CA134" s="59"/>
      <c r="CB134" s="59"/>
      <c r="CC134" s="59"/>
      <c r="CD134" s="59"/>
      <c r="CE134" s="59"/>
      <c r="CF134" s="59"/>
      <c r="CG134" s="59"/>
      <c r="CH134" s="59"/>
      <c r="CI134" s="59"/>
      <c r="CJ134" s="59"/>
      <c r="CK134" s="59"/>
      <c r="CL134" s="59"/>
      <c r="CM134" s="59"/>
    </row>
    <row r="135" spans="2:91" ht="22.5" customHeight="1">
      <c r="B135" s="36"/>
      <c r="C135" s="1014" t="s">
        <v>798</v>
      </c>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9"/>
      <c r="AO135" s="36"/>
      <c r="AP135" s="3574"/>
      <c r="AQ135" s="3574"/>
      <c r="AR135" s="38"/>
      <c r="AS135" s="176"/>
      <c r="AT135" s="38"/>
      <c r="AU135" s="1014" t="s">
        <v>799</v>
      </c>
      <c r="AV135" s="37"/>
      <c r="AW135" s="37"/>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9"/>
      <c r="CI135" s="36"/>
      <c r="CJ135" s="3574"/>
      <c r="CK135" s="3574"/>
      <c r="CL135" s="38"/>
    </row>
    <row r="136" spans="2:91" ht="6.75" customHeight="1"/>
    <row r="137" spans="2:91" ht="9.75" customHeight="1">
      <c r="B137" s="40"/>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177"/>
      <c r="AT137" s="41"/>
      <c r="AU137" s="41"/>
      <c r="AV137" s="41"/>
      <c r="AW137" s="41"/>
      <c r="AX137" s="41"/>
      <c r="AY137" s="41"/>
      <c r="AZ137" s="41"/>
      <c r="BA137" s="41"/>
      <c r="BB137" s="41"/>
      <c r="BC137" s="41"/>
      <c r="BD137" s="41"/>
      <c r="BE137" s="41"/>
      <c r="BF137" s="41"/>
      <c r="BG137" s="41"/>
      <c r="BH137" s="41"/>
      <c r="BI137" s="41"/>
      <c r="BJ137" s="41"/>
      <c r="BK137" s="41"/>
      <c r="BL137" s="41"/>
      <c r="BM137" s="41"/>
      <c r="BN137" s="41"/>
      <c r="BO137" s="41"/>
      <c r="BP137" s="41"/>
      <c r="BQ137" s="41"/>
      <c r="BR137" s="41"/>
      <c r="BS137" s="41"/>
      <c r="BT137" s="41"/>
      <c r="BU137" s="41"/>
      <c r="BV137" s="41"/>
      <c r="BW137" s="41"/>
      <c r="BX137" s="41"/>
      <c r="BY137" s="41"/>
      <c r="BZ137" s="41"/>
      <c r="CA137" s="41"/>
      <c r="CB137" s="41"/>
      <c r="CC137" s="41"/>
      <c r="CD137" s="41"/>
      <c r="CE137" s="41"/>
      <c r="CF137" s="41"/>
      <c r="CG137" s="41"/>
      <c r="CH137" s="41"/>
      <c r="CI137" s="41"/>
      <c r="CJ137" s="41"/>
      <c r="CK137" s="41"/>
      <c r="CL137" s="42"/>
      <c r="CM137" s="43"/>
    </row>
    <row r="138" spans="2:91" ht="9.75" customHeight="1">
      <c r="B138" s="44"/>
      <c r="C138" s="45"/>
      <c r="D138" s="46"/>
      <c r="E138" s="46"/>
      <c r="F138" s="46"/>
      <c r="G138" s="46"/>
      <c r="H138" s="46"/>
      <c r="I138" s="178"/>
      <c r="J138" s="178"/>
      <c r="K138" s="178"/>
      <c r="L138" s="178"/>
      <c r="M138" s="178"/>
      <c r="N138" s="178"/>
      <c r="O138" s="178"/>
      <c r="P138" s="178"/>
      <c r="Q138" s="178"/>
      <c r="R138" s="178"/>
      <c r="S138" s="178"/>
      <c r="T138" s="178"/>
      <c r="U138" s="178"/>
      <c r="V138" s="178"/>
      <c r="W138" s="178"/>
      <c r="X138" s="46"/>
      <c r="Y138" s="46"/>
      <c r="Z138" s="46"/>
      <c r="AA138" s="46"/>
      <c r="AB138" s="46"/>
      <c r="AC138" s="46"/>
      <c r="AD138" s="46"/>
      <c r="AE138" s="46"/>
      <c r="AF138" s="46"/>
      <c r="AG138" s="46"/>
      <c r="AH138" s="46"/>
      <c r="AI138" s="46"/>
      <c r="AJ138" s="46"/>
      <c r="AK138" s="46"/>
      <c r="AL138" s="46"/>
      <c r="AM138" s="178"/>
      <c r="AN138" s="46"/>
      <c r="AO138" s="46"/>
      <c r="AP138" s="46"/>
      <c r="AQ138" s="47"/>
      <c r="AR138" s="99"/>
      <c r="AS138" s="177"/>
      <c r="AT138" s="99"/>
      <c r="AU138" s="45"/>
      <c r="AV138" s="46"/>
      <c r="AW138" s="46"/>
      <c r="AX138" s="46"/>
      <c r="AY138" s="46"/>
      <c r="AZ138" s="46"/>
      <c r="BA138" s="178"/>
      <c r="BB138" s="178"/>
      <c r="BC138" s="178"/>
      <c r="BD138" s="178"/>
      <c r="BE138" s="178"/>
      <c r="BF138" s="178"/>
      <c r="BG138" s="178"/>
      <c r="BH138" s="178"/>
      <c r="BI138" s="178"/>
      <c r="BJ138" s="178"/>
      <c r="BK138" s="178"/>
      <c r="BL138" s="178"/>
      <c r="BM138" s="178"/>
      <c r="BN138" s="178"/>
      <c r="BO138" s="178"/>
      <c r="BP138" s="178"/>
      <c r="BQ138" s="46"/>
      <c r="BR138" s="46"/>
      <c r="BS138" s="46"/>
      <c r="BT138" s="46"/>
      <c r="BU138" s="46"/>
      <c r="BV138" s="46"/>
      <c r="BW138" s="46"/>
      <c r="BX138" s="46"/>
      <c r="BY138" s="46"/>
      <c r="BZ138" s="46"/>
      <c r="CA138" s="46"/>
      <c r="CB138" s="46"/>
      <c r="CC138" s="46"/>
      <c r="CD138" s="46"/>
      <c r="CE138" s="46"/>
      <c r="CF138" s="46"/>
      <c r="CG138" s="178"/>
      <c r="CH138" s="46"/>
      <c r="CI138" s="46"/>
      <c r="CJ138" s="46"/>
      <c r="CK138" s="47"/>
      <c r="CL138" s="100"/>
      <c r="CM138" s="43"/>
    </row>
    <row r="139" spans="2:91" ht="18" customHeight="1">
      <c r="B139" s="44"/>
      <c r="C139" s="50"/>
      <c r="D139" s="179" t="s">
        <v>800</v>
      </c>
      <c r="E139" s="179"/>
      <c r="F139" s="179"/>
      <c r="G139" s="179"/>
      <c r="H139" s="179"/>
      <c r="I139" s="180"/>
      <c r="J139" s="180"/>
      <c r="K139" s="180"/>
      <c r="L139" s="180"/>
      <c r="M139" s="180"/>
      <c r="N139" s="180"/>
      <c r="O139" s="180"/>
      <c r="P139" s="180"/>
      <c r="Q139" s="180"/>
      <c r="R139" s="180"/>
      <c r="S139" s="180"/>
      <c r="T139" s="180"/>
      <c r="U139" s="180"/>
      <c r="V139" s="180"/>
      <c r="W139" s="180"/>
      <c r="X139" s="59"/>
      <c r="Y139" s="59"/>
      <c r="Z139" s="59"/>
      <c r="AA139" s="59"/>
      <c r="AB139" s="59"/>
      <c r="AC139" s="59"/>
      <c r="AD139" s="59"/>
      <c r="AE139" s="59"/>
      <c r="AF139" s="181"/>
      <c r="AG139" s="59"/>
      <c r="AH139" s="181"/>
      <c r="AI139" s="59"/>
      <c r="AJ139" s="59"/>
      <c r="AK139" s="59"/>
      <c r="AL139" s="138"/>
      <c r="AM139" s="3652"/>
      <c r="AN139" s="3652"/>
      <c r="AO139" s="59"/>
      <c r="AP139" s="59"/>
      <c r="AQ139" s="61"/>
      <c r="AR139" s="99"/>
      <c r="AS139" s="177"/>
      <c r="AT139" s="99"/>
      <c r="AU139" s="50"/>
      <c r="AV139" s="179" t="s">
        <v>801</v>
      </c>
      <c r="AW139" s="179"/>
      <c r="BA139" s="180"/>
      <c r="BB139" s="180"/>
      <c r="BC139" s="180"/>
      <c r="BD139" s="180"/>
      <c r="BE139" s="180"/>
      <c r="BF139" s="180"/>
      <c r="BG139" s="180"/>
      <c r="BH139" s="180"/>
      <c r="BI139" s="180"/>
      <c r="BJ139" s="180"/>
      <c r="BK139" s="180"/>
      <c r="BL139" s="180"/>
      <c r="BM139" s="180"/>
      <c r="BN139" s="180"/>
      <c r="BO139" s="180"/>
      <c r="BP139" s="180"/>
      <c r="BQ139" s="59"/>
      <c r="BR139" s="59"/>
      <c r="BS139" s="59"/>
      <c r="BT139" s="59"/>
      <c r="BU139" s="59"/>
      <c r="BV139" s="59"/>
      <c r="BW139" s="59"/>
      <c r="BX139" s="59"/>
      <c r="BY139" s="59"/>
      <c r="BZ139" s="59"/>
      <c r="CA139" s="59"/>
      <c r="CB139" s="59"/>
      <c r="CC139" s="59"/>
      <c r="CD139" s="59"/>
      <c r="CE139" s="59"/>
      <c r="CF139" s="59"/>
      <c r="CG139" s="180"/>
      <c r="CH139" s="59"/>
      <c r="CI139" s="59"/>
      <c r="CJ139" s="59"/>
      <c r="CK139" s="61"/>
      <c r="CL139" s="100"/>
      <c r="CM139" s="43"/>
    </row>
    <row r="140" spans="2:91" ht="6.75" customHeight="1">
      <c r="B140" s="44"/>
      <c r="C140" s="50"/>
      <c r="D140" s="182"/>
      <c r="E140" s="182"/>
      <c r="F140" s="182"/>
      <c r="G140" s="182"/>
      <c r="H140" s="182"/>
      <c r="I140" s="180"/>
      <c r="J140" s="180"/>
      <c r="K140" s="180"/>
      <c r="L140" s="180"/>
      <c r="M140" s="180"/>
      <c r="N140" s="180"/>
      <c r="O140" s="180"/>
      <c r="P140" s="180"/>
      <c r="Q140" s="180"/>
      <c r="R140" s="180"/>
      <c r="S140" s="180"/>
      <c r="T140" s="180"/>
      <c r="U140" s="180"/>
      <c r="V140" s="180"/>
      <c r="W140" s="180"/>
      <c r="X140" s="59"/>
      <c r="Y140" s="59"/>
      <c r="Z140" s="59"/>
      <c r="AA140" s="59"/>
      <c r="AB140" s="59"/>
      <c r="AC140" s="59"/>
      <c r="AD140" s="59"/>
      <c r="AE140" s="59"/>
      <c r="AF140" s="59"/>
      <c r="AG140" s="59"/>
      <c r="AH140" s="59"/>
      <c r="AI140" s="59"/>
      <c r="AJ140" s="59"/>
      <c r="AK140" s="59"/>
      <c r="AL140" s="59"/>
      <c r="AM140" s="180"/>
      <c r="AN140" s="59"/>
      <c r="AO140" s="59"/>
      <c r="AP140" s="59"/>
      <c r="AQ140" s="61"/>
      <c r="AR140" s="99"/>
      <c r="AS140" s="177"/>
      <c r="AT140" s="99"/>
      <c r="AU140" s="50"/>
      <c r="AV140" s="59"/>
      <c r="AW140" s="59"/>
      <c r="AX140" s="182"/>
      <c r="AY140" s="182"/>
      <c r="AZ140" s="182"/>
      <c r="BA140" s="180"/>
      <c r="BB140" s="180"/>
      <c r="BC140" s="180"/>
      <c r="BD140" s="180"/>
      <c r="BE140" s="180"/>
      <c r="BF140" s="180"/>
      <c r="BG140" s="180"/>
      <c r="BH140" s="180"/>
      <c r="BI140" s="180"/>
      <c r="BJ140" s="180"/>
      <c r="BK140" s="180"/>
      <c r="BL140" s="180"/>
      <c r="BM140" s="180"/>
      <c r="BN140" s="180"/>
      <c r="BO140" s="180"/>
      <c r="BP140" s="180"/>
      <c r="BQ140" s="59"/>
      <c r="BR140" s="59"/>
      <c r="BS140" s="59"/>
      <c r="BT140" s="59"/>
      <c r="BU140" s="59"/>
      <c r="BV140" s="59"/>
      <c r="BW140" s="59"/>
      <c r="BX140" s="59"/>
      <c r="BY140" s="59"/>
      <c r="BZ140" s="59"/>
      <c r="CA140" s="59"/>
      <c r="CB140" s="59"/>
      <c r="CC140" s="59"/>
      <c r="CD140" s="59"/>
      <c r="CE140" s="59"/>
      <c r="CF140" s="59"/>
      <c r="CG140" s="180"/>
      <c r="CH140" s="59"/>
      <c r="CI140" s="59"/>
      <c r="CJ140" s="59"/>
      <c r="CK140" s="61"/>
      <c r="CL140" s="100"/>
      <c r="CM140" s="43"/>
    </row>
    <row r="141" spans="2:91" ht="15" customHeight="1">
      <c r="B141" s="44"/>
      <c r="C141" s="50"/>
      <c r="D141" s="182"/>
      <c r="E141" s="182"/>
      <c r="F141" s="182"/>
      <c r="G141" s="182"/>
      <c r="H141" s="182"/>
      <c r="J141" s="1166" t="s">
        <v>802</v>
      </c>
      <c r="K141" s="1165"/>
      <c r="L141" s="1165"/>
      <c r="M141" s="1165"/>
      <c r="N141" s="1165"/>
      <c r="O141" s="1165"/>
      <c r="P141" s="1165"/>
      <c r="Q141" s="1165"/>
      <c r="R141" s="1165"/>
      <c r="S141" s="1165"/>
      <c r="T141" s="1165"/>
      <c r="U141" s="1165"/>
      <c r="V141" s="1165"/>
      <c r="W141" s="1165"/>
      <c r="X141" s="1164"/>
      <c r="Y141" s="59"/>
      <c r="Z141" s="1019" t="s">
        <v>106</v>
      </c>
      <c r="AA141" s="1165"/>
      <c r="AB141" s="1165"/>
      <c r="AC141" s="1165"/>
      <c r="AD141" s="1165"/>
      <c r="AE141" s="1165"/>
      <c r="AF141" s="1165"/>
      <c r="AG141" s="1165"/>
      <c r="AH141" s="1165"/>
      <c r="AI141" s="1165"/>
      <c r="AJ141" s="1165"/>
      <c r="AK141" s="1165"/>
      <c r="AL141" s="1165"/>
      <c r="AM141" s="1165"/>
      <c r="AN141" s="2245" t="str">
        <f>IF(('CALCULS Eau potable'!D41='MENU DÉROULANT'!$F$31),"(Aucun actif)","")</f>
        <v/>
      </c>
      <c r="AO141" s="1165"/>
      <c r="AP141" s="1167"/>
      <c r="AQ141" s="61"/>
      <c r="AR141" s="99"/>
      <c r="AS141" s="177"/>
      <c r="AT141" s="99"/>
      <c r="AU141" s="50"/>
      <c r="AV141" s="59"/>
      <c r="AW141" s="59"/>
      <c r="AX141" s="182"/>
      <c r="AY141" s="182"/>
      <c r="AZ141" s="182"/>
      <c r="BC141" s="1166" t="s">
        <v>802</v>
      </c>
      <c r="BD141" s="1165"/>
      <c r="BE141" s="1165"/>
      <c r="BF141" s="1165"/>
      <c r="BG141" s="1165"/>
      <c r="BH141" s="1165"/>
      <c r="BI141" s="1165"/>
      <c r="BJ141" s="1165"/>
      <c r="BK141" s="1165"/>
      <c r="BL141" s="1165"/>
      <c r="BM141" s="1165"/>
      <c r="BN141" s="1165"/>
      <c r="BO141" s="1165"/>
      <c r="BP141" s="1165"/>
      <c r="BQ141" s="1164"/>
      <c r="BR141" s="2474"/>
      <c r="BS141" s="59"/>
      <c r="BT141" s="1019" t="s">
        <v>106</v>
      </c>
      <c r="BU141" s="1165"/>
      <c r="BV141" s="1165"/>
      <c r="BW141" s="1165"/>
      <c r="BX141" s="1165"/>
      <c r="BY141" s="1165"/>
      <c r="BZ141" s="1165"/>
      <c r="CA141" s="1165"/>
      <c r="CB141" s="1165"/>
      <c r="CC141" s="1165"/>
      <c r="CD141" s="1165"/>
      <c r="CE141" s="1165"/>
      <c r="CF141" s="1165"/>
      <c r="CG141" s="1165"/>
      <c r="CH141" s="2245" t="str">
        <f>IF(('CALCULS Eau potable'!D41='MENU DÉROULANT'!$F$31),"(Aucun actif)","")</f>
        <v/>
      </c>
      <c r="CI141" s="1165"/>
      <c r="CJ141" s="1167"/>
      <c r="CK141" s="61"/>
      <c r="CL141" s="100"/>
      <c r="CM141" s="43"/>
    </row>
    <row r="142" spans="2:91" ht="12.75" customHeight="1">
      <c r="B142" s="44"/>
      <c r="C142" s="50"/>
      <c r="D142" s="182"/>
      <c r="E142" s="182"/>
      <c r="F142" s="182"/>
      <c r="G142" s="182"/>
      <c r="H142" s="182"/>
      <c r="I142" s="180"/>
      <c r="J142" s="183"/>
      <c r="K142" s="183"/>
      <c r="L142" s="183"/>
      <c r="M142" s="183"/>
      <c r="N142" s="183"/>
      <c r="O142" s="183"/>
      <c r="P142" s="183"/>
      <c r="Q142" s="183"/>
      <c r="R142" s="183"/>
      <c r="S142" s="180"/>
      <c r="T142" s="180"/>
      <c r="U142" s="180"/>
      <c r="X142" s="2246" t="str">
        <f>IF(('CALCULS Eau potable'!D33='MENU DÉROULANT'!$C$31),"(Aucun actif)","")</f>
        <v/>
      </c>
      <c r="Y142" s="59"/>
      <c r="Z142" s="179"/>
      <c r="AA142" s="179"/>
      <c r="AB142" s="179"/>
      <c r="AC142" s="179"/>
      <c r="AD142" s="179"/>
      <c r="AE142" s="179"/>
      <c r="AF142" s="179"/>
      <c r="AG142" s="179"/>
      <c r="AH142" s="179"/>
      <c r="AI142" s="59"/>
      <c r="AJ142" s="59"/>
      <c r="AK142" s="59"/>
      <c r="AL142" s="3653"/>
      <c r="AM142" s="3653"/>
      <c r="AN142" s="3653"/>
      <c r="AO142" s="59"/>
      <c r="AP142" s="59"/>
      <c r="AQ142" s="61"/>
      <c r="AR142" s="99"/>
      <c r="AS142" s="177"/>
      <c r="AT142" s="99"/>
      <c r="AU142" s="50"/>
      <c r="AV142" s="59"/>
      <c r="AW142" s="59"/>
      <c r="AX142" s="182"/>
      <c r="AY142" s="182"/>
      <c r="AZ142" s="182"/>
      <c r="BA142" s="180"/>
      <c r="BB142" s="180"/>
      <c r="BC142" s="183"/>
      <c r="BD142" s="183"/>
      <c r="BE142" s="183"/>
      <c r="BF142" s="183"/>
      <c r="BG142" s="183"/>
      <c r="BH142" s="183"/>
      <c r="BI142" s="183"/>
      <c r="BJ142" s="183"/>
      <c r="BK142" s="183"/>
      <c r="BL142" s="180"/>
      <c r="BM142" s="180"/>
      <c r="BN142" s="180"/>
      <c r="BQ142" s="2246" t="str">
        <f>IF(('CALCULS Eau potable'!D33='MENU DÉROULANT'!$C$31),"(Aucun actif)","")</f>
        <v/>
      </c>
      <c r="BR142" s="2473"/>
      <c r="BS142" s="59"/>
      <c r="BT142" s="179"/>
      <c r="BU142" s="179"/>
      <c r="BV142" s="179"/>
      <c r="BW142" s="179"/>
      <c r="BX142" s="179"/>
      <c r="BY142" s="179"/>
      <c r="BZ142" s="179"/>
      <c r="CA142" s="179"/>
      <c r="CB142" s="179"/>
      <c r="CC142" s="59"/>
      <c r="CD142" s="59"/>
      <c r="CE142" s="59"/>
      <c r="CF142" s="3653"/>
      <c r="CG142" s="3653"/>
      <c r="CH142" s="3653"/>
      <c r="CI142" s="59"/>
      <c r="CJ142" s="59"/>
      <c r="CK142" s="61"/>
      <c r="CL142" s="100"/>
      <c r="CM142" s="43"/>
    </row>
    <row r="143" spans="2:91" ht="15.75" customHeight="1">
      <c r="B143" s="44"/>
      <c r="C143" s="50"/>
      <c r="D143" s="3661" t="s">
        <v>803</v>
      </c>
      <c r="E143" s="3661"/>
      <c r="F143" s="3661"/>
      <c r="G143" s="3661"/>
      <c r="H143" s="3661"/>
      <c r="I143" s="3654" t="s">
        <v>95</v>
      </c>
      <c r="J143" s="3654"/>
      <c r="K143" s="3654"/>
      <c r="L143" s="3654"/>
      <c r="M143" s="183"/>
      <c r="N143" s="3655" t="str">
        <f>'CALCULS Eau potable'!E331</f>
        <v/>
      </c>
      <c r="O143" s="3656"/>
      <c r="P143" s="3656"/>
      <c r="Q143" s="3657" t="s">
        <v>491</v>
      </c>
      <c r="R143" s="3658"/>
      <c r="S143" s="3659"/>
      <c r="T143" s="185"/>
      <c r="U143" s="184"/>
      <c r="Y143" s="3654" t="s">
        <v>95</v>
      </c>
      <c r="Z143" s="3654"/>
      <c r="AA143" s="3654"/>
      <c r="AB143" s="3654"/>
      <c r="AC143" s="183"/>
      <c r="AD143" s="3655" t="str">
        <f>'CALCULS Eau potable'!E332</f>
        <v/>
      </c>
      <c r="AE143" s="3656"/>
      <c r="AF143" s="3656"/>
      <c r="AG143" s="3657" t="s">
        <v>491</v>
      </c>
      <c r="AH143" s="3658"/>
      <c r="AI143" s="3659"/>
      <c r="AJ143" s="23"/>
      <c r="AK143" s="186"/>
      <c r="AL143" s="3660"/>
      <c r="AM143" s="3660"/>
      <c r="AN143" s="3660"/>
      <c r="AO143" s="23"/>
      <c r="AP143" s="27"/>
      <c r="AQ143" s="61"/>
      <c r="AR143" s="99"/>
      <c r="AS143" s="177"/>
      <c r="AT143" s="99"/>
      <c r="AU143" s="50"/>
      <c r="AV143" s="3661" t="s">
        <v>803</v>
      </c>
      <c r="AW143" s="3661"/>
      <c r="AX143" s="3661"/>
      <c r="AY143" s="3661"/>
      <c r="AZ143" s="3661"/>
      <c r="BA143" s="3654" t="s">
        <v>95</v>
      </c>
      <c r="BB143" s="3654"/>
      <c r="BC143" s="3654"/>
      <c r="BD143" s="3654"/>
      <c r="BE143" s="3654"/>
      <c r="BF143" s="183"/>
      <c r="BG143" s="3655" t="str">
        <f>'CALCULS Eau potable'!E343</f>
        <v/>
      </c>
      <c r="BH143" s="3656"/>
      <c r="BI143" s="3656"/>
      <c r="BJ143" s="3657" t="s">
        <v>491</v>
      </c>
      <c r="BK143" s="3658"/>
      <c r="BL143" s="3659"/>
      <c r="BM143" s="185"/>
      <c r="BN143" s="184"/>
      <c r="BS143" s="3654" t="s">
        <v>95</v>
      </c>
      <c r="BT143" s="3654"/>
      <c r="BU143" s="3654"/>
      <c r="BV143" s="3654"/>
      <c r="BW143" s="183"/>
      <c r="BX143" s="3655" t="str">
        <f>'CALCULS Eau potable'!E344</f>
        <v/>
      </c>
      <c r="BY143" s="3656"/>
      <c r="BZ143" s="3656"/>
      <c r="CA143" s="3657" t="s">
        <v>491</v>
      </c>
      <c r="CB143" s="3658"/>
      <c r="CC143" s="3659"/>
      <c r="CD143" s="23"/>
      <c r="CE143" s="186"/>
      <c r="CF143" s="3660"/>
      <c r="CG143" s="3660"/>
      <c r="CH143" s="3660"/>
      <c r="CI143" s="23"/>
      <c r="CJ143" s="27"/>
      <c r="CK143" s="61"/>
      <c r="CL143" s="100"/>
      <c r="CM143" s="43"/>
    </row>
    <row r="144" spans="2:91" ht="9.75" customHeight="1">
      <c r="B144" s="44"/>
      <c r="C144" s="50"/>
      <c r="D144" s="3661"/>
      <c r="E144" s="3661"/>
      <c r="F144" s="3661"/>
      <c r="G144" s="3661"/>
      <c r="H144" s="3661"/>
      <c r="AO144" s="23"/>
      <c r="AP144" s="27"/>
      <c r="AQ144" s="61"/>
      <c r="AR144" s="99"/>
      <c r="AS144" s="177"/>
      <c r="AT144" s="99"/>
      <c r="AU144" s="50"/>
      <c r="AV144" s="3661"/>
      <c r="AW144" s="3661"/>
      <c r="AX144" s="3661"/>
      <c r="AY144" s="3661"/>
      <c r="AZ144" s="3661"/>
      <c r="CJ144" s="27"/>
      <c r="CK144" s="61"/>
      <c r="CL144" s="100"/>
      <c r="CM144" s="43"/>
    </row>
    <row r="145" spans="2:91" ht="15" customHeight="1">
      <c r="B145" s="44"/>
      <c r="C145" s="50"/>
      <c r="D145" s="3661"/>
      <c r="E145" s="3661"/>
      <c r="F145" s="3661"/>
      <c r="G145" s="3661"/>
      <c r="H145" s="3661"/>
      <c r="I145" s="187"/>
      <c r="J145" s="1169" t="str">
        <f>IF('CALCULS Eau potable'!E326&gt;0,"p","")</f>
        <v/>
      </c>
      <c r="K145" s="22"/>
      <c r="L145" s="1169" t="str">
        <f>IF('CALCULS Eau potable'!F326&gt;0,"p","")</f>
        <v/>
      </c>
      <c r="M145" s="21"/>
      <c r="N145" s="1169" t="str">
        <f>IF('CALCULS Eau potable'!G326&gt;0,"p","")</f>
        <v/>
      </c>
      <c r="O145" s="21"/>
      <c r="P145" s="1169" t="str">
        <f>IF('CALCULS Eau potable'!H326&gt;0,"p","")</f>
        <v/>
      </c>
      <c r="Q145" s="21"/>
      <c r="R145" s="1169" t="str">
        <f>IF('CALCULS Eau potable'!I326&gt;0,"p","")</f>
        <v/>
      </c>
      <c r="S145" s="21"/>
      <c r="T145" s="1169" t="str">
        <f>IF('CALCULS Eau potable'!J326&gt;0,"p","")</f>
        <v/>
      </c>
      <c r="U145" s="21"/>
      <c r="V145" s="1169" t="str">
        <f>IF('CALCULS Eau potable'!K326&gt;0,"p","")</f>
        <v/>
      </c>
      <c r="W145" s="21"/>
      <c r="X145" s="21"/>
      <c r="Z145" s="1169" t="str">
        <f>IF('CALCULS Eau potable'!E328&gt;0,"p","")</f>
        <v/>
      </c>
      <c r="AA145" s="22"/>
      <c r="AB145" s="1169" t="str">
        <f>IF('CALCULS Eau potable'!F328&gt;0,"p","")</f>
        <v/>
      </c>
      <c r="AC145" s="21"/>
      <c r="AD145" s="1169" t="str">
        <f>IF('CALCULS Eau potable'!G328&gt;0,"p","")</f>
        <v/>
      </c>
      <c r="AE145" s="21"/>
      <c r="AF145" s="1169" t="str">
        <f>IF('CALCULS Eau potable'!H328&gt;0,"p","")</f>
        <v/>
      </c>
      <c r="AG145" s="21"/>
      <c r="AH145" s="1169" t="str">
        <f>IF('CALCULS Eau potable'!I328&gt;0,"p","")</f>
        <v/>
      </c>
      <c r="AI145" s="21"/>
      <c r="AJ145" s="1169" t="str">
        <f>IF('CALCULS Eau potable'!J328&gt;0,"p","")</f>
        <v/>
      </c>
      <c r="AK145" s="21"/>
      <c r="AL145" s="1169" t="str">
        <f>IF('CALCULS Eau potable'!K328&gt;0,"p","")</f>
        <v/>
      </c>
      <c r="AM145" s="21"/>
      <c r="AN145" s="21"/>
      <c r="AO145" s="23"/>
      <c r="AP145" s="27"/>
      <c r="AQ145" s="61"/>
      <c r="AR145" s="99"/>
      <c r="AS145" s="177"/>
      <c r="AT145" s="99"/>
      <c r="AU145" s="50"/>
      <c r="AV145" s="3661"/>
      <c r="AW145" s="3661"/>
      <c r="AX145" s="3661"/>
      <c r="AY145" s="3661"/>
      <c r="AZ145" s="3661"/>
      <c r="BA145" s="187"/>
      <c r="BB145" s="187"/>
      <c r="BC145" s="1170" t="str">
        <f>IF('CALCULS Eau potable'!E338&gt;0,"p","")</f>
        <v/>
      </c>
      <c r="BD145" s="470"/>
      <c r="BE145" s="1170" t="str">
        <f>IF('CALCULS Eau potable'!F338&gt;0,"p","")</f>
        <v/>
      </c>
      <c r="BF145" s="469"/>
      <c r="BG145" s="1170" t="str">
        <f>IF('CALCULS Eau potable'!G338&gt;0,"p","")</f>
        <v/>
      </c>
      <c r="BH145" s="469"/>
      <c r="BI145" s="1170" t="str">
        <f>IF('CALCULS Eau potable'!H338&gt;0,"p","")</f>
        <v/>
      </c>
      <c r="BJ145" s="469"/>
      <c r="BK145" s="1170" t="str">
        <f>IF('CALCULS Eau potable'!I338&gt;0,"p","")</f>
        <v/>
      </c>
      <c r="BL145" s="469"/>
      <c r="BM145" s="1170" t="str">
        <f>IF('CALCULS Eau potable'!J338&gt;0,"p","")</f>
        <v/>
      </c>
      <c r="BN145" s="469"/>
      <c r="BO145" s="1170" t="str">
        <f>IF('CALCULS Eau potable'!K338&gt;0,"p","")</f>
        <v/>
      </c>
      <c r="BP145" s="469"/>
      <c r="BQ145" s="469"/>
      <c r="BR145" s="469"/>
      <c r="BT145" s="1170" t="str">
        <f>IF('CALCULS Eau potable'!E340&gt;0,"p","")</f>
        <v/>
      </c>
      <c r="BU145" s="470"/>
      <c r="BV145" s="1170" t="str">
        <f>IF('CALCULS Eau potable'!F340&gt;0,"p","")</f>
        <v/>
      </c>
      <c r="BW145" s="469"/>
      <c r="BX145" s="1170" t="str">
        <f>IF('CALCULS Eau potable'!G340&gt;0,"p","")</f>
        <v/>
      </c>
      <c r="BY145" s="469"/>
      <c r="BZ145" s="1170" t="str">
        <f>IF('CALCULS Eau potable'!H340&gt;0,"p","")</f>
        <v/>
      </c>
      <c r="CA145" s="469"/>
      <c r="CB145" s="1170" t="str">
        <f>IF('CALCULS Eau potable'!I340&gt;0,"p","")</f>
        <v/>
      </c>
      <c r="CC145" s="469"/>
      <c r="CD145" s="1170" t="str">
        <f>IF('CALCULS Eau potable'!J340&gt;0,"p","")</f>
        <v/>
      </c>
      <c r="CE145" s="469"/>
      <c r="CF145" s="1170" t="str">
        <f>IF('CALCULS Eau potable'!K340&gt;0,"p","")</f>
        <v/>
      </c>
      <c r="CG145" s="26"/>
      <c r="CH145" s="27"/>
      <c r="CI145" s="23"/>
      <c r="CJ145" s="27"/>
      <c r="CK145" s="61"/>
      <c r="CL145" s="100"/>
      <c r="CM145" s="43"/>
    </row>
    <row r="146" spans="2:91" ht="3.75" customHeight="1">
      <c r="B146" s="44"/>
      <c r="C146" s="50"/>
      <c r="D146" s="3668"/>
      <c r="E146" s="3668"/>
      <c r="F146" s="3668"/>
      <c r="G146" s="3668"/>
      <c r="H146" s="3668"/>
      <c r="I146" s="3668"/>
      <c r="AO146" s="23"/>
      <c r="AP146" s="27"/>
      <c r="AQ146" s="61"/>
      <c r="AR146" s="99"/>
      <c r="AS146" s="177"/>
      <c r="AT146" s="99"/>
      <c r="AU146" s="50"/>
      <c r="AV146" s="59"/>
      <c r="AW146" s="59"/>
      <c r="AX146" s="3668"/>
      <c r="AY146" s="3668"/>
      <c r="AZ146" s="3668"/>
      <c r="BA146" s="3668"/>
      <c r="BB146" s="2844"/>
      <c r="CI146" s="23"/>
      <c r="CJ146" s="27"/>
      <c r="CK146" s="61"/>
      <c r="CL146" s="100"/>
      <c r="CM146" s="43"/>
    </row>
    <row r="147" spans="2:91" ht="14.25" customHeight="1">
      <c r="B147" s="44"/>
      <c r="C147" s="50"/>
      <c r="D147" s="2425" t="s">
        <v>207</v>
      </c>
      <c r="E147" s="1171"/>
      <c r="F147" s="1171"/>
      <c r="G147" s="1171"/>
      <c r="H147" s="1171"/>
      <c r="I147" s="23"/>
      <c r="J147" s="23"/>
      <c r="K147" s="23"/>
      <c r="L147" s="23"/>
      <c r="M147" s="23"/>
      <c r="N147" s="23"/>
      <c r="O147" s="23"/>
      <c r="P147" s="23"/>
      <c r="Q147" s="23"/>
      <c r="R147" s="23"/>
      <c r="S147" s="23"/>
      <c r="T147" s="23"/>
      <c r="U147" s="23"/>
      <c r="V147" s="23"/>
      <c r="W147" s="23"/>
      <c r="X147" s="23"/>
      <c r="Z147" s="23"/>
      <c r="AA147" s="23"/>
      <c r="AB147" s="23"/>
      <c r="AC147" s="23"/>
      <c r="AD147" s="23"/>
      <c r="AE147" s="23"/>
      <c r="AF147" s="23"/>
      <c r="AG147" s="23"/>
      <c r="AH147" s="23"/>
      <c r="AI147" s="23"/>
      <c r="AJ147" s="23"/>
      <c r="AK147" s="23"/>
      <c r="AL147" s="23"/>
      <c r="AM147" s="23"/>
      <c r="AO147" s="23"/>
      <c r="AQ147" s="61"/>
      <c r="AR147" s="99"/>
      <c r="AS147" s="177"/>
      <c r="AT147" s="99"/>
      <c r="AU147" s="50"/>
      <c r="AV147" s="3662" t="s">
        <v>196</v>
      </c>
      <c r="AW147" s="3662"/>
      <c r="AX147" s="3662"/>
      <c r="AY147" s="3662"/>
      <c r="AZ147" s="2839"/>
      <c r="BA147" s="23"/>
      <c r="BB147" s="23"/>
      <c r="BC147" s="23"/>
      <c r="BD147" s="23"/>
      <c r="BE147" s="23"/>
      <c r="BF147" s="23"/>
      <c r="BG147" s="23"/>
      <c r="BH147" s="23"/>
      <c r="BI147" s="23"/>
      <c r="BJ147" s="23"/>
      <c r="BK147" s="23"/>
      <c r="BL147" s="23"/>
      <c r="BM147" s="23"/>
      <c r="BN147" s="23"/>
      <c r="BO147" s="23"/>
      <c r="BP147" s="23"/>
      <c r="BQ147" s="23"/>
      <c r="BR147" s="23"/>
      <c r="BT147" s="23"/>
      <c r="BU147" s="23"/>
      <c r="BV147" s="23"/>
      <c r="BW147" s="23"/>
      <c r="BX147" s="23"/>
      <c r="BY147" s="23"/>
      <c r="BZ147" s="23"/>
      <c r="CA147" s="23"/>
      <c r="CB147" s="23"/>
      <c r="CC147" s="23"/>
      <c r="CD147" s="23"/>
      <c r="CE147" s="23"/>
      <c r="CF147" s="23"/>
      <c r="CG147" s="23"/>
      <c r="CI147" s="23"/>
      <c r="CK147" s="61"/>
      <c r="CL147" s="100"/>
      <c r="CM147" s="43"/>
    </row>
    <row r="148" spans="2:91" ht="14.25" customHeight="1">
      <c r="B148" s="44"/>
      <c r="C148" s="50"/>
      <c r="D148" s="2426" t="s">
        <v>205</v>
      </c>
      <c r="E148" s="1172"/>
      <c r="F148" s="1172"/>
      <c r="G148" s="1172"/>
      <c r="H148" s="1172"/>
      <c r="I148" s="23"/>
      <c r="J148" s="23"/>
      <c r="K148" s="23"/>
      <c r="L148" s="23"/>
      <c r="M148" s="23"/>
      <c r="N148" s="23"/>
      <c r="O148" s="23"/>
      <c r="P148" s="23"/>
      <c r="Q148" s="23"/>
      <c r="R148" s="23"/>
      <c r="S148" s="23"/>
      <c r="T148" s="23"/>
      <c r="U148" s="23"/>
      <c r="V148" s="23"/>
      <c r="W148" s="23"/>
      <c r="X148" s="23"/>
      <c r="Z148" s="23"/>
      <c r="AA148" s="23"/>
      <c r="AB148" s="23"/>
      <c r="AC148" s="23"/>
      <c r="AD148" s="23"/>
      <c r="AE148" s="23"/>
      <c r="AF148" s="23"/>
      <c r="AG148" s="23"/>
      <c r="AH148" s="23"/>
      <c r="AI148" s="23"/>
      <c r="AJ148" s="23"/>
      <c r="AK148" s="23"/>
      <c r="AL148" s="23"/>
      <c r="AM148" s="23"/>
      <c r="AN148" s="191"/>
      <c r="AO148" s="23"/>
      <c r="AP148" s="191"/>
      <c r="AQ148" s="61"/>
      <c r="AR148" s="99"/>
      <c r="AS148" s="177"/>
      <c r="AT148" s="99"/>
      <c r="AU148" s="50"/>
      <c r="AV148" s="3663" t="s">
        <v>194</v>
      </c>
      <c r="AW148" s="3663"/>
      <c r="AX148" s="3663"/>
      <c r="AY148" s="3663"/>
      <c r="AZ148" s="2840"/>
      <c r="BA148" s="23"/>
      <c r="BB148" s="23"/>
      <c r="BC148" s="23"/>
      <c r="BD148" s="23"/>
      <c r="BE148" s="23"/>
      <c r="BF148" s="23"/>
      <c r="BG148" s="23"/>
      <c r="BH148" s="23"/>
      <c r="BI148" s="23"/>
      <c r="BJ148" s="23"/>
      <c r="BK148" s="23"/>
      <c r="BL148" s="23"/>
      <c r="BM148" s="23"/>
      <c r="BN148" s="23"/>
      <c r="BO148" s="23"/>
      <c r="BP148" s="23"/>
      <c r="BQ148" s="23"/>
      <c r="BR148" s="23"/>
      <c r="BT148" s="23"/>
      <c r="BU148" s="23"/>
      <c r="BV148" s="23"/>
      <c r="BW148" s="23"/>
      <c r="BX148" s="23"/>
      <c r="BY148" s="23"/>
      <c r="BZ148" s="23"/>
      <c r="CA148" s="23"/>
      <c r="CB148" s="23"/>
      <c r="CC148" s="23"/>
      <c r="CD148" s="23"/>
      <c r="CE148" s="23"/>
      <c r="CF148" s="23"/>
      <c r="CG148" s="23"/>
      <c r="CH148" s="191"/>
      <c r="CI148" s="23"/>
      <c r="CJ148" s="191"/>
      <c r="CK148" s="61"/>
      <c r="CL148" s="100"/>
      <c r="CM148" s="43"/>
    </row>
    <row r="149" spans="2:91" ht="14.25" customHeight="1">
      <c r="B149" s="44"/>
      <c r="C149" s="50"/>
      <c r="D149" s="2427" t="s">
        <v>203</v>
      </c>
      <c r="E149" s="1173"/>
      <c r="F149" s="1173"/>
      <c r="G149" s="1173"/>
      <c r="H149" s="1173"/>
      <c r="I149" s="23"/>
      <c r="J149" s="23"/>
      <c r="K149" s="23"/>
      <c r="L149" s="23"/>
      <c r="M149" s="23"/>
      <c r="N149" s="23"/>
      <c r="O149" s="23"/>
      <c r="P149" s="23"/>
      <c r="Q149" s="23"/>
      <c r="R149" s="23"/>
      <c r="S149" s="23"/>
      <c r="T149" s="23"/>
      <c r="U149" s="23"/>
      <c r="V149" s="194"/>
      <c r="W149" s="194"/>
      <c r="X149" s="23"/>
      <c r="Z149" s="23"/>
      <c r="AA149" s="23"/>
      <c r="AB149" s="23"/>
      <c r="AC149" s="23"/>
      <c r="AD149" s="23"/>
      <c r="AE149" s="23"/>
      <c r="AF149" s="23"/>
      <c r="AG149" s="23"/>
      <c r="AH149" s="23"/>
      <c r="AI149" s="23"/>
      <c r="AJ149" s="23"/>
      <c r="AK149" s="23"/>
      <c r="AL149" s="194"/>
      <c r="AM149" s="194"/>
      <c r="AN149" s="195"/>
      <c r="AO149" s="194"/>
      <c r="AP149" s="195"/>
      <c r="AQ149" s="61"/>
      <c r="AR149" s="99"/>
      <c r="AS149" s="177"/>
      <c r="AT149" s="99"/>
      <c r="AU149" s="50"/>
      <c r="AV149" s="3664" t="s">
        <v>192</v>
      </c>
      <c r="AW149" s="3664"/>
      <c r="AX149" s="3664"/>
      <c r="AY149" s="3664"/>
      <c r="AZ149" s="2841"/>
      <c r="BA149" s="23"/>
      <c r="BB149" s="23"/>
      <c r="BC149" s="23"/>
      <c r="BD149" s="23"/>
      <c r="BE149" s="23"/>
      <c r="BF149" s="23"/>
      <c r="BG149" s="23"/>
      <c r="BH149" s="23"/>
      <c r="BI149" s="23"/>
      <c r="BJ149" s="23"/>
      <c r="BK149" s="23"/>
      <c r="BL149" s="23"/>
      <c r="BM149" s="23"/>
      <c r="BN149" s="23"/>
      <c r="BO149" s="194"/>
      <c r="BP149" s="194"/>
      <c r="BQ149" s="23"/>
      <c r="BR149" s="23"/>
      <c r="BT149" s="23"/>
      <c r="BU149" s="23"/>
      <c r="BV149" s="23"/>
      <c r="BW149" s="23"/>
      <c r="BX149" s="23"/>
      <c r="BY149" s="23"/>
      <c r="BZ149" s="23"/>
      <c r="CA149" s="23"/>
      <c r="CB149" s="23"/>
      <c r="CC149" s="23"/>
      <c r="CD149" s="23"/>
      <c r="CE149" s="23"/>
      <c r="CF149" s="194"/>
      <c r="CG149" s="194"/>
      <c r="CH149" s="195"/>
      <c r="CI149" s="194"/>
      <c r="CJ149" s="195"/>
      <c r="CK149" s="61"/>
      <c r="CL149" s="100"/>
      <c r="CM149" s="43"/>
    </row>
    <row r="150" spans="2:91" ht="14.25" customHeight="1">
      <c r="B150" s="44"/>
      <c r="C150" s="50"/>
      <c r="D150" s="2428" t="s">
        <v>201</v>
      </c>
      <c r="E150" s="1174"/>
      <c r="F150" s="1174"/>
      <c r="G150" s="1174"/>
      <c r="H150" s="1174"/>
      <c r="I150" s="23"/>
      <c r="J150" s="23"/>
      <c r="K150" s="23"/>
      <c r="L150" s="23"/>
      <c r="M150" s="23"/>
      <c r="N150" s="23"/>
      <c r="O150" s="23"/>
      <c r="P150" s="23"/>
      <c r="Q150" s="23"/>
      <c r="R150" s="23"/>
      <c r="S150" s="23"/>
      <c r="T150" s="23"/>
      <c r="U150" s="23"/>
      <c r="V150" s="198"/>
      <c r="W150" s="198"/>
      <c r="X150" s="23"/>
      <c r="Y150" s="55"/>
      <c r="Z150" s="23"/>
      <c r="AA150" s="23"/>
      <c r="AB150" s="23"/>
      <c r="AC150" s="23"/>
      <c r="AD150" s="23"/>
      <c r="AE150" s="23"/>
      <c r="AF150" s="23"/>
      <c r="AG150" s="23"/>
      <c r="AH150" s="23"/>
      <c r="AI150" s="23"/>
      <c r="AJ150" s="23"/>
      <c r="AK150" s="23"/>
      <c r="AL150" s="198"/>
      <c r="AM150" s="198"/>
      <c r="AN150" s="59"/>
      <c r="AO150" s="198"/>
      <c r="AP150" s="59"/>
      <c r="AQ150" s="61"/>
      <c r="AR150" s="99"/>
      <c r="AS150" s="177"/>
      <c r="AT150" s="99"/>
      <c r="AU150" s="50"/>
      <c r="AV150" s="3665" t="s">
        <v>190</v>
      </c>
      <c r="AW150" s="3665"/>
      <c r="AX150" s="3665"/>
      <c r="AY150" s="3665"/>
      <c r="AZ150" s="2842"/>
      <c r="BA150" s="23"/>
      <c r="BB150" s="23"/>
      <c r="BC150" s="23"/>
      <c r="BD150" s="23"/>
      <c r="BE150" s="23"/>
      <c r="BF150" s="23"/>
      <c r="BG150" s="23"/>
      <c r="BH150" s="23"/>
      <c r="BI150" s="23"/>
      <c r="BJ150" s="23"/>
      <c r="BK150" s="23"/>
      <c r="BL150" s="23"/>
      <c r="BM150" s="23"/>
      <c r="BN150" s="23"/>
      <c r="BO150" s="198"/>
      <c r="BP150" s="198"/>
      <c r="BQ150" s="23"/>
      <c r="BR150" s="23"/>
      <c r="BS150" s="55"/>
      <c r="BT150" s="23"/>
      <c r="BU150" s="23"/>
      <c r="BV150" s="23"/>
      <c r="BW150" s="23"/>
      <c r="BX150" s="23"/>
      <c r="BY150" s="23"/>
      <c r="BZ150" s="23"/>
      <c r="CA150" s="23"/>
      <c r="CB150" s="23"/>
      <c r="CC150" s="23"/>
      <c r="CD150" s="23"/>
      <c r="CE150" s="23"/>
      <c r="CF150" s="198"/>
      <c r="CG150" s="198"/>
      <c r="CH150" s="59"/>
      <c r="CI150" s="198"/>
      <c r="CJ150" s="59"/>
      <c r="CK150" s="61"/>
      <c r="CL150" s="100"/>
      <c r="CM150" s="43"/>
    </row>
    <row r="151" spans="2:91" ht="14.25" customHeight="1">
      <c r="B151" s="44"/>
      <c r="C151" s="50"/>
      <c r="D151" s="2429" t="s">
        <v>198</v>
      </c>
      <c r="E151" s="200"/>
      <c r="F151" s="200"/>
      <c r="G151" s="200"/>
      <c r="H151" s="200"/>
      <c r="I151" s="201"/>
      <c r="J151" s="201"/>
      <c r="K151" s="201"/>
      <c r="L151" s="201"/>
      <c r="M151" s="201"/>
      <c r="N151" s="201"/>
      <c r="O151" s="201"/>
      <c r="P151" s="201"/>
      <c r="Q151" s="201"/>
      <c r="R151" s="201"/>
      <c r="S151" s="201"/>
      <c r="T151" s="201"/>
      <c r="U151" s="201"/>
      <c r="V151" s="201"/>
      <c r="W151" s="201"/>
      <c r="X151" s="201"/>
      <c r="Y151" s="202"/>
      <c r="Z151" s="201"/>
      <c r="AA151" s="201"/>
      <c r="AB151" s="201"/>
      <c r="AC151" s="201"/>
      <c r="AD151" s="201"/>
      <c r="AE151" s="201"/>
      <c r="AF151" s="201"/>
      <c r="AG151" s="201"/>
      <c r="AH151" s="201"/>
      <c r="AI151" s="201"/>
      <c r="AJ151" s="201"/>
      <c r="AK151" s="201"/>
      <c r="AL151" s="201"/>
      <c r="AM151" s="201"/>
      <c r="AN151" s="202"/>
      <c r="AO151" s="201"/>
      <c r="AP151" s="202"/>
      <c r="AQ151" s="61"/>
      <c r="AR151" s="99"/>
      <c r="AS151" s="177"/>
      <c r="AT151" s="99"/>
      <c r="AU151" s="50"/>
      <c r="AV151" s="3666" t="s">
        <v>187</v>
      </c>
      <c r="AW151" s="3666"/>
      <c r="AX151" s="3666"/>
      <c r="AY151" s="3666"/>
      <c r="AZ151" s="2843"/>
      <c r="BA151" s="446"/>
      <c r="BB151" s="446"/>
      <c r="BC151" s="446"/>
      <c r="BD151" s="446"/>
      <c r="BE151" s="446"/>
      <c r="BF151" s="446"/>
      <c r="BG151" s="446"/>
      <c r="BH151" s="446"/>
      <c r="BI151" s="446"/>
      <c r="BJ151" s="446"/>
      <c r="BK151" s="446"/>
      <c r="BL151" s="446"/>
      <c r="BM151" s="446"/>
      <c r="BN151" s="446"/>
      <c r="BO151" s="446"/>
      <c r="BP151" s="446"/>
      <c r="BQ151" s="446"/>
      <c r="BR151" s="446"/>
      <c r="BS151" s="447"/>
      <c r="BT151" s="446"/>
      <c r="BU151" s="446"/>
      <c r="BV151" s="446"/>
      <c r="BW151" s="446"/>
      <c r="BX151" s="446"/>
      <c r="BY151" s="446"/>
      <c r="BZ151" s="446"/>
      <c r="CA151" s="446"/>
      <c r="CB151" s="446"/>
      <c r="CC151" s="446"/>
      <c r="CD151" s="446"/>
      <c r="CE151" s="446"/>
      <c r="CF151" s="446"/>
      <c r="CG151" s="446"/>
      <c r="CH151" s="447"/>
      <c r="CI151" s="446"/>
      <c r="CJ151" s="447"/>
      <c r="CK151" s="61"/>
      <c r="CL151" s="100"/>
      <c r="CM151" s="43"/>
    </row>
    <row r="152" spans="2:91" ht="4.5" customHeight="1">
      <c r="B152" s="44"/>
      <c r="C152" s="50"/>
      <c r="D152" s="3667"/>
      <c r="E152" s="3667"/>
      <c r="F152" s="3667"/>
      <c r="G152" s="3667"/>
      <c r="H152" s="3667"/>
      <c r="I152" s="3667"/>
      <c r="J152" s="464"/>
      <c r="K152" s="466"/>
      <c r="L152" s="464"/>
      <c r="M152" s="466"/>
      <c r="N152" s="464"/>
      <c r="O152" s="466"/>
      <c r="P152" s="464"/>
      <c r="Q152" s="466"/>
      <c r="R152" s="464"/>
      <c r="S152" s="466"/>
      <c r="T152" s="464"/>
      <c r="U152" s="466"/>
      <c r="V152" s="464"/>
      <c r="W152" s="467"/>
      <c r="X152" s="464"/>
      <c r="Z152" s="464"/>
      <c r="AA152" s="466"/>
      <c r="AB152" s="464"/>
      <c r="AC152" s="466"/>
      <c r="AD152" s="464"/>
      <c r="AE152" s="466"/>
      <c r="AF152" s="464"/>
      <c r="AG152" s="466"/>
      <c r="AH152" s="464"/>
      <c r="AI152" s="466"/>
      <c r="AJ152" s="464"/>
      <c r="AK152" s="466"/>
      <c r="AL152" s="464"/>
      <c r="AM152" s="467"/>
      <c r="AN152" s="465"/>
      <c r="AO152" s="467"/>
      <c r="AP152" s="468"/>
      <c r="AQ152" s="204"/>
      <c r="AR152" s="205"/>
      <c r="AS152" s="206"/>
      <c r="AT152" s="205"/>
      <c r="AU152" s="207"/>
      <c r="AV152" s="3652"/>
      <c r="AW152" s="3652"/>
      <c r="AX152" s="3652"/>
      <c r="AY152" s="3652"/>
      <c r="AZ152" s="3652"/>
      <c r="BA152" s="3652"/>
      <c r="BB152" s="2838"/>
      <c r="BC152" s="23"/>
      <c r="BD152" s="203"/>
      <c r="BE152" s="23"/>
      <c r="BF152" s="203"/>
      <c r="BG152" s="23"/>
      <c r="BH152" s="203"/>
      <c r="BI152" s="23"/>
      <c r="BJ152" s="203"/>
      <c r="BK152" s="23"/>
      <c r="BL152" s="203"/>
      <c r="BM152" s="23"/>
      <c r="BN152" s="203"/>
      <c r="BO152" s="23"/>
      <c r="BP152" s="26"/>
      <c r="BQ152" s="23"/>
      <c r="BR152" s="23"/>
      <c r="BT152" s="23"/>
      <c r="BU152" s="203"/>
      <c r="BV152" s="23"/>
      <c r="BW152" s="203"/>
      <c r="BX152" s="23"/>
      <c r="BY152" s="203"/>
      <c r="BZ152" s="23"/>
      <c r="CA152" s="203"/>
      <c r="CB152" s="23"/>
      <c r="CC152" s="203"/>
      <c r="CD152" s="23"/>
      <c r="CE152" s="203"/>
      <c r="CF152" s="23"/>
      <c r="CG152" s="26"/>
      <c r="CH152" s="59"/>
      <c r="CI152" s="26"/>
      <c r="CJ152" s="180"/>
      <c r="CK152" s="61"/>
      <c r="CL152" s="100"/>
      <c r="CM152" s="43"/>
    </row>
    <row r="153" spans="2:91" ht="33" customHeight="1">
      <c r="B153" s="44"/>
      <c r="C153" s="50"/>
      <c r="D153" s="3671"/>
      <c r="E153" s="3671"/>
      <c r="F153" s="3671"/>
      <c r="G153" s="3671"/>
      <c r="H153" s="3671"/>
      <c r="I153" s="3671"/>
      <c r="J153" s="3669" t="s">
        <v>87</v>
      </c>
      <c r="K153" s="203"/>
      <c r="L153" s="3669" t="s">
        <v>804</v>
      </c>
      <c r="M153" s="203"/>
      <c r="N153" s="3669" t="s">
        <v>89</v>
      </c>
      <c r="O153" s="203"/>
      <c r="P153" s="3669" t="s">
        <v>90</v>
      </c>
      <c r="Q153" s="203"/>
      <c r="R153" s="3669" t="s">
        <v>91</v>
      </c>
      <c r="S153" s="203"/>
      <c r="T153" s="3669" t="s">
        <v>92</v>
      </c>
      <c r="U153" s="203"/>
      <c r="V153" s="3669" t="s">
        <v>93</v>
      </c>
      <c r="W153" s="26"/>
      <c r="X153" s="3670" t="s">
        <v>805</v>
      </c>
      <c r="Z153" s="3669" t="s">
        <v>87</v>
      </c>
      <c r="AA153" s="203"/>
      <c r="AB153" s="3669" t="s">
        <v>804</v>
      </c>
      <c r="AC153" s="203"/>
      <c r="AD153" s="3669" t="s">
        <v>89</v>
      </c>
      <c r="AE153" s="203"/>
      <c r="AF153" s="3669" t="s">
        <v>90</v>
      </c>
      <c r="AG153" s="203"/>
      <c r="AH153" s="3669" t="s">
        <v>91</v>
      </c>
      <c r="AI153" s="203"/>
      <c r="AJ153" s="3669" t="s">
        <v>92</v>
      </c>
      <c r="AK153" s="203"/>
      <c r="AL153" s="3669" t="s">
        <v>93</v>
      </c>
      <c r="AM153" s="26"/>
      <c r="AN153" s="3670" t="s">
        <v>805</v>
      </c>
      <c r="AO153" s="26"/>
      <c r="AP153" s="180"/>
      <c r="AQ153" s="204"/>
      <c r="AR153" s="205"/>
      <c r="AS153" s="206"/>
      <c r="AT153" s="205"/>
      <c r="AU153" s="207"/>
      <c r="AV153" s="3671"/>
      <c r="AW153" s="3671"/>
      <c r="AX153" s="3671"/>
      <c r="AY153" s="3671"/>
      <c r="AZ153" s="3671"/>
      <c r="BA153" s="3671"/>
      <c r="BB153" s="2846"/>
      <c r="BC153" s="3679" t="s">
        <v>87</v>
      </c>
      <c r="BD153" s="203"/>
      <c r="BE153" s="3669" t="s">
        <v>804</v>
      </c>
      <c r="BF153" s="203"/>
      <c r="BG153" s="3669" t="s">
        <v>89</v>
      </c>
      <c r="BH153" s="203"/>
      <c r="BI153" s="3669" t="s">
        <v>90</v>
      </c>
      <c r="BJ153" s="203"/>
      <c r="BK153" s="3669" t="s">
        <v>91</v>
      </c>
      <c r="BL153" s="203"/>
      <c r="BM153" s="3669" t="s">
        <v>92</v>
      </c>
      <c r="BN153" s="203"/>
      <c r="BO153" s="3669" t="s">
        <v>93</v>
      </c>
      <c r="BP153" s="26"/>
      <c r="BQ153" s="3670" t="s">
        <v>805</v>
      </c>
      <c r="BR153" s="2845"/>
      <c r="BT153" s="3669" t="s">
        <v>87</v>
      </c>
      <c r="BU153" s="203"/>
      <c r="BV153" s="3669" t="s">
        <v>804</v>
      </c>
      <c r="BW153" s="203"/>
      <c r="BX153" s="3669" t="s">
        <v>89</v>
      </c>
      <c r="BY153" s="203"/>
      <c r="BZ153" s="3669" t="s">
        <v>90</v>
      </c>
      <c r="CA153" s="203"/>
      <c r="CB153" s="3669" t="s">
        <v>91</v>
      </c>
      <c r="CC153" s="203"/>
      <c r="CD153" s="3669" t="s">
        <v>92</v>
      </c>
      <c r="CE153" s="203"/>
      <c r="CF153" s="3669" t="s">
        <v>93</v>
      </c>
      <c r="CG153" s="26"/>
      <c r="CH153" s="3670" t="s">
        <v>805</v>
      </c>
      <c r="CI153" s="26"/>
      <c r="CJ153" s="180"/>
      <c r="CK153" s="61"/>
      <c r="CL153" s="100"/>
      <c r="CM153" s="43"/>
    </row>
    <row r="154" spans="2:91" ht="20.25" customHeight="1">
      <c r="B154" s="44"/>
      <c r="C154" s="50"/>
      <c r="D154" s="3671"/>
      <c r="E154" s="3671"/>
      <c r="F154" s="3671"/>
      <c r="G154" s="3671"/>
      <c r="H154" s="3671"/>
      <c r="I154" s="3671"/>
      <c r="J154" s="3669"/>
      <c r="K154" s="203"/>
      <c r="L154" s="3669"/>
      <c r="M154" s="203"/>
      <c r="N154" s="3669"/>
      <c r="O154" s="203"/>
      <c r="P154" s="3669"/>
      <c r="Q154" s="203"/>
      <c r="R154" s="3669"/>
      <c r="S154" s="203"/>
      <c r="T154" s="3669"/>
      <c r="U154" s="203"/>
      <c r="V154" s="3669"/>
      <c r="W154" s="26"/>
      <c r="X154" s="3670"/>
      <c r="Z154" s="3669"/>
      <c r="AA154" s="203"/>
      <c r="AB154" s="3669"/>
      <c r="AC154" s="203"/>
      <c r="AD154" s="3669"/>
      <c r="AE154" s="203"/>
      <c r="AF154" s="3669"/>
      <c r="AG154" s="203"/>
      <c r="AH154" s="3669"/>
      <c r="AI154" s="203"/>
      <c r="AJ154" s="3669"/>
      <c r="AK154" s="203"/>
      <c r="AL154" s="3669"/>
      <c r="AM154" s="26"/>
      <c r="AN154" s="3670"/>
      <c r="AO154" s="26"/>
      <c r="AP154" s="180"/>
      <c r="AQ154" s="204"/>
      <c r="AR154" s="205"/>
      <c r="AS154" s="206"/>
      <c r="AT154" s="205"/>
      <c r="AU154" s="207"/>
      <c r="AV154" s="3671"/>
      <c r="AW154" s="3671"/>
      <c r="AX154" s="3671"/>
      <c r="AY154" s="3671"/>
      <c r="AZ154" s="3671"/>
      <c r="BA154" s="3671"/>
      <c r="BB154" s="2846"/>
      <c r="BC154" s="3679"/>
      <c r="BD154" s="203"/>
      <c r="BE154" s="3669"/>
      <c r="BF154" s="203"/>
      <c r="BG154" s="3669"/>
      <c r="BH154" s="203"/>
      <c r="BI154" s="3669"/>
      <c r="BJ154" s="203"/>
      <c r="BK154" s="3669"/>
      <c r="BL154" s="203"/>
      <c r="BM154" s="3669"/>
      <c r="BN154" s="203"/>
      <c r="BO154" s="3669"/>
      <c r="BP154" s="26"/>
      <c r="BQ154" s="3670"/>
      <c r="BR154" s="2845"/>
      <c r="BT154" s="3669"/>
      <c r="BU154" s="203"/>
      <c r="BV154" s="3669"/>
      <c r="BW154" s="203"/>
      <c r="BX154" s="3669"/>
      <c r="BY154" s="203"/>
      <c r="BZ154" s="3669"/>
      <c r="CA154" s="203"/>
      <c r="CB154" s="3669"/>
      <c r="CC154" s="203"/>
      <c r="CD154" s="3669"/>
      <c r="CE154" s="203"/>
      <c r="CF154" s="3669"/>
      <c r="CG154" s="26"/>
      <c r="CH154" s="3670"/>
      <c r="CI154" s="26"/>
      <c r="CJ154" s="180"/>
      <c r="CK154" s="61"/>
      <c r="CL154" s="100"/>
      <c r="CM154" s="43"/>
    </row>
    <row r="155" spans="2:91" ht="6.75" customHeight="1">
      <c r="B155" s="44"/>
      <c r="C155" s="50"/>
      <c r="D155" s="3678"/>
      <c r="E155" s="3678"/>
      <c r="F155" s="3678"/>
      <c r="G155" s="3678"/>
      <c r="H155" s="3678"/>
      <c r="I155" s="3678"/>
      <c r="J155" s="3669"/>
      <c r="K155" s="203"/>
      <c r="L155" s="3669"/>
      <c r="M155" s="203"/>
      <c r="N155" s="3669"/>
      <c r="O155" s="203"/>
      <c r="P155" s="3669"/>
      <c r="Q155" s="203"/>
      <c r="R155" s="3669"/>
      <c r="S155" s="203"/>
      <c r="T155" s="3669"/>
      <c r="U155" s="203"/>
      <c r="V155" s="3669"/>
      <c r="W155" s="26"/>
      <c r="X155" s="3670"/>
      <c r="Z155" s="3669"/>
      <c r="AA155" s="203"/>
      <c r="AB155" s="3669"/>
      <c r="AC155" s="203"/>
      <c r="AD155" s="3669"/>
      <c r="AE155" s="203"/>
      <c r="AF155" s="3669"/>
      <c r="AG155" s="203"/>
      <c r="AH155" s="3669"/>
      <c r="AI155" s="203"/>
      <c r="AJ155" s="3669"/>
      <c r="AK155" s="203"/>
      <c r="AL155" s="3669"/>
      <c r="AM155" s="26"/>
      <c r="AN155" s="3670"/>
      <c r="AO155" s="26"/>
      <c r="AP155" s="180"/>
      <c r="AQ155" s="204"/>
      <c r="AR155" s="205"/>
      <c r="AS155" s="206"/>
      <c r="AT155" s="205"/>
      <c r="AU155" s="207"/>
      <c r="AV155" s="3652"/>
      <c r="AW155" s="3652"/>
      <c r="AX155" s="3652"/>
      <c r="AY155" s="3652"/>
      <c r="AZ155" s="3652"/>
      <c r="BA155" s="3652"/>
      <c r="BB155" s="2838"/>
      <c r="BC155" s="3679"/>
      <c r="BD155" s="203"/>
      <c r="BE155" s="3669"/>
      <c r="BF155" s="203"/>
      <c r="BG155" s="3669"/>
      <c r="BH155" s="203"/>
      <c r="BI155" s="3669"/>
      <c r="BJ155" s="203"/>
      <c r="BK155" s="3669"/>
      <c r="BL155" s="203"/>
      <c r="BM155" s="3669"/>
      <c r="BN155" s="203"/>
      <c r="BO155" s="3669"/>
      <c r="BP155" s="26"/>
      <c r="BQ155" s="3670"/>
      <c r="BR155" s="2845"/>
      <c r="BT155" s="3669"/>
      <c r="BU155" s="203"/>
      <c r="BV155" s="3669"/>
      <c r="BW155" s="203"/>
      <c r="BX155" s="3669"/>
      <c r="BY155" s="203"/>
      <c r="BZ155" s="3669"/>
      <c r="CA155" s="203"/>
      <c r="CB155" s="3669"/>
      <c r="CC155" s="203"/>
      <c r="CD155" s="3669"/>
      <c r="CE155" s="203"/>
      <c r="CF155" s="3669"/>
      <c r="CG155" s="26"/>
      <c r="CH155" s="3670"/>
      <c r="CI155" s="26"/>
      <c r="CJ155" s="180"/>
      <c r="CK155" s="61"/>
      <c r="CL155" s="100"/>
      <c r="CM155" s="43"/>
    </row>
    <row r="156" spans="2:91" ht="5.25" customHeight="1">
      <c r="B156" s="44"/>
      <c r="C156" s="91"/>
      <c r="D156" s="208"/>
      <c r="E156" s="208"/>
      <c r="F156" s="208"/>
      <c r="G156" s="208"/>
      <c r="H156" s="208"/>
      <c r="I156" s="209"/>
      <c r="J156" s="210"/>
      <c r="K156" s="211"/>
      <c r="L156" s="212"/>
      <c r="M156" s="211"/>
      <c r="N156" s="212"/>
      <c r="O156" s="211"/>
      <c r="P156" s="212"/>
      <c r="Q156" s="211"/>
      <c r="R156" s="212"/>
      <c r="S156" s="211"/>
      <c r="T156" s="212"/>
      <c r="U156" s="211"/>
      <c r="V156" s="212"/>
      <c r="W156" s="208"/>
      <c r="X156" s="92"/>
      <c r="Y156" s="92"/>
      <c r="Z156" s="213"/>
      <c r="AA156" s="157"/>
      <c r="AB156" s="214"/>
      <c r="AC156" s="157"/>
      <c r="AD156" s="214"/>
      <c r="AE156" s="157"/>
      <c r="AF156" s="214"/>
      <c r="AG156" s="157"/>
      <c r="AH156" s="214"/>
      <c r="AI156" s="157"/>
      <c r="AJ156" s="214"/>
      <c r="AK156" s="157"/>
      <c r="AL156" s="214"/>
      <c r="AM156" s="208"/>
      <c r="AN156" s="92"/>
      <c r="AO156" s="208"/>
      <c r="AP156" s="92"/>
      <c r="AQ156" s="93"/>
      <c r="AR156" s="99"/>
      <c r="AS156" s="177"/>
      <c r="AT156" s="99"/>
      <c r="AU156" s="91"/>
      <c r="AV156" s="92"/>
      <c r="AW156" s="92"/>
      <c r="AX156" s="208"/>
      <c r="AY156" s="208"/>
      <c r="AZ156" s="208"/>
      <c r="BA156" s="209"/>
      <c r="BB156" s="209"/>
      <c r="BC156" s="210"/>
      <c r="BD156" s="211"/>
      <c r="BE156" s="212"/>
      <c r="BF156" s="211"/>
      <c r="BG156" s="212"/>
      <c r="BH156" s="211"/>
      <c r="BI156" s="212"/>
      <c r="BJ156" s="211"/>
      <c r="BK156" s="212"/>
      <c r="BL156" s="211"/>
      <c r="BM156" s="212"/>
      <c r="BN156" s="211"/>
      <c r="BO156" s="212"/>
      <c r="BP156" s="208"/>
      <c r="BQ156" s="92"/>
      <c r="BR156" s="92"/>
      <c r="BS156" s="92"/>
      <c r="BT156" s="213"/>
      <c r="BU156" s="157"/>
      <c r="BV156" s="214"/>
      <c r="BW156" s="157"/>
      <c r="BX156" s="214"/>
      <c r="BY156" s="157"/>
      <c r="BZ156" s="214"/>
      <c r="CA156" s="157"/>
      <c r="CB156" s="214"/>
      <c r="CC156" s="157"/>
      <c r="CD156" s="214"/>
      <c r="CE156" s="157"/>
      <c r="CF156" s="214"/>
      <c r="CG156" s="208"/>
      <c r="CH156" s="92"/>
      <c r="CI156" s="208"/>
      <c r="CJ156" s="92"/>
      <c r="CK156" s="93"/>
      <c r="CL156" s="100"/>
      <c r="CM156" s="43"/>
    </row>
    <row r="157" spans="2:91" ht="12" customHeight="1">
      <c r="B157" s="94"/>
      <c r="C157" s="95"/>
      <c r="D157" s="95"/>
      <c r="E157" s="95"/>
      <c r="F157" s="95"/>
      <c r="G157" s="95"/>
      <c r="H157" s="95"/>
      <c r="I157" s="95"/>
      <c r="J157" s="95"/>
      <c r="K157" s="95"/>
      <c r="L157" s="95"/>
      <c r="M157" s="95"/>
      <c r="N157" s="95"/>
      <c r="O157" s="95"/>
      <c r="P157" s="95"/>
      <c r="Q157" s="95"/>
      <c r="R157" s="95"/>
      <c r="S157" s="95"/>
      <c r="T157" s="95"/>
      <c r="U157" s="95"/>
      <c r="V157" s="95"/>
      <c r="W157" s="95"/>
      <c r="X157" s="95"/>
      <c r="Y157" s="95"/>
      <c r="Z157" s="95"/>
      <c r="AA157" s="95"/>
      <c r="AB157" s="95"/>
      <c r="AC157" s="95"/>
      <c r="AD157" s="95"/>
      <c r="AE157" s="95"/>
      <c r="AF157" s="95"/>
      <c r="AG157" s="95"/>
      <c r="AH157" s="95"/>
      <c r="AI157" s="95"/>
      <c r="AJ157" s="95"/>
      <c r="AK157" s="95"/>
      <c r="AL157" s="95"/>
      <c r="AM157" s="95"/>
      <c r="AN157" s="95"/>
      <c r="AO157" s="95"/>
      <c r="AP157" s="95"/>
      <c r="AQ157" s="95"/>
      <c r="AR157" s="95"/>
      <c r="AS157" s="177"/>
      <c r="AT157" s="95"/>
      <c r="AU157" s="95"/>
      <c r="AV157" s="95"/>
      <c r="AW157" s="95"/>
      <c r="AX157" s="95"/>
      <c r="AY157" s="95"/>
      <c r="AZ157" s="95"/>
      <c r="BA157" s="95"/>
      <c r="BB157" s="95"/>
      <c r="BC157" s="95"/>
      <c r="BD157" s="95"/>
      <c r="BE157" s="95"/>
      <c r="BF157" s="95"/>
      <c r="BG157" s="95"/>
      <c r="BH157" s="95"/>
      <c r="BI157" s="95"/>
      <c r="BJ157" s="95"/>
      <c r="BK157" s="95"/>
      <c r="BL157" s="95"/>
      <c r="BM157" s="95"/>
      <c r="BN157" s="95"/>
      <c r="BO157" s="95"/>
      <c r="BP157" s="95"/>
      <c r="BQ157" s="95"/>
      <c r="BR157" s="95"/>
      <c r="BS157" s="95"/>
      <c r="BT157" s="95"/>
      <c r="BU157" s="95"/>
      <c r="BV157" s="95"/>
      <c r="BW157" s="95"/>
      <c r="BX157" s="95"/>
      <c r="BY157" s="95"/>
      <c r="BZ157" s="95"/>
      <c r="CA157" s="95"/>
      <c r="CB157" s="95"/>
      <c r="CC157" s="95"/>
      <c r="CD157" s="95"/>
      <c r="CE157" s="95"/>
      <c r="CF157" s="95"/>
      <c r="CG157" s="95"/>
      <c r="CH157" s="95"/>
      <c r="CI157" s="95"/>
      <c r="CJ157" s="95"/>
      <c r="CK157" s="95"/>
      <c r="CL157" s="96"/>
      <c r="CM157" s="43"/>
    </row>
    <row r="158" spans="2:91" ht="12.75" customHeight="1">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c r="AS158" s="59"/>
      <c r="AT158" s="59"/>
      <c r="AU158" s="59"/>
      <c r="AV158" s="59"/>
      <c r="AW158" s="59"/>
      <c r="AX158" s="59"/>
      <c r="AY158" s="59"/>
      <c r="AZ158" s="59"/>
      <c r="BA158" s="59"/>
      <c r="BB158" s="59"/>
      <c r="BC158" s="59"/>
      <c r="BD158" s="59"/>
      <c r="BE158" s="59"/>
      <c r="BF158" s="59"/>
      <c r="BG158" s="59"/>
      <c r="BH158" s="59"/>
      <c r="BI158" s="59"/>
      <c r="BJ158" s="59"/>
      <c r="BK158" s="59"/>
      <c r="BL158" s="59"/>
      <c r="BM158" s="59"/>
      <c r="BN158" s="59"/>
      <c r="BO158" s="59"/>
      <c r="BP158" s="59"/>
      <c r="BQ158" s="59"/>
      <c r="BR158" s="59"/>
      <c r="BS158" s="59"/>
      <c r="BT158" s="59"/>
      <c r="BU158" s="59"/>
      <c r="BV158" s="59"/>
      <c r="BW158" s="59"/>
      <c r="BX158" s="59"/>
      <c r="BY158" s="59"/>
      <c r="BZ158" s="59"/>
      <c r="CA158" s="59"/>
      <c r="CB158" s="59"/>
      <c r="CC158" s="59"/>
      <c r="CD158" s="59"/>
      <c r="CE158" s="59"/>
      <c r="CF158" s="59"/>
      <c r="CG158" s="59"/>
      <c r="CH158" s="59"/>
      <c r="CI158" s="59"/>
      <c r="CJ158" s="59"/>
      <c r="CK158" s="59"/>
      <c r="CL158" s="59"/>
      <c r="CM158" s="59"/>
    </row>
    <row r="159" spans="2:91" ht="22.5" customHeight="1">
      <c r="B159" s="36"/>
      <c r="C159" s="1014" t="s">
        <v>317</v>
      </c>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7"/>
      <c r="AV159" s="37"/>
      <c r="AW159" s="37"/>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6"/>
      <c r="CG159" s="36"/>
      <c r="CH159" s="39"/>
      <c r="CI159" s="36"/>
      <c r="CJ159" s="3574"/>
      <c r="CK159" s="3574"/>
      <c r="CL159" s="38"/>
    </row>
    <row r="160" spans="2:91" ht="6.75" customHeight="1"/>
    <row r="161" spans="2:91" ht="12" customHeight="1">
      <c r="B161" s="40"/>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c r="AD161" s="41"/>
      <c r="AE161" s="41"/>
      <c r="AF161" s="41"/>
      <c r="AG161" s="41"/>
      <c r="AH161" s="41"/>
      <c r="AI161" s="41"/>
      <c r="AJ161" s="41"/>
      <c r="AK161" s="41"/>
      <c r="AL161" s="41"/>
      <c r="AM161" s="41"/>
      <c r="AN161" s="41"/>
      <c r="AO161" s="41"/>
      <c r="AP161" s="41"/>
      <c r="AQ161" s="41"/>
      <c r="AR161" s="41"/>
      <c r="AS161" s="41"/>
      <c r="AT161" s="41"/>
      <c r="AU161" s="41"/>
      <c r="AV161" s="41"/>
      <c r="AW161" s="41"/>
      <c r="AX161" s="41"/>
      <c r="AY161" s="41"/>
      <c r="AZ161" s="41"/>
      <c r="BA161" s="41"/>
      <c r="BB161" s="41"/>
      <c r="BC161" s="41"/>
      <c r="BD161" s="41"/>
      <c r="BE161" s="41"/>
      <c r="BF161" s="41"/>
      <c r="BG161" s="41"/>
      <c r="BH161" s="41"/>
      <c r="BI161" s="41"/>
      <c r="BJ161" s="41"/>
      <c r="BK161" s="41"/>
      <c r="BL161" s="41"/>
      <c r="BM161" s="41"/>
      <c r="BN161" s="41"/>
      <c r="BO161" s="41"/>
      <c r="BP161" s="41"/>
      <c r="BQ161" s="41"/>
      <c r="BR161" s="41"/>
      <c r="BS161" s="41"/>
      <c r="BT161" s="41"/>
      <c r="BU161" s="41"/>
      <c r="BV161" s="41"/>
      <c r="BW161" s="41"/>
      <c r="BX161" s="41"/>
      <c r="BY161" s="41"/>
      <c r="BZ161" s="41"/>
      <c r="CA161" s="41"/>
      <c r="CB161" s="41"/>
      <c r="CC161" s="41"/>
      <c r="CD161" s="41"/>
      <c r="CE161" s="41"/>
      <c r="CF161" s="41"/>
      <c r="CG161" s="41"/>
      <c r="CH161" s="41"/>
      <c r="CI161" s="41"/>
      <c r="CJ161" s="41"/>
      <c r="CK161" s="41"/>
      <c r="CL161" s="42"/>
      <c r="CM161" s="43"/>
    </row>
    <row r="162" spans="2:91" ht="9.75" customHeight="1">
      <c r="B162" s="44"/>
      <c r="C162" s="45"/>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46"/>
      <c r="CB162" s="46"/>
      <c r="CC162" s="46"/>
      <c r="CD162" s="46"/>
      <c r="CE162" s="46"/>
      <c r="CF162" s="46"/>
      <c r="CG162" s="46"/>
      <c r="CH162" s="46"/>
      <c r="CI162" s="46"/>
      <c r="CJ162" s="46"/>
      <c r="CK162" s="47"/>
      <c r="CL162" s="100"/>
      <c r="CM162" s="43"/>
    </row>
    <row r="163" spans="2:91" ht="15" customHeight="1">
      <c r="B163" s="44"/>
      <c r="C163" s="50"/>
      <c r="D163" s="3672" t="str">
        <f>IF('CALCULS Eau potable'!F350=0,"",'CALCULS Eau potable'!F350)</f>
        <v/>
      </c>
      <c r="E163" s="3672"/>
      <c r="F163" s="3672"/>
      <c r="G163" s="3672"/>
      <c r="H163" s="3672"/>
      <c r="I163" s="3672"/>
      <c r="J163" s="3672"/>
      <c r="K163" s="3672"/>
      <c r="L163" s="3672"/>
      <c r="M163" s="3672"/>
      <c r="N163" s="3672"/>
      <c r="O163" s="3672"/>
      <c r="P163" s="3672"/>
      <c r="Q163" s="3672"/>
      <c r="R163" s="3672"/>
      <c r="S163" s="3672"/>
      <c r="T163" s="3672"/>
      <c r="U163" s="3672"/>
      <c r="V163" s="3672"/>
      <c r="W163" s="3672"/>
      <c r="X163" s="3672"/>
      <c r="Y163" s="3672"/>
      <c r="Z163" s="3672"/>
      <c r="AA163" s="3672"/>
      <c r="AB163" s="3672"/>
      <c r="AC163" s="3672"/>
      <c r="AD163" s="3672"/>
      <c r="AE163" s="3672"/>
      <c r="AF163" s="3672"/>
      <c r="AG163" s="3672"/>
      <c r="AH163" s="3672"/>
      <c r="AI163" s="3672"/>
      <c r="AJ163" s="3672"/>
      <c r="AK163" s="3672"/>
      <c r="AL163" s="3672"/>
      <c r="AM163" s="3672"/>
      <c r="AN163" s="3672"/>
      <c r="AO163" s="3672"/>
      <c r="AP163" s="3672"/>
      <c r="AQ163" s="3672"/>
      <c r="AR163" s="3672"/>
      <c r="AS163" s="3672"/>
      <c r="AT163" s="3672"/>
      <c r="AU163" s="3672"/>
      <c r="AV163" s="3672"/>
      <c r="AW163" s="3672"/>
      <c r="AX163" s="3672"/>
      <c r="AY163" s="3672"/>
      <c r="AZ163" s="3672"/>
      <c r="BA163" s="3672"/>
      <c r="BB163" s="3672"/>
      <c r="BC163" s="3672"/>
      <c r="BD163" s="3672"/>
      <c r="BE163" s="3672"/>
      <c r="BF163" s="3672"/>
      <c r="BG163" s="3672"/>
      <c r="BH163" s="3672"/>
      <c r="BI163" s="3672"/>
      <c r="BJ163" s="3672"/>
      <c r="BK163" s="3672"/>
      <c r="BL163" s="3672"/>
      <c r="BM163" s="3672"/>
      <c r="BN163" s="3672"/>
      <c r="BO163" s="3672"/>
      <c r="BP163" s="3672"/>
      <c r="BQ163" s="3672"/>
      <c r="BR163" s="3672"/>
      <c r="BS163" s="3672"/>
      <c r="BT163" s="3672"/>
      <c r="BU163" s="3672"/>
      <c r="BV163" s="3672"/>
      <c r="BW163" s="3672"/>
      <c r="BX163" s="3672"/>
      <c r="BY163" s="3672"/>
      <c r="BZ163" s="3672"/>
      <c r="CA163" s="3672"/>
      <c r="CB163" s="3672"/>
      <c r="CC163" s="3672"/>
      <c r="CD163" s="3672"/>
      <c r="CE163" s="3672"/>
      <c r="CF163" s="3672"/>
      <c r="CG163" s="3672"/>
      <c r="CH163" s="3672"/>
      <c r="CI163" s="3672"/>
      <c r="CJ163" s="3672"/>
      <c r="CK163" s="61"/>
      <c r="CL163" s="100"/>
      <c r="CM163" s="43"/>
    </row>
    <row r="164" spans="2:91" ht="15" customHeight="1">
      <c r="B164" s="44"/>
      <c r="C164" s="50"/>
      <c r="D164" s="3672"/>
      <c r="E164" s="3672"/>
      <c r="F164" s="3672"/>
      <c r="G164" s="3672"/>
      <c r="H164" s="3672"/>
      <c r="I164" s="3672"/>
      <c r="J164" s="3672"/>
      <c r="K164" s="3672"/>
      <c r="L164" s="3672"/>
      <c r="M164" s="3672"/>
      <c r="N164" s="3672"/>
      <c r="O164" s="3672"/>
      <c r="P164" s="3672"/>
      <c r="Q164" s="3672"/>
      <c r="R164" s="3672"/>
      <c r="S164" s="3672"/>
      <c r="T164" s="3672"/>
      <c r="U164" s="3672"/>
      <c r="V164" s="3672"/>
      <c r="W164" s="3672"/>
      <c r="X164" s="3672"/>
      <c r="Y164" s="3672"/>
      <c r="Z164" s="3672"/>
      <c r="AA164" s="3672"/>
      <c r="AB164" s="3672"/>
      <c r="AC164" s="3672"/>
      <c r="AD164" s="3672"/>
      <c r="AE164" s="3672"/>
      <c r="AF164" s="3672"/>
      <c r="AG164" s="3672"/>
      <c r="AH164" s="3672"/>
      <c r="AI164" s="3672"/>
      <c r="AJ164" s="3672"/>
      <c r="AK164" s="3672"/>
      <c r="AL164" s="3672"/>
      <c r="AM164" s="3672"/>
      <c r="AN164" s="3672"/>
      <c r="AO164" s="3672"/>
      <c r="AP164" s="3672"/>
      <c r="AQ164" s="3672"/>
      <c r="AR164" s="3672"/>
      <c r="AS164" s="3672"/>
      <c r="AT164" s="3672"/>
      <c r="AU164" s="3672"/>
      <c r="AV164" s="3672"/>
      <c r="AW164" s="3672"/>
      <c r="AX164" s="3672"/>
      <c r="AY164" s="3672"/>
      <c r="AZ164" s="3672"/>
      <c r="BA164" s="3672"/>
      <c r="BB164" s="3672"/>
      <c r="BC164" s="3672"/>
      <c r="BD164" s="3672"/>
      <c r="BE164" s="3672"/>
      <c r="BF164" s="3672"/>
      <c r="BG164" s="3672"/>
      <c r="BH164" s="3672"/>
      <c r="BI164" s="3672"/>
      <c r="BJ164" s="3672"/>
      <c r="BK164" s="3672"/>
      <c r="BL164" s="3672"/>
      <c r="BM164" s="3672"/>
      <c r="BN164" s="3672"/>
      <c r="BO164" s="3672"/>
      <c r="BP164" s="3672"/>
      <c r="BQ164" s="3672"/>
      <c r="BR164" s="3672"/>
      <c r="BS164" s="3672"/>
      <c r="BT164" s="3672"/>
      <c r="BU164" s="3672"/>
      <c r="BV164" s="3672"/>
      <c r="BW164" s="3672"/>
      <c r="BX164" s="3672"/>
      <c r="BY164" s="3672"/>
      <c r="BZ164" s="3672"/>
      <c r="CA164" s="3672"/>
      <c r="CB164" s="3672"/>
      <c r="CC164" s="3672"/>
      <c r="CD164" s="3672"/>
      <c r="CE164" s="3672"/>
      <c r="CF164" s="3672"/>
      <c r="CG164" s="3672"/>
      <c r="CH164" s="3672"/>
      <c r="CI164" s="3672"/>
      <c r="CJ164" s="3672"/>
      <c r="CK164" s="61"/>
      <c r="CL164" s="100"/>
      <c r="CM164" s="43"/>
    </row>
    <row r="165" spans="2:91" ht="8.25" customHeight="1">
      <c r="B165" s="44"/>
      <c r="C165" s="91"/>
      <c r="D165" s="105"/>
      <c r="E165" s="105"/>
      <c r="F165" s="105"/>
      <c r="G165" s="105"/>
      <c r="H165" s="105"/>
      <c r="I165" s="92"/>
      <c r="J165" s="92"/>
      <c r="K165" s="92"/>
      <c r="L165" s="92"/>
      <c r="M165" s="92"/>
      <c r="N165" s="92"/>
      <c r="O165" s="92"/>
      <c r="P165" s="92"/>
      <c r="Q165" s="92"/>
      <c r="R165" s="92"/>
      <c r="S165" s="92"/>
      <c r="T165" s="92"/>
      <c r="U165" s="92"/>
      <c r="V165" s="92"/>
      <c r="W165" s="92"/>
      <c r="X165" s="92"/>
      <c r="Y165" s="92"/>
      <c r="Z165" s="92"/>
      <c r="AA165" s="92"/>
      <c r="AB165" s="92"/>
      <c r="AC165" s="92"/>
      <c r="AD165" s="92"/>
      <c r="AE165" s="92"/>
      <c r="AF165" s="92"/>
      <c r="AG165" s="92"/>
      <c r="AH165" s="92"/>
      <c r="AI165" s="92"/>
      <c r="AJ165" s="92"/>
      <c r="AK165" s="92"/>
      <c r="AL165" s="92"/>
      <c r="AM165" s="92"/>
      <c r="AN165" s="92"/>
      <c r="AO165" s="92"/>
      <c r="AP165" s="92"/>
      <c r="AQ165" s="92"/>
      <c r="AR165" s="92"/>
      <c r="AS165" s="92"/>
      <c r="AT165" s="92"/>
      <c r="AU165" s="92"/>
      <c r="AV165" s="92"/>
      <c r="AW165" s="92"/>
      <c r="AX165" s="92"/>
      <c r="AY165" s="92"/>
      <c r="AZ165" s="92"/>
      <c r="BA165" s="92"/>
      <c r="BB165" s="92"/>
      <c r="BC165" s="92"/>
      <c r="BD165" s="92"/>
      <c r="BE165" s="92"/>
      <c r="BF165" s="92"/>
      <c r="BG165" s="92"/>
      <c r="BH165" s="92"/>
      <c r="BI165" s="92"/>
      <c r="BJ165" s="92"/>
      <c r="BK165" s="92"/>
      <c r="BL165" s="92"/>
      <c r="BM165" s="92"/>
      <c r="BN165" s="92"/>
      <c r="BO165" s="92"/>
      <c r="BP165" s="92"/>
      <c r="BQ165" s="92"/>
      <c r="BR165" s="92"/>
      <c r="BS165" s="92"/>
      <c r="BT165" s="92"/>
      <c r="BU165" s="92"/>
      <c r="BV165" s="92"/>
      <c r="BW165" s="92"/>
      <c r="BX165" s="92"/>
      <c r="BY165" s="92"/>
      <c r="BZ165" s="92"/>
      <c r="CA165" s="92"/>
      <c r="CB165" s="92"/>
      <c r="CC165" s="92"/>
      <c r="CD165" s="92"/>
      <c r="CE165" s="92"/>
      <c r="CF165" s="92"/>
      <c r="CG165" s="92"/>
      <c r="CH165" s="92"/>
      <c r="CI165" s="92"/>
      <c r="CJ165" s="92"/>
      <c r="CK165" s="93"/>
      <c r="CL165" s="100"/>
      <c r="CM165" s="43"/>
    </row>
    <row r="166" spans="2:91" ht="11.25" customHeight="1">
      <c r="B166" s="94"/>
      <c r="C166" s="95"/>
      <c r="D166" s="95"/>
      <c r="E166" s="95"/>
      <c r="F166" s="95"/>
      <c r="G166" s="95"/>
      <c r="H166" s="95"/>
      <c r="I166" s="95"/>
      <c r="J166" s="95"/>
      <c r="K166" s="95"/>
      <c r="L166" s="95"/>
      <c r="M166" s="95"/>
      <c r="N166" s="95"/>
      <c r="O166" s="95"/>
      <c r="P166" s="95"/>
      <c r="Q166" s="95"/>
      <c r="R166" s="95"/>
      <c r="S166" s="95"/>
      <c r="T166" s="95"/>
      <c r="U166" s="95"/>
      <c r="V166" s="95"/>
      <c r="W166" s="95"/>
      <c r="X166" s="95"/>
      <c r="Y166" s="95"/>
      <c r="Z166" s="95"/>
      <c r="AA166" s="95"/>
      <c r="AB166" s="95"/>
      <c r="AC166" s="95"/>
      <c r="AD166" s="95"/>
      <c r="AE166" s="95"/>
      <c r="AF166" s="95"/>
      <c r="AG166" s="95"/>
      <c r="AH166" s="95"/>
      <c r="AI166" s="95"/>
      <c r="AJ166" s="95"/>
      <c r="AK166" s="95"/>
      <c r="AL166" s="95"/>
      <c r="AM166" s="95"/>
      <c r="AN166" s="95"/>
      <c r="AO166" s="95"/>
      <c r="AP166" s="95"/>
      <c r="AQ166" s="95"/>
      <c r="AR166" s="95"/>
      <c r="AS166" s="95"/>
      <c r="AT166" s="95"/>
      <c r="AU166" s="95"/>
      <c r="AV166" s="95"/>
      <c r="AW166" s="95"/>
      <c r="AX166" s="95"/>
      <c r="AY166" s="95"/>
      <c r="AZ166" s="95"/>
      <c r="BA166" s="95"/>
      <c r="BB166" s="95"/>
      <c r="BC166" s="95"/>
      <c r="BD166" s="95"/>
      <c r="BE166" s="95"/>
      <c r="BF166" s="95"/>
      <c r="BG166" s="95"/>
      <c r="BH166" s="95"/>
      <c r="BI166" s="95"/>
      <c r="BJ166" s="95"/>
      <c r="BK166" s="95"/>
      <c r="BL166" s="95"/>
      <c r="BM166" s="95"/>
      <c r="BN166" s="95"/>
      <c r="BO166" s="95"/>
      <c r="BP166" s="95"/>
      <c r="BQ166" s="95"/>
      <c r="BR166" s="95"/>
      <c r="BS166" s="95"/>
      <c r="BT166" s="95"/>
      <c r="BU166" s="95"/>
      <c r="BV166" s="95"/>
      <c r="BW166" s="95"/>
      <c r="BX166" s="95"/>
      <c r="BY166" s="95"/>
      <c r="BZ166" s="95"/>
      <c r="CA166" s="95"/>
      <c r="CB166" s="95"/>
      <c r="CC166" s="95"/>
      <c r="CD166" s="95"/>
      <c r="CE166" s="95"/>
      <c r="CF166" s="95"/>
      <c r="CG166" s="95"/>
      <c r="CH166" s="95"/>
      <c r="CI166" s="95"/>
      <c r="CJ166" s="95"/>
      <c r="CK166" s="95"/>
      <c r="CL166" s="96"/>
      <c r="CM166" s="43"/>
    </row>
    <row r="167" spans="2:91" ht="9.75" customHeight="1">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c r="AA167" s="59"/>
      <c r="AB167" s="59"/>
      <c r="AC167" s="59"/>
      <c r="AD167" s="59"/>
      <c r="AE167" s="59"/>
      <c r="AF167" s="59"/>
      <c r="AG167" s="59"/>
      <c r="AH167" s="59"/>
      <c r="AI167" s="59"/>
      <c r="AJ167" s="59"/>
      <c r="AK167" s="59"/>
      <c r="AL167" s="59"/>
      <c r="AM167" s="59"/>
      <c r="AN167" s="59"/>
      <c r="AO167" s="59"/>
      <c r="AP167" s="59"/>
      <c r="AQ167" s="59"/>
      <c r="AR167" s="59"/>
      <c r="AS167" s="59"/>
      <c r="AT167" s="59"/>
      <c r="AU167" s="59"/>
      <c r="AV167" s="59"/>
      <c r="AW167" s="59"/>
      <c r="AX167" s="59"/>
      <c r="AY167" s="59"/>
      <c r="AZ167" s="59"/>
      <c r="BA167" s="59"/>
      <c r="BB167" s="59"/>
      <c r="BC167" s="59"/>
      <c r="BD167" s="59"/>
      <c r="BE167" s="59"/>
      <c r="BF167" s="59"/>
      <c r="BG167" s="59"/>
      <c r="BH167" s="59"/>
      <c r="BI167" s="59"/>
      <c r="BJ167" s="59"/>
      <c r="BK167" s="59"/>
      <c r="BL167" s="59"/>
      <c r="BM167" s="59"/>
      <c r="BN167" s="59"/>
      <c r="BO167" s="59"/>
      <c r="BP167" s="59"/>
      <c r="BQ167" s="59"/>
      <c r="BR167" s="59"/>
      <c r="BS167" s="59"/>
      <c r="BT167" s="59"/>
      <c r="BU167" s="59"/>
      <c r="BV167" s="59"/>
      <c r="BW167" s="59"/>
      <c r="BX167" s="59"/>
      <c r="BY167" s="59"/>
      <c r="BZ167" s="59"/>
      <c r="CA167" s="59"/>
      <c r="CB167" s="59"/>
      <c r="CC167" s="59"/>
      <c r="CD167" s="59"/>
      <c r="CE167" s="59"/>
      <c r="CF167" s="59"/>
      <c r="CG167" s="59"/>
      <c r="CH167" s="59"/>
      <c r="CI167" s="59"/>
      <c r="CJ167" s="59"/>
      <c r="CK167" s="59"/>
      <c r="CL167" s="59"/>
      <c r="CM167" s="59"/>
    </row>
    <row r="171" spans="2:91" ht="15.75" customHeight="1">
      <c r="BS171" s="59"/>
      <c r="BU171" s="371"/>
      <c r="BV171" s="371"/>
      <c r="BW171" s="371"/>
      <c r="BX171" s="371"/>
      <c r="BY171" s="371"/>
      <c r="BZ171" s="371"/>
      <c r="CA171" s="371"/>
      <c r="CB171" s="371"/>
      <c r="CC171" s="371"/>
      <c r="CD171" s="371"/>
      <c r="CE171" s="371"/>
      <c r="CF171" s="371"/>
      <c r="CG171" s="371"/>
      <c r="CH171" s="371"/>
    </row>
    <row r="172" spans="2:91">
      <c r="BU172" s="371"/>
      <c r="BV172" s="371"/>
      <c r="BW172" s="371"/>
      <c r="BX172" s="371"/>
      <c r="BY172" s="371"/>
      <c r="BZ172" s="371"/>
      <c r="CA172" s="371"/>
      <c r="CB172" s="371"/>
      <c r="CC172" s="371"/>
      <c r="CD172" s="371"/>
      <c r="CE172" s="371"/>
      <c r="CF172" s="371"/>
      <c r="CG172" s="371"/>
      <c r="CH172" s="371"/>
    </row>
    <row r="173" spans="2:91">
      <c r="BS173" s="59"/>
      <c r="BT173" s="371"/>
      <c r="BU173" s="371"/>
      <c r="BV173" s="371"/>
      <c r="BW173" s="371"/>
      <c r="BX173" s="371"/>
      <c r="BY173" s="371"/>
      <c r="BZ173" s="371"/>
      <c r="CA173" s="371"/>
      <c r="CB173" s="371"/>
      <c r="CC173" s="371"/>
      <c r="CD173" s="371"/>
      <c r="CE173" s="371"/>
      <c r="CF173" s="371"/>
      <c r="CG173" s="371"/>
      <c r="CH173" s="371"/>
    </row>
  </sheetData>
  <sheetProtection algorithmName="SHA-512" hashValue="rym4P7W4sPFfsNNTTJTV8upDvBlpAIDf+awWQLO3KeCtC2cJY8FQrh1jUjW2lwL2IN1KhtBtejzT2pPMVqWZrw==" saltValue="IFxoUaYt2FSdCC70kjqrXA==" spinCount="100000" sheet="1" objects="1" scenarios="1"/>
  <mergeCells count="244">
    <mergeCell ref="AH2:BA2"/>
    <mergeCell ref="E112:G113"/>
    <mergeCell ref="H112:L113"/>
    <mergeCell ref="N112:V113"/>
    <mergeCell ref="W112:Z113"/>
    <mergeCell ref="AB112:AG113"/>
    <mergeCell ref="AK112:AP113"/>
    <mergeCell ref="AQ112:AV113"/>
    <mergeCell ref="AW112:BA113"/>
    <mergeCell ref="AN58:AP58"/>
    <mergeCell ref="BA48:BE48"/>
    <mergeCell ref="BA49:BE49"/>
    <mergeCell ref="BA45:BE45"/>
    <mergeCell ref="J104:M104"/>
    <mergeCell ref="AD104:AG104"/>
    <mergeCell ref="AJ104:AQ104"/>
    <mergeCell ref="AR104:AT104"/>
    <mergeCell ref="AU87:AX87"/>
    <mergeCell ref="BA91:BE91"/>
    <mergeCell ref="BB112:BH113"/>
    <mergeCell ref="D47:N48"/>
    <mergeCell ref="D49:N50"/>
    <mergeCell ref="O49:X50"/>
    <mergeCell ref="O47:X48"/>
    <mergeCell ref="O45:X46"/>
    <mergeCell ref="E14:I14"/>
    <mergeCell ref="E22:I22"/>
    <mergeCell ref="E18:I18"/>
    <mergeCell ref="E20:I20"/>
    <mergeCell ref="E24:I24"/>
    <mergeCell ref="D45:N46"/>
    <mergeCell ref="D13:D14"/>
    <mergeCell ref="D15:D16"/>
    <mergeCell ref="D17:D18"/>
    <mergeCell ref="D19:D20"/>
    <mergeCell ref="D21:D22"/>
    <mergeCell ref="D23:D24"/>
    <mergeCell ref="F31:Q31"/>
    <mergeCell ref="F30:Q30"/>
    <mergeCell ref="F29:Q29"/>
    <mergeCell ref="R31:AC31"/>
    <mergeCell ref="R30:AC30"/>
    <mergeCell ref="R29:AC29"/>
    <mergeCell ref="CJ159:CK159"/>
    <mergeCell ref="D163:CJ164"/>
    <mergeCell ref="AJ25:AL26"/>
    <mergeCell ref="BI25:BK26"/>
    <mergeCell ref="AJ16:AL17"/>
    <mergeCell ref="BI16:BK17"/>
    <mergeCell ref="E16:I16"/>
    <mergeCell ref="BA46:BE47"/>
    <mergeCell ref="CB153:CB155"/>
    <mergeCell ref="CD153:CD155"/>
    <mergeCell ref="CF153:CF155"/>
    <mergeCell ref="CH153:CH155"/>
    <mergeCell ref="D155:I155"/>
    <mergeCell ref="AV155:BA155"/>
    <mergeCell ref="BO153:BO155"/>
    <mergeCell ref="BQ153:BQ155"/>
    <mergeCell ref="BT153:BT155"/>
    <mergeCell ref="BV153:BV155"/>
    <mergeCell ref="BX153:BX155"/>
    <mergeCell ref="BZ153:BZ155"/>
    <mergeCell ref="BC153:BC155"/>
    <mergeCell ref="BE153:BE155"/>
    <mergeCell ref="BG153:BG155"/>
    <mergeCell ref="AC46:AV47"/>
    <mergeCell ref="BI153:BI155"/>
    <mergeCell ref="BK153:BK155"/>
    <mergeCell ref="BM153:BM155"/>
    <mergeCell ref="AF153:AF155"/>
    <mergeCell ref="AH153:AH155"/>
    <mergeCell ref="AJ153:AJ155"/>
    <mergeCell ref="AL153:AL155"/>
    <mergeCell ref="AN153:AN155"/>
    <mergeCell ref="AV153:BA154"/>
    <mergeCell ref="T153:T155"/>
    <mergeCell ref="V153:V155"/>
    <mergeCell ref="X153:X155"/>
    <mergeCell ref="Z153:Z155"/>
    <mergeCell ref="AB153:AB155"/>
    <mergeCell ref="AD153:AD155"/>
    <mergeCell ref="D153:I154"/>
    <mergeCell ref="J153:J155"/>
    <mergeCell ref="L153:L155"/>
    <mergeCell ref="N153:N155"/>
    <mergeCell ref="P153:P155"/>
    <mergeCell ref="R153:R155"/>
    <mergeCell ref="AV147:AY147"/>
    <mergeCell ref="AV148:AY148"/>
    <mergeCell ref="AV149:AY149"/>
    <mergeCell ref="AV150:AY150"/>
    <mergeCell ref="AV151:AY151"/>
    <mergeCell ref="D152:I152"/>
    <mergeCell ref="AV152:BA152"/>
    <mergeCell ref="BJ143:BL143"/>
    <mergeCell ref="BS143:BV143"/>
    <mergeCell ref="D146:I146"/>
    <mergeCell ref="AX146:BA146"/>
    <mergeCell ref="AD143:AF143"/>
    <mergeCell ref="AG143:AI143"/>
    <mergeCell ref="AL143:AN143"/>
    <mergeCell ref="BA143:BE143"/>
    <mergeCell ref="BG143:BI143"/>
    <mergeCell ref="D143:H145"/>
    <mergeCell ref="AM139:AN139"/>
    <mergeCell ref="AL142:AN142"/>
    <mergeCell ref="CF142:CH142"/>
    <mergeCell ref="I143:L143"/>
    <mergeCell ref="N143:P143"/>
    <mergeCell ref="Q143:S143"/>
    <mergeCell ref="Y143:AB143"/>
    <mergeCell ref="BX143:BZ143"/>
    <mergeCell ref="CA143:CC143"/>
    <mergeCell ref="CF143:CH143"/>
    <mergeCell ref="AV143:AZ145"/>
    <mergeCell ref="AP135:AQ135"/>
    <mergeCell ref="CJ135:CK135"/>
    <mergeCell ref="V130:X130"/>
    <mergeCell ref="D125:Y125"/>
    <mergeCell ref="AE125:BB125"/>
    <mergeCell ref="BH125:CJ125"/>
    <mergeCell ref="CD130:CG130"/>
    <mergeCell ref="CH130:CJ130"/>
    <mergeCell ref="AY131:AZ131"/>
    <mergeCell ref="AY130:AZ130"/>
    <mergeCell ref="BA131:BB131"/>
    <mergeCell ref="BA130:BB130"/>
    <mergeCell ref="CH58:CJ58"/>
    <mergeCell ref="E114:G114"/>
    <mergeCell ref="AB114:AG114"/>
    <mergeCell ref="W114:Z114"/>
    <mergeCell ref="N114:V114"/>
    <mergeCell ref="H114:L114"/>
    <mergeCell ref="V131:X131"/>
    <mergeCell ref="CD131:CG131"/>
    <mergeCell ref="BI112:BN113"/>
    <mergeCell ref="CG113:CJ115"/>
    <mergeCell ref="CH131:CJ131"/>
    <mergeCell ref="CJ119:CK119"/>
    <mergeCell ref="Y123:Z123"/>
    <mergeCell ref="BA123:BC123"/>
    <mergeCell ref="CJ123:CK123"/>
    <mergeCell ref="CB113:CF115"/>
    <mergeCell ref="BS113:BX115"/>
    <mergeCell ref="AK114:AP114"/>
    <mergeCell ref="AW114:AY114"/>
    <mergeCell ref="AQ114:AV114"/>
    <mergeCell ref="AU111:AV111"/>
    <mergeCell ref="AZ111:BA111"/>
    <mergeCell ref="BG111:BH111"/>
    <mergeCell ref="D104:H104"/>
    <mergeCell ref="CJ54:CK54"/>
    <mergeCell ref="AX46:AX47"/>
    <mergeCell ref="CF47:CG48"/>
    <mergeCell ref="CF45:CG46"/>
    <mergeCell ref="CH47:CJ48"/>
    <mergeCell ref="CH45:CJ46"/>
    <mergeCell ref="BM47:BW48"/>
    <mergeCell ref="BM45:BW46"/>
    <mergeCell ref="BA50:BE50"/>
    <mergeCell ref="CH49:CJ50"/>
    <mergeCell ref="BM49:BW50"/>
    <mergeCell ref="BX49:BZ50"/>
    <mergeCell ref="CA49:CB50"/>
    <mergeCell ref="CF49:CG50"/>
    <mergeCell ref="CE17:CI17"/>
    <mergeCell ref="AD3:BE4"/>
    <mergeCell ref="CG4:CK4"/>
    <mergeCell ref="BZ6:CL6"/>
    <mergeCell ref="CJ8:CK8"/>
    <mergeCell ref="AB12:AD12"/>
    <mergeCell ref="BX47:BZ48"/>
    <mergeCell ref="BX45:BZ46"/>
    <mergeCell ref="CA47:CB48"/>
    <mergeCell ref="CA45:CB46"/>
    <mergeCell ref="CJ36:CK36"/>
    <mergeCell ref="BE40:BG40"/>
    <mergeCell ref="CI40:CJ40"/>
    <mergeCell ref="AR42:AV42"/>
    <mergeCell ref="AX42:AY42"/>
    <mergeCell ref="BA42:BF42"/>
    <mergeCell ref="BX42:CD42"/>
    <mergeCell ref="CF42:CJ42"/>
    <mergeCell ref="BZ113:BZ115"/>
    <mergeCell ref="BI114:BN114"/>
    <mergeCell ref="BB114:BG114"/>
    <mergeCell ref="CG111:CJ111"/>
    <mergeCell ref="CG108:CJ108"/>
    <mergeCell ref="CB111:CF111"/>
    <mergeCell ref="CB108:CF108"/>
    <mergeCell ref="BA87:BE87"/>
    <mergeCell ref="BI87:BN87"/>
    <mergeCell ref="BK104:BN104"/>
    <mergeCell ref="BS107:BX108"/>
    <mergeCell ref="BS110:BX111"/>
    <mergeCell ref="CJ102:CK102"/>
    <mergeCell ref="CC96:CK97"/>
    <mergeCell ref="CC98:CD99"/>
    <mergeCell ref="CE98:CK100"/>
    <mergeCell ref="BT104:CK105"/>
    <mergeCell ref="BA93:BE93"/>
    <mergeCell ref="BT98:BX99"/>
    <mergeCell ref="BI96:BN96"/>
    <mergeCell ref="BR96:CB97"/>
    <mergeCell ref="BS98:BS99"/>
    <mergeCell ref="BA89:BE89"/>
    <mergeCell ref="BI89:BN89"/>
    <mergeCell ref="Y54:Z54"/>
    <mergeCell ref="AA54:AB54"/>
    <mergeCell ref="BA54:BC54"/>
    <mergeCell ref="BD54:BE54"/>
    <mergeCell ref="BF54:BG54"/>
    <mergeCell ref="BU85:BW85"/>
    <mergeCell ref="BX85:BZ85"/>
    <mergeCell ref="BH54:BI54"/>
    <mergeCell ref="BJ54:BK54"/>
    <mergeCell ref="BL54:BM54"/>
    <mergeCell ref="BN54:BO54"/>
    <mergeCell ref="CJ78:CK78"/>
    <mergeCell ref="AD82:AF82"/>
    <mergeCell ref="BA83:BG83"/>
    <mergeCell ref="BK83:BM83"/>
    <mergeCell ref="BU84:BW84"/>
    <mergeCell ref="BX84:BZ84"/>
    <mergeCell ref="BZ74:CJ74"/>
    <mergeCell ref="BA85:BE85"/>
    <mergeCell ref="D71:G73"/>
    <mergeCell ref="AW71:AZ73"/>
    <mergeCell ref="AF74:AP74"/>
    <mergeCell ref="T74:AC74"/>
    <mergeCell ref="H74:R74"/>
    <mergeCell ref="BN74:BX74"/>
    <mergeCell ref="BA74:BM74"/>
    <mergeCell ref="AU85:AX85"/>
    <mergeCell ref="BI91:BN91"/>
    <mergeCell ref="AU89:AX89"/>
    <mergeCell ref="AU91:AX91"/>
    <mergeCell ref="AU93:AX93"/>
    <mergeCell ref="AU96:AX96"/>
    <mergeCell ref="AU104:AW104"/>
    <mergeCell ref="BI85:BN85"/>
    <mergeCell ref="BI93:BN93"/>
    <mergeCell ref="BA96:BE96"/>
  </mergeCells>
  <conditionalFormatting sqref="Y40">
    <cfRule type="iconSet" priority="26">
      <iconSet iconSet="5Rating" showValue="0">
        <cfvo type="percent" val="0"/>
        <cfvo type="num" val="1" gte="0"/>
        <cfvo type="num" val="2" gte="0"/>
        <cfvo type="num" val="3" gte="0"/>
        <cfvo type="num" val="4" gte="0"/>
      </iconSet>
    </cfRule>
    <cfRule type="iconSet" priority="27">
      <iconSet iconSet="5Rating" showValue="0">
        <cfvo type="percent" val="0"/>
        <cfvo type="num" val="1" gte="0"/>
        <cfvo type="num" val="2" gte="0"/>
        <cfvo type="num" val="3" gte="0"/>
        <cfvo type="num" val="4" gte="0"/>
      </iconSet>
    </cfRule>
  </conditionalFormatting>
  <conditionalFormatting sqref="Y130:Y131">
    <cfRule type="iconSet" priority="24">
      <iconSet iconSet="5Rating" showValue="0">
        <cfvo type="percent" val="0"/>
        <cfvo type="num" val="1" gte="0"/>
        <cfvo type="num" val="2" gte="0"/>
        <cfvo type="num" val="3" gte="0"/>
        <cfvo type="num" val="4" gte="0"/>
      </iconSet>
    </cfRule>
  </conditionalFormatting>
  <conditionalFormatting sqref="AN58">
    <cfRule type="iconSet" priority="38">
      <iconSet iconSet="5Rating" showValue="0">
        <cfvo type="percent" val="0"/>
        <cfvo type="num" val="1" gte="0"/>
        <cfvo type="num" val="2" gte="0"/>
        <cfvo type="num" val="3" gte="0"/>
        <cfvo type="num" val="4" gte="0"/>
      </iconSet>
    </cfRule>
  </conditionalFormatting>
  <conditionalFormatting sqref="BA130:BA131">
    <cfRule type="iconSet" priority="23">
      <iconSet iconSet="5Rating" showValue="0">
        <cfvo type="percent" val="0"/>
        <cfvo type="num" val="1" gte="0"/>
        <cfvo type="num" val="2" gte="0"/>
        <cfvo type="num" val="3" gte="0"/>
        <cfvo type="num" val="4" gte="0"/>
      </iconSet>
    </cfRule>
  </conditionalFormatting>
  <conditionalFormatting sqref="BE40 AB12 AJ25 AJ16 BI25 BI16 AN58 CI40">
    <cfRule type="iconSet" priority="39">
      <iconSet iconSet="5Rating" showValue="0">
        <cfvo type="percent" val="0"/>
        <cfvo type="num" val="1" gte="0"/>
        <cfvo type="num" val="2" gte="0"/>
        <cfvo type="num" val="3" gte="0"/>
        <cfvo type="num" val="4" gte="0"/>
      </iconSet>
    </cfRule>
  </conditionalFormatting>
  <conditionalFormatting sqref="BE40 AX41:AZ41">
    <cfRule type="iconSet" priority="37">
      <iconSet iconSet="5Rating" showValue="0">
        <cfvo type="percent" val="0"/>
        <cfvo type="num" val="1" gte="0"/>
        <cfvo type="num" val="2" gte="0"/>
        <cfvo type="num" val="3" gte="0"/>
        <cfvo type="num" val="4" gte="0"/>
      </iconSet>
    </cfRule>
  </conditionalFormatting>
  <conditionalFormatting sqref="BG85 AY85:AZ85 AD104 BK104 AY87:AZ87 AY89:AZ89 AY91:AZ91 AY93:AZ93 AY96 BG87 BG89 BG91 BG93 BG96 AD82">
    <cfRule type="iconSet" priority="4178">
      <iconSet iconSet="5Rating" showValue="0">
        <cfvo type="percent" val="0"/>
        <cfvo type="num" val="1" gte="0"/>
        <cfvo type="num" val="2" gte="0"/>
        <cfvo type="num" val="3" gte="0"/>
        <cfvo type="num" val="4" gte="0"/>
      </iconSet>
    </cfRule>
  </conditionalFormatting>
  <conditionalFormatting sqref="BS85 BU84:BU85 BX84:BX85">
    <cfRule type="iconSet" priority="25">
      <iconSet iconSet="5Rating" showValue="0">
        <cfvo type="percent" val="0"/>
        <cfvo type="num" val="1" gte="0"/>
        <cfvo type="num" val="2" gte="0"/>
        <cfvo type="num" val="3" gte="0"/>
        <cfvo type="num" val="4" gte="0"/>
      </iconSet>
    </cfRule>
  </conditionalFormatting>
  <conditionalFormatting sqref="BZ113 BZ108 BZ111">
    <cfRule type="iconSet" priority="19">
      <iconSet iconSet="5Rating" showValue="0">
        <cfvo type="percent" val="0"/>
        <cfvo type="num" val="1" gte="0"/>
        <cfvo type="num" val="2" gte="0"/>
        <cfvo type="num" val="3" gte="0"/>
        <cfvo type="num" val="4" gte="0"/>
      </iconSet>
    </cfRule>
  </conditionalFormatting>
  <conditionalFormatting sqref="CH58">
    <cfRule type="iconSet" priority="28">
      <iconSet iconSet="5Rating" showValue="0">
        <cfvo type="percent" val="0"/>
        <cfvo type="num" val="1" gte="0"/>
        <cfvo type="num" val="2" gte="0"/>
        <cfvo type="num" val="3" gte="0"/>
        <cfvo type="num" val="4" gte="0"/>
      </iconSet>
    </cfRule>
    <cfRule type="iconSet" priority="29">
      <iconSet iconSet="5Rating" showValue="0">
        <cfvo type="percent" val="0"/>
        <cfvo type="num" val="1" gte="0"/>
        <cfvo type="num" val="2" gte="0"/>
        <cfvo type="num" val="3" gte="0"/>
        <cfvo type="num" val="4" gte="0"/>
      </iconSet>
    </cfRule>
  </conditionalFormatting>
  <conditionalFormatting sqref="CH130:CH131">
    <cfRule type="iconSet" priority="22">
      <iconSet iconSet="5Rating" showValue="0">
        <cfvo type="percent" val="0"/>
        <cfvo type="num" val="1" gte="0"/>
        <cfvo type="num" val="2" gte="0"/>
        <cfvo type="num" val="3" gte="0"/>
        <cfvo type="num" val="4" gte="0"/>
      </iconSet>
    </cfRule>
  </conditionalFormatting>
  <conditionalFormatting sqref="CJ41 CI40">
    <cfRule type="iconSet" priority="36">
      <iconSet iconSet="5Rating" showValue="0">
        <cfvo type="percent" val="0"/>
        <cfvo type="num" val="1" gte="0"/>
        <cfvo type="num" val="2" gte="0"/>
        <cfvo type="num" val="3" gte="0"/>
        <cfvo type="num" val="4" gte="0"/>
      </iconSet>
    </cfRule>
  </conditionalFormatting>
  <conditionalFormatting sqref="CJ102">
    <cfRule type="iconSet" priority="21">
      <iconSet iconSet="5Rating" showValue="0">
        <cfvo type="percent" val="0"/>
        <cfvo type="num" val="1" gte="0"/>
        <cfvo type="num" val="2" gte="0"/>
        <cfvo type="num" val="3" gte="0"/>
        <cfvo type="num" val="4" gte="0"/>
      </iconSet>
    </cfRule>
    <cfRule type="iconSet" priority="20">
      <iconSet iconSet="5Rating" showValue="0">
        <cfvo type="percent" val="0"/>
        <cfvo type="num" val="1" gte="0"/>
        <cfvo type="num" val="2" gte="0"/>
        <cfvo type="num" val="3" gte="0"/>
        <cfvo type="num" val="4" gte="0"/>
      </iconSet>
    </cfRule>
  </conditionalFormatting>
  <conditionalFormatting sqref="CJ123 BA123:BB123 Y123">
    <cfRule type="iconSet" priority="41">
      <iconSet iconSet="5Rating" showValue="0">
        <cfvo type="percent" val="0"/>
        <cfvo type="num" val="2"/>
        <cfvo type="num" val="3"/>
        <cfvo type="num" val="4"/>
        <cfvo type="num" val="5"/>
      </iconSet>
    </cfRule>
  </conditionalFormatting>
  <pageMargins left="1.3" right="1.1000000000000001" top="0.82677165354330717" bottom="0.35433070866141736" header="0.31496062992125984" footer="0.23622047244094491"/>
  <pageSetup paperSize="3" scale="49" fitToHeight="0" orientation="portrait" r:id="rId1"/>
  <headerFooter>
    <oddFooter xml:space="preserve">&amp;L&amp;10Version 1.0    © CERIU, 2023&amp;R&amp;10Onglet SOMMAIRE PGA Eau potable
Page &amp;P / &amp;N
</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6" id="{1EF471D1-6C89-4688-9518-B8CCEF8E2C8B}">
            <xm:f>'CALCULS Eau potable'!E$327&gt;4</xm:f>
            <x14:dxf>
              <fill>
                <patternFill>
                  <bgColor theme="9"/>
                </patternFill>
              </fill>
            </x14:dxf>
          </x14:cfRule>
          <xm:sqref>J147</xm:sqref>
        </x14:conditionalFormatting>
        <x14:conditionalFormatting xmlns:xm="http://schemas.microsoft.com/office/excel/2006/main">
          <x14:cfRule type="expression" priority="45" id="{F0472CD6-DF9D-4891-AF58-4EED0EF4B837}">
            <xm:f>'CALCULS Eau potable'!E$327&gt;3</xm:f>
            <x14:dxf>
              <fill>
                <patternFill>
                  <bgColor theme="9"/>
                </patternFill>
              </fill>
            </x14:dxf>
          </x14:cfRule>
          <xm:sqref>J148</xm:sqref>
        </x14:conditionalFormatting>
        <x14:conditionalFormatting xmlns:xm="http://schemas.microsoft.com/office/excel/2006/main">
          <x14:cfRule type="expression" priority="44" id="{F9D42ECA-B6B2-4A7D-B2C3-30E1EC3A3837}">
            <xm:f>'CALCULS Eau potable'!E$327&gt;2</xm:f>
            <x14:dxf>
              <fill>
                <patternFill>
                  <bgColor theme="9"/>
                </patternFill>
              </fill>
            </x14:dxf>
          </x14:cfRule>
          <xm:sqref>J149</xm:sqref>
        </x14:conditionalFormatting>
        <x14:conditionalFormatting xmlns:xm="http://schemas.microsoft.com/office/excel/2006/main">
          <x14:cfRule type="expression" priority="43" id="{EEAB9CC7-C369-435E-865A-A50EB1990851}">
            <xm:f>'CALCULS Eau potable'!E$327&gt;1</xm:f>
            <x14:dxf>
              <fill>
                <patternFill>
                  <bgColor theme="9"/>
                </patternFill>
              </fill>
            </x14:dxf>
          </x14:cfRule>
          <xm:sqref>J150</xm:sqref>
        </x14:conditionalFormatting>
        <x14:conditionalFormatting xmlns:xm="http://schemas.microsoft.com/office/excel/2006/main">
          <x14:cfRule type="expression" priority="42" id="{82F6B0FD-2240-44A7-9D8B-BF477527391B}">
            <xm:f>'CALCULS Eau potable'!E$327&gt;0</xm:f>
            <x14:dxf>
              <fill>
                <patternFill>
                  <bgColor theme="9"/>
                </patternFill>
              </fill>
            </x14:dxf>
          </x14:cfRule>
          <xm:sqref>J151</xm:sqref>
        </x14:conditionalFormatting>
        <x14:conditionalFormatting xmlns:xm="http://schemas.microsoft.com/office/excel/2006/main">
          <x14:cfRule type="expression" priority="66" id="{BF0728C7-89C5-4465-AECC-4867F4AE40B5}">
            <xm:f>'CALCULS Eau potable'!F$327&gt;4</xm:f>
            <x14:dxf>
              <fill>
                <patternFill>
                  <bgColor theme="9"/>
                </patternFill>
              </fill>
            </x14:dxf>
          </x14:cfRule>
          <xm:sqref>L147</xm:sqref>
        </x14:conditionalFormatting>
        <x14:conditionalFormatting xmlns:xm="http://schemas.microsoft.com/office/excel/2006/main">
          <x14:cfRule type="expression" priority="65" id="{C0384EA2-9873-4231-BF3F-5A40CD0B7DD3}">
            <xm:f>'CALCULS Eau potable'!F$327&gt;3</xm:f>
            <x14:dxf>
              <fill>
                <patternFill>
                  <bgColor theme="9"/>
                </patternFill>
              </fill>
            </x14:dxf>
          </x14:cfRule>
          <xm:sqref>L148</xm:sqref>
        </x14:conditionalFormatting>
        <x14:conditionalFormatting xmlns:xm="http://schemas.microsoft.com/office/excel/2006/main">
          <x14:cfRule type="expression" priority="64" id="{E5E1FD09-5519-4225-97C3-6A84D4636E34}">
            <xm:f>'CALCULS Eau potable'!F$327&gt;2</xm:f>
            <x14:dxf>
              <fill>
                <patternFill>
                  <bgColor theme="9"/>
                </patternFill>
              </fill>
            </x14:dxf>
          </x14:cfRule>
          <xm:sqref>L149</xm:sqref>
        </x14:conditionalFormatting>
        <x14:conditionalFormatting xmlns:xm="http://schemas.microsoft.com/office/excel/2006/main">
          <x14:cfRule type="expression" priority="63" id="{B033CDB0-2D72-424F-B6A8-80D7C5EA602D}">
            <xm:f>'CALCULS Eau potable'!F$327&gt;1</xm:f>
            <x14:dxf>
              <fill>
                <patternFill>
                  <bgColor theme="9"/>
                </patternFill>
              </fill>
            </x14:dxf>
          </x14:cfRule>
          <xm:sqref>L150</xm:sqref>
        </x14:conditionalFormatting>
        <x14:conditionalFormatting xmlns:xm="http://schemas.microsoft.com/office/excel/2006/main">
          <x14:cfRule type="expression" priority="62" id="{E7EADB8C-1DCF-4FB8-B287-3688B1465D67}">
            <xm:f>'CALCULS Eau potable'!F$327&gt;0</xm:f>
            <x14:dxf>
              <fill>
                <patternFill>
                  <bgColor theme="9"/>
                </patternFill>
              </fill>
            </x14:dxf>
          </x14:cfRule>
          <xm:sqref>L151</xm:sqref>
        </x14:conditionalFormatting>
        <x14:conditionalFormatting xmlns:xm="http://schemas.microsoft.com/office/excel/2006/main">
          <x14:cfRule type="expression" priority="76" id="{BFBB969C-41CD-4BEB-8A70-0BCA662AEDCC}">
            <xm:f>'CALCULS Eau potable'!G$327&gt;4</xm:f>
            <x14:dxf>
              <fill>
                <patternFill>
                  <bgColor theme="9"/>
                </patternFill>
              </fill>
            </x14:dxf>
          </x14:cfRule>
          <xm:sqref>N147</xm:sqref>
        </x14:conditionalFormatting>
        <x14:conditionalFormatting xmlns:xm="http://schemas.microsoft.com/office/excel/2006/main">
          <x14:cfRule type="expression" priority="75" id="{65C041E0-873A-42A1-867C-C3BDF3D2BC60}">
            <xm:f>'CALCULS Eau potable'!G$327&gt;3</xm:f>
            <x14:dxf>
              <fill>
                <patternFill>
                  <bgColor theme="9"/>
                </patternFill>
              </fill>
            </x14:dxf>
          </x14:cfRule>
          <xm:sqref>N148</xm:sqref>
        </x14:conditionalFormatting>
        <x14:conditionalFormatting xmlns:xm="http://schemas.microsoft.com/office/excel/2006/main">
          <x14:cfRule type="expression" priority="74" id="{162DBF02-CA2D-4889-A46F-2A180A6F930C}">
            <xm:f>'CALCULS Eau potable'!G$327&gt;2</xm:f>
            <x14:dxf>
              <fill>
                <patternFill>
                  <bgColor theme="9"/>
                </patternFill>
              </fill>
            </x14:dxf>
          </x14:cfRule>
          <xm:sqref>N149</xm:sqref>
        </x14:conditionalFormatting>
        <x14:conditionalFormatting xmlns:xm="http://schemas.microsoft.com/office/excel/2006/main">
          <x14:cfRule type="expression" priority="73" id="{34FF32C2-01F3-4AFD-AE54-B63DE7AE5941}">
            <xm:f>'CALCULS Eau potable'!G$327&gt;1</xm:f>
            <x14:dxf>
              <fill>
                <patternFill>
                  <bgColor theme="9"/>
                </patternFill>
              </fill>
            </x14:dxf>
          </x14:cfRule>
          <xm:sqref>N150</xm:sqref>
        </x14:conditionalFormatting>
        <x14:conditionalFormatting xmlns:xm="http://schemas.microsoft.com/office/excel/2006/main">
          <x14:cfRule type="expression" priority="72" id="{CB6C6653-544B-450F-9EB4-AF6E78B979D7}">
            <xm:f>'CALCULS Eau potable'!G$327&gt;0</xm:f>
            <x14:dxf>
              <fill>
                <patternFill>
                  <bgColor theme="9"/>
                </patternFill>
              </fill>
            </x14:dxf>
          </x14:cfRule>
          <xm:sqref>N151</xm:sqref>
        </x14:conditionalFormatting>
        <x14:conditionalFormatting xmlns:xm="http://schemas.microsoft.com/office/excel/2006/main">
          <x14:cfRule type="expression" priority="86" id="{489B7493-FA71-4EF6-824D-7A6DE9E400D3}">
            <xm:f>'CALCULS Eau potable'!H$327&gt;4</xm:f>
            <x14:dxf>
              <fill>
                <patternFill>
                  <bgColor theme="9"/>
                </patternFill>
              </fill>
            </x14:dxf>
          </x14:cfRule>
          <xm:sqref>P147</xm:sqref>
        </x14:conditionalFormatting>
        <x14:conditionalFormatting xmlns:xm="http://schemas.microsoft.com/office/excel/2006/main">
          <x14:cfRule type="expression" priority="85" id="{D7931EE4-6B04-43D5-A0B3-A8C32830BC0A}">
            <xm:f>'CALCULS Eau potable'!H$327&gt;3</xm:f>
            <x14:dxf>
              <fill>
                <patternFill>
                  <bgColor theme="9"/>
                </patternFill>
              </fill>
            </x14:dxf>
          </x14:cfRule>
          <xm:sqref>P148</xm:sqref>
        </x14:conditionalFormatting>
        <x14:conditionalFormatting xmlns:xm="http://schemas.microsoft.com/office/excel/2006/main">
          <x14:cfRule type="expression" priority="84" id="{C90B0CD7-CCAA-439B-9FF0-84AF1BA581C1}">
            <xm:f>'CALCULS Eau potable'!H$327&gt;2</xm:f>
            <x14:dxf>
              <fill>
                <patternFill>
                  <bgColor theme="9"/>
                </patternFill>
              </fill>
            </x14:dxf>
          </x14:cfRule>
          <xm:sqref>P149</xm:sqref>
        </x14:conditionalFormatting>
        <x14:conditionalFormatting xmlns:xm="http://schemas.microsoft.com/office/excel/2006/main">
          <x14:cfRule type="expression" priority="83" id="{60B30895-3FE7-4F72-908E-412B0051F972}">
            <xm:f>'CALCULS Eau potable'!H$327&gt;1</xm:f>
            <x14:dxf>
              <fill>
                <patternFill>
                  <bgColor theme="9"/>
                </patternFill>
              </fill>
            </x14:dxf>
          </x14:cfRule>
          <xm:sqref>P150</xm:sqref>
        </x14:conditionalFormatting>
        <x14:conditionalFormatting xmlns:xm="http://schemas.microsoft.com/office/excel/2006/main">
          <x14:cfRule type="expression" priority="82" id="{1B67ECAC-A9D4-4B2A-BC93-B78078ADCE31}">
            <xm:f>'CALCULS Eau potable'!H$327&gt;0</xm:f>
            <x14:dxf>
              <fill>
                <patternFill>
                  <bgColor theme="9"/>
                </patternFill>
              </fill>
            </x14:dxf>
          </x14:cfRule>
          <xm:sqref>P151</xm:sqref>
        </x14:conditionalFormatting>
        <x14:conditionalFormatting xmlns:xm="http://schemas.microsoft.com/office/excel/2006/main">
          <x14:cfRule type="expression" priority="96" id="{02AA85D9-94C5-4237-8953-67FA35A89FBE}">
            <xm:f>'CALCULS Eau potable'!I$327&gt;4</xm:f>
            <x14:dxf>
              <fill>
                <patternFill>
                  <bgColor theme="9"/>
                </patternFill>
              </fill>
            </x14:dxf>
          </x14:cfRule>
          <xm:sqref>R147</xm:sqref>
        </x14:conditionalFormatting>
        <x14:conditionalFormatting xmlns:xm="http://schemas.microsoft.com/office/excel/2006/main">
          <x14:cfRule type="expression" priority="95" id="{8F72AF08-7967-45BA-B80B-A286F18EA70A}">
            <xm:f>'CALCULS Eau potable'!I$327&gt;3</xm:f>
            <x14:dxf>
              <fill>
                <patternFill>
                  <bgColor theme="9"/>
                </patternFill>
              </fill>
            </x14:dxf>
          </x14:cfRule>
          <xm:sqref>R148</xm:sqref>
        </x14:conditionalFormatting>
        <x14:conditionalFormatting xmlns:xm="http://schemas.microsoft.com/office/excel/2006/main">
          <x14:cfRule type="expression" priority="94" id="{499F8200-8A7B-4A82-98D8-66A5F8ECEC03}">
            <xm:f>'CALCULS Eau potable'!I$327&gt;2</xm:f>
            <x14:dxf>
              <fill>
                <patternFill>
                  <bgColor theme="9"/>
                </patternFill>
              </fill>
            </x14:dxf>
          </x14:cfRule>
          <xm:sqref>R149</xm:sqref>
        </x14:conditionalFormatting>
        <x14:conditionalFormatting xmlns:xm="http://schemas.microsoft.com/office/excel/2006/main">
          <x14:cfRule type="expression" priority="93" id="{A96DB31E-0E0E-4A13-B030-3D1B93B2CBB6}">
            <xm:f>'CALCULS Eau potable'!I$327&gt;1</xm:f>
            <x14:dxf>
              <fill>
                <patternFill>
                  <bgColor theme="9"/>
                </patternFill>
              </fill>
            </x14:dxf>
          </x14:cfRule>
          <xm:sqref>R150</xm:sqref>
        </x14:conditionalFormatting>
        <x14:conditionalFormatting xmlns:xm="http://schemas.microsoft.com/office/excel/2006/main">
          <x14:cfRule type="expression" priority="92" id="{55BD7B5A-ECDE-46DE-917A-19757E9EF6B9}">
            <xm:f>'CALCULS Eau potable'!I$327&gt;0</xm:f>
            <x14:dxf>
              <fill>
                <patternFill>
                  <bgColor theme="9"/>
                </patternFill>
              </fill>
            </x14:dxf>
          </x14:cfRule>
          <xm:sqref>R151</xm:sqref>
        </x14:conditionalFormatting>
        <x14:conditionalFormatting xmlns:xm="http://schemas.microsoft.com/office/excel/2006/main">
          <x14:cfRule type="expression" priority="106" id="{C3127643-5966-459D-A135-9D53DEB1BF47}">
            <xm:f>'CALCULS Eau potable'!J$327&gt;4</xm:f>
            <x14:dxf>
              <fill>
                <patternFill>
                  <bgColor theme="9"/>
                </patternFill>
              </fill>
            </x14:dxf>
          </x14:cfRule>
          <xm:sqref>T147</xm:sqref>
        </x14:conditionalFormatting>
        <x14:conditionalFormatting xmlns:xm="http://schemas.microsoft.com/office/excel/2006/main">
          <x14:cfRule type="expression" priority="105" id="{2AC14F4C-6456-45AC-9D77-C365456F70ED}">
            <xm:f>'CALCULS Eau potable'!J$327&gt;3</xm:f>
            <x14:dxf>
              <fill>
                <patternFill>
                  <bgColor theme="9"/>
                </patternFill>
              </fill>
            </x14:dxf>
          </x14:cfRule>
          <xm:sqref>T148</xm:sqref>
        </x14:conditionalFormatting>
        <x14:conditionalFormatting xmlns:xm="http://schemas.microsoft.com/office/excel/2006/main">
          <x14:cfRule type="expression" priority="104" id="{E13881E5-8F72-4EAE-9B4D-5BC19C2EEA5B}">
            <xm:f>'CALCULS Eau potable'!J$327&gt;2</xm:f>
            <x14:dxf>
              <fill>
                <patternFill>
                  <bgColor theme="9"/>
                </patternFill>
              </fill>
            </x14:dxf>
          </x14:cfRule>
          <xm:sqref>T149</xm:sqref>
        </x14:conditionalFormatting>
        <x14:conditionalFormatting xmlns:xm="http://schemas.microsoft.com/office/excel/2006/main">
          <x14:cfRule type="expression" priority="103" id="{1FA0BC7B-84EA-43E8-A5F4-8BB392896DB6}">
            <xm:f>'CALCULS Eau potable'!J$327&gt;1</xm:f>
            <x14:dxf>
              <fill>
                <patternFill>
                  <bgColor theme="9"/>
                </patternFill>
              </fill>
            </x14:dxf>
          </x14:cfRule>
          <xm:sqref>T150</xm:sqref>
        </x14:conditionalFormatting>
        <x14:conditionalFormatting xmlns:xm="http://schemas.microsoft.com/office/excel/2006/main">
          <x14:cfRule type="expression" priority="102" id="{EB91A06B-0546-4E41-A8E8-5E817EF91BFB}">
            <xm:f>'CALCULS Eau potable'!J$327&gt;0</xm:f>
            <x14:dxf>
              <fill>
                <patternFill>
                  <bgColor theme="9"/>
                </patternFill>
              </fill>
            </x14:dxf>
          </x14:cfRule>
          <xm:sqref>T151</xm:sqref>
        </x14:conditionalFormatting>
        <x14:conditionalFormatting xmlns:xm="http://schemas.microsoft.com/office/excel/2006/main">
          <x14:cfRule type="expression" priority="116" id="{1A6A9D3F-2AFC-43A3-A23B-18AEA994C0E2}">
            <xm:f>'CALCULS Eau potable'!K$327&gt;4</xm:f>
            <x14:dxf>
              <fill>
                <patternFill>
                  <bgColor theme="9"/>
                </patternFill>
              </fill>
            </x14:dxf>
          </x14:cfRule>
          <xm:sqref>V147</xm:sqref>
        </x14:conditionalFormatting>
        <x14:conditionalFormatting xmlns:xm="http://schemas.microsoft.com/office/excel/2006/main">
          <x14:cfRule type="expression" priority="115" id="{CB4FD270-062F-4D4C-B472-621DB7BD12E9}">
            <xm:f>'CALCULS Eau potable'!K$327&gt;3</xm:f>
            <x14:dxf>
              <fill>
                <patternFill>
                  <bgColor theme="9"/>
                </patternFill>
              </fill>
            </x14:dxf>
          </x14:cfRule>
          <xm:sqref>V148</xm:sqref>
        </x14:conditionalFormatting>
        <x14:conditionalFormatting xmlns:xm="http://schemas.microsoft.com/office/excel/2006/main">
          <x14:cfRule type="expression" priority="114" id="{FD7B7802-463F-40B2-AEFB-A2F3931DCC61}">
            <xm:f>'CALCULS Eau potable'!K$327&gt;2</xm:f>
            <x14:dxf>
              <fill>
                <patternFill>
                  <bgColor theme="9"/>
                </patternFill>
              </fill>
            </x14:dxf>
          </x14:cfRule>
          <xm:sqref>V149</xm:sqref>
        </x14:conditionalFormatting>
        <x14:conditionalFormatting xmlns:xm="http://schemas.microsoft.com/office/excel/2006/main">
          <x14:cfRule type="expression" priority="113" id="{F63E61BD-A2B7-49F0-99D9-431C2ACD3724}">
            <xm:f>'CALCULS Eau potable'!K$327&gt;1</xm:f>
            <x14:dxf>
              <fill>
                <patternFill>
                  <bgColor theme="9"/>
                </patternFill>
              </fill>
            </x14:dxf>
          </x14:cfRule>
          <xm:sqref>V150</xm:sqref>
        </x14:conditionalFormatting>
        <x14:conditionalFormatting xmlns:xm="http://schemas.microsoft.com/office/excel/2006/main">
          <x14:cfRule type="expression" priority="112" id="{7424DF57-8DC5-4E07-928C-4A4CC9E26DD1}">
            <xm:f>'CALCULS Eau potable'!K$327&gt;0</xm:f>
            <x14:dxf>
              <fill>
                <patternFill>
                  <bgColor theme="9"/>
                </patternFill>
              </fill>
            </x14:dxf>
          </x14:cfRule>
          <xm:sqref>V151</xm:sqref>
        </x14:conditionalFormatting>
        <x14:conditionalFormatting xmlns:xm="http://schemas.microsoft.com/office/excel/2006/main">
          <x14:cfRule type="expression" priority="126" id="{6FECF34E-7548-4B93-AEB4-9349F0A358B5}">
            <xm:f>'CALCULS Eau potable'!L$327&gt;4</xm:f>
            <x14:dxf>
              <fill>
                <patternFill>
                  <bgColor theme="9" tint="-0.499984740745262"/>
                </patternFill>
              </fill>
            </x14:dxf>
          </x14:cfRule>
          <xm:sqref>X147</xm:sqref>
        </x14:conditionalFormatting>
        <x14:conditionalFormatting xmlns:xm="http://schemas.microsoft.com/office/excel/2006/main">
          <x14:cfRule type="expression" priority="125" id="{6DA850CF-BCE0-4F70-8E1A-F2F90BDB7279}">
            <xm:f>'CALCULS Eau potable'!L$327&gt;3</xm:f>
            <x14:dxf>
              <fill>
                <patternFill>
                  <bgColor theme="9" tint="-0.499984740745262"/>
                </patternFill>
              </fill>
            </x14:dxf>
          </x14:cfRule>
          <xm:sqref>X148</xm:sqref>
        </x14:conditionalFormatting>
        <x14:conditionalFormatting xmlns:xm="http://schemas.microsoft.com/office/excel/2006/main">
          <x14:cfRule type="expression" priority="124" id="{F2042328-1857-4FDD-B3F9-7BF32CA28E7E}">
            <xm:f>'CALCULS Eau potable'!L$327&gt;2</xm:f>
            <x14:dxf>
              <fill>
                <patternFill>
                  <bgColor theme="9" tint="-0.499984740745262"/>
                </patternFill>
              </fill>
            </x14:dxf>
          </x14:cfRule>
          <xm:sqref>X149</xm:sqref>
        </x14:conditionalFormatting>
        <x14:conditionalFormatting xmlns:xm="http://schemas.microsoft.com/office/excel/2006/main">
          <x14:cfRule type="expression" priority="123" id="{5FA01DB4-0CD4-4493-A3B5-4E079CD2B119}">
            <xm:f>'CALCULS Eau potable'!L$327&gt;1</xm:f>
            <x14:dxf>
              <fill>
                <patternFill>
                  <bgColor theme="9" tint="-0.499984740745262"/>
                </patternFill>
              </fill>
            </x14:dxf>
          </x14:cfRule>
          <xm:sqref>X150</xm:sqref>
        </x14:conditionalFormatting>
        <x14:conditionalFormatting xmlns:xm="http://schemas.microsoft.com/office/excel/2006/main">
          <x14:cfRule type="expression" priority="122" id="{E5BB4AD5-80D3-4E2B-AFF8-C880520EC68C}">
            <xm:f>'CALCULS Eau potable'!L$327&gt;0</xm:f>
            <x14:dxf>
              <fill>
                <patternFill>
                  <bgColor theme="9" tint="-0.499984740745262"/>
                </patternFill>
              </fill>
            </x14:dxf>
          </x14:cfRule>
          <xm:sqref>X151</xm:sqref>
        </x14:conditionalFormatting>
        <x14:conditionalFormatting xmlns:xm="http://schemas.microsoft.com/office/excel/2006/main">
          <x14:cfRule type="expression" priority="51" id="{82786306-B895-4820-8276-9215C06A84CA}">
            <xm:f>'CALCULS Eau potable'!E$329&gt;4</xm:f>
            <x14:dxf>
              <fill>
                <patternFill>
                  <bgColor theme="9"/>
                </patternFill>
              </fill>
            </x14:dxf>
          </x14:cfRule>
          <xm:sqref>Z147</xm:sqref>
        </x14:conditionalFormatting>
        <x14:conditionalFormatting xmlns:xm="http://schemas.microsoft.com/office/excel/2006/main">
          <x14:cfRule type="expression" priority="50" id="{BC006EDC-6658-4E41-87EC-33D8CB97D908}">
            <xm:f>'CALCULS Eau potable'!E$329&gt;3</xm:f>
            <x14:dxf>
              <fill>
                <patternFill>
                  <bgColor theme="9"/>
                </patternFill>
              </fill>
            </x14:dxf>
          </x14:cfRule>
          <xm:sqref>Z148</xm:sqref>
        </x14:conditionalFormatting>
        <x14:conditionalFormatting xmlns:xm="http://schemas.microsoft.com/office/excel/2006/main">
          <x14:cfRule type="expression" priority="49" id="{65BD4AB1-9235-437D-8AEF-D9C241AB8F80}">
            <xm:f>'CALCULS Eau potable'!E$329&gt;2</xm:f>
            <x14:dxf>
              <fill>
                <patternFill>
                  <bgColor theme="9"/>
                </patternFill>
              </fill>
            </x14:dxf>
          </x14:cfRule>
          <xm:sqref>Z149</xm:sqref>
        </x14:conditionalFormatting>
        <x14:conditionalFormatting xmlns:xm="http://schemas.microsoft.com/office/excel/2006/main">
          <x14:cfRule type="expression" priority="48" id="{7C23FED6-0FEA-4E53-BB97-6D788E536E83}">
            <xm:f>'CALCULS Eau potable'!E$329&gt;1</xm:f>
            <x14:dxf>
              <fill>
                <patternFill>
                  <bgColor theme="9"/>
                </patternFill>
              </fill>
            </x14:dxf>
          </x14:cfRule>
          <xm:sqref>Z150</xm:sqref>
        </x14:conditionalFormatting>
        <x14:conditionalFormatting xmlns:xm="http://schemas.microsoft.com/office/excel/2006/main">
          <x14:cfRule type="expression" priority="47" id="{C6F549C5-6DF7-41F3-8F0F-C18B80EAF10C}">
            <xm:f>'CALCULS Eau potable'!E$329&gt;0</xm:f>
            <x14:dxf>
              <fill>
                <patternFill>
                  <bgColor theme="9"/>
                </patternFill>
              </fill>
            </x14:dxf>
          </x14:cfRule>
          <xm:sqref>Z151</xm:sqref>
        </x14:conditionalFormatting>
        <x14:conditionalFormatting xmlns:xm="http://schemas.microsoft.com/office/excel/2006/main">
          <x14:cfRule type="expression" priority="71" id="{0E2151D5-4FA1-4953-8AEC-CA7C3C3C7257}">
            <xm:f>'CALCULS Eau potable'!F$329&gt;4</xm:f>
            <x14:dxf>
              <fill>
                <patternFill>
                  <bgColor theme="9"/>
                </patternFill>
              </fill>
            </x14:dxf>
          </x14:cfRule>
          <xm:sqref>AB147</xm:sqref>
        </x14:conditionalFormatting>
        <x14:conditionalFormatting xmlns:xm="http://schemas.microsoft.com/office/excel/2006/main">
          <x14:cfRule type="expression" priority="70" id="{B853EB88-C893-4377-A25D-1C48E62908D0}">
            <xm:f>'CALCULS Eau potable'!F$329&gt;3</xm:f>
            <x14:dxf>
              <fill>
                <patternFill>
                  <bgColor theme="9"/>
                </patternFill>
              </fill>
            </x14:dxf>
          </x14:cfRule>
          <xm:sqref>AB148</xm:sqref>
        </x14:conditionalFormatting>
        <x14:conditionalFormatting xmlns:xm="http://schemas.microsoft.com/office/excel/2006/main">
          <x14:cfRule type="expression" priority="69" id="{BBB1FDD7-61D7-43A4-B462-04188E59CEBE}">
            <xm:f>'CALCULS Eau potable'!F$329&gt;2</xm:f>
            <x14:dxf>
              <fill>
                <patternFill>
                  <bgColor theme="9"/>
                </patternFill>
              </fill>
            </x14:dxf>
          </x14:cfRule>
          <xm:sqref>AB149</xm:sqref>
        </x14:conditionalFormatting>
        <x14:conditionalFormatting xmlns:xm="http://schemas.microsoft.com/office/excel/2006/main">
          <x14:cfRule type="expression" priority="68" id="{E1F7071C-F3AC-4BED-A131-7A9DDFD156DF}">
            <xm:f>'CALCULS Eau potable'!F$329&gt;1</xm:f>
            <x14:dxf>
              <fill>
                <patternFill>
                  <bgColor theme="9"/>
                </patternFill>
              </fill>
            </x14:dxf>
          </x14:cfRule>
          <xm:sqref>AB150</xm:sqref>
        </x14:conditionalFormatting>
        <x14:conditionalFormatting xmlns:xm="http://schemas.microsoft.com/office/excel/2006/main">
          <x14:cfRule type="expression" priority="67" id="{BDAC3674-2C32-46C2-A525-B3102E8E1658}">
            <xm:f>'CALCULS Eau potable'!F$329&gt;0</xm:f>
            <x14:dxf>
              <fill>
                <patternFill>
                  <bgColor theme="9"/>
                </patternFill>
              </fill>
            </x14:dxf>
          </x14:cfRule>
          <xm:sqref>AB151</xm:sqref>
        </x14:conditionalFormatting>
        <x14:conditionalFormatting xmlns:xm="http://schemas.microsoft.com/office/excel/2006/main">
          <x14:cfRule type="expression" priority="81" id="{D07DA49F-6352-4BC2-B278-CF423289B797}">
            <xm:f>'CALCULS Eau potable'!G$329&gt;4</xm:f>
            <x14:dxf>
              <fill>
                <patternFill>
                  <bgColor theme="9"/>
                </patternFill>
              </fill>
            </x14:dxf>
          </x14:cfRule>
          <xm:sqref>AD147</xm:sqref>
        </x14:conditionalFormatting>
        <x14:conditionalFormatting xmlns:xm="http://schemas.microsoft.com/office/excel/2006/main">
          <x14:cfRule type="expression" priority="80" id="{46F45FC9-312A-4CDB-BDE9-ECD14AB503B6}">
            <xm:f>'CALCULS Eau potable'!G$329&gt;3</xm:f>
            <x14:dxf>
              <fill>
                <patternFill>
                  <bgColor theme="9"/>
                </patternFill>
              </fill>
            </x14:dxf>
          </x14:cfRule>
          <xm:sqref>AD148</xm:sqref>
        </x14:conditionalFormatting>
        <x14:conditionalFormatting xmlns:xm="http://schemas.microsoft.com/office/excel/2006/main">
          <x14:cfRule type="expression" priority="79" id="{19EA4213-21F0-4957-B1BE-1AD31DE536FA}">
            <xm:f>'CALCULS Eau potable'!G$329&gt;2</xm:f>
            <x14:dxf>
              <fill>
                <patternFill>
                  <bgColor theme="9"/>
                </patternFill>
              </fill>
            </x14:dxf>
          </x14:cfRule>
          <xm:sqref>AD149</xm:sqref>
        </x14:conditionalFormatting>
        <x14:conditionalFormatting xmlns:xm="http://schemas.microsoft.com/office/excel/2006/main">
          <x14:cfRule type="expression" priority="78" id="{53B7B890-8721-48BF-81D1-DACCC361555D}">
            <xm:f>'CALCULS Eau potable'!G$329&gt;1</xm:f>
            <x14:dxf>
              <fill>
                <patternFill>
                  <bgColor theme="9"/>
                </patternFill>
              </fill>
            </x14:dxf>
          </x14:cfRule>
          <xm:sqref>AD150</xm:sqref>
        </x14:conditionalFormatting>
        <x14:conditionalFormatting xmlns:xm="http://schemas.microsoft.com/office/excel/2006/main">
          <x14:cfRule type="expression" priority="77" id="{78D05131-B1DB-4E48-BE31-1E565430D4E5}">
            <xm:f>'CALCULS Eau potable'!G$329&gt;0</xm:f>
            <x14:dxf>
              <fill>
                <patternFill>
                  <bgColor theme="9"/>
                </patternFill>
              </fill>
            </x14:dxf>
          </x14:cfRule>
          <xm:sqref>AD151</xm:sqref>
        </x14:conditionalFormatting>
        <x14:conditionalFormatting xmlns:xm="http://schemas.microsoft.com/office/excel/2006/main">
          <x14:cfRule type="expression" priority="91" id="{65365E5A-903F-4901-9984-9A269498B90C}">
            <xm:f>'CALCULS Eau potable'!H$329&gt;4</xm:f>
            <x14:dxf>
              <fill>
                <patternFill>
                  <bgColor theme="9"/>
                </patternFill>
              </fill>
            </x14:dxf>
          </x14:cfRule>
          <xm:sqref>AF147</xm:sqref>
        </x14:conditionalFormatting>
        <x14:conditionalFormatting xmlns:xm="http://schemas.microsoft.com/office/excel/2006/main">
          <x14:cfRule type="expression" priority="90" id="{8900EF52-BDDD-4463-A278-667E1D43F456}">
            <xm:f>'CALCULS Eau potable'!H$329&gt;3</xm:f>
            <x14:dxf>
              <fill>
                <patternFill>
                  <bgColor theme="9"/>
                </patternFill>
              </fill>
            </x14:dxf>
          </x14:cfRule>
          <xm:sqref>AF148</xm:sqref>
        </x14:conditionalFormatting>
        <x14:conditionalFormatting xmlns:xm="http://schemas.microsoft.com/office/excel/2006/main">
          <x14:cfRule type="expression" priority="89" id="{62CDA5E9-1B73-4417-A79F-A705E23DFBFD}">
            <xm:f>'CALCULS Eau potable'!H$329&gt;2</xm:f>
            <x14:dxf>
              <fill>
                <patternFill>
                  <bgColor theme="9"/>
                </patternFill>
              </fill>
            </x14:dxf>
          </x14:cfRule>
          <xm:sqref>AF149</xm:sqref>
        </x14:conditionalFormatting>
        <x14:conditionalFormatting xmlns:xm="http://schemas.microsoft.com/office/excel/2006/main">
          <x14:cfRule type="expression" priority="88" id="{2D7E435F-E8D8-4F8F-B9DC-7CEA51420EDC}">
            <xm:f>'CALCULS Eau potable'!H$329&gt;1</xm:f>
            <x14:dxf>
              <fill>
                <patternFill>
                  <bgColor theme="9"/>
                </patternFill>
              </fill>
            </x14:dxf>
          </x14:cfRule>
          <xm:sqref>AF150</xm:sqref>
        </x14:conditionalFormatting>
        <x14:conditionalFormatting xmlns:xm="http://schemas.microsoft.com/office/excel/2006/main">
          <x14:cfRule type="expression" priority="87" id="{197FAF7F-1CD9-4B46-82C2-613104942513}">
            <xm:f>'CALCULS Eau potable'!H$329&gt;0</xm:f>
            <x14:dxf>
              <fill>
                <patternFill>
                  <bgColor theme="9"/>
                </patternFill>
              </fill>
            </x14:dxf>
          </x14:cfRule>
          <xm:sqref>AF151</xm:sqref>
        </x14:conditionalFormatting>
        <x14:conditionalFormatting xmlns:xm="http://schemas.microsoft.com/office/excel/2006/main">
          <x14:cfRule type="expression" priority="101" id="{3596C718-BC0A-442D-A114-C9AD512A3E25}">
            <xm:f>'CALCULS Eau potable'!I$329&gt;4</xm:f>
            <x14:dxf>
              <fill>
                <patternFill>
                  <bgColor theme="9"/>
                </patternFill>
              </fill>
            </x14:dxf>
          </x14:cfRule>
          <xm:sqref>AH147</xm:sqref>
        </x14:conditionalFormatting>
        <x14:conditionalFormatting xmlns:xm="http://schemas.microsoft.com/office/excel/2006/main">
          <x14:cfRule type="expression" priority="100" id="{FC49C5A8-B5B6-46A2-BEC6-0230DCDD4251}">
            <xm:f>'CALCULS Eau potable'!I$329&gt;3</xm:f>
            <x14:dxf>
              <fill>
                <patternFill>
                  <bgColor theme="9"/>
                </patternFill>
              </fill>
            </x14:dxf>
          </x14:cfRule>
          <xm:sqref>AH148</xm:sqref>
        </x14:conditionalFormatting>
        <x14:conditionalFormatting xmlns:xm="http://schemas.microsoft.com/office/excel/2006/main">
          <x14:cfRule type="expression" priority="99" id="{D44E56B5-6015-49CE-A653-ED6417A59223}">
            <xm:f>'CALCULS Eau potable'!I$329&gt;2</xm:f>
            <x14:dxf>
              <fill>
                <patternFill>
                  <bgColor theme="9"/>
                </patternFill>
              </fill>
            </x14:dxf>
          </x14:cfRule>
          <xm:sqref>AH149</xm:sqref>
        </x14:conditionalFormatting>
        <x14:conditionalFormatting xmlns:xm="http://schemas.microsoft.com/office/excel/2006/main">
          <x14:cfRule type="expression" priority="98" id="{A8D54554-4AB2-45D9-B60E-41BDD13E013C}">
            <xm:f>'CALCULS Eau potable'!I$329&gt;1</xm:f>
            <x14:dxf>
              <fill>
                <patternFill>
                  <bgColor theme="9"/>
                </patternFill>
              </fill>
            </x14:dxf>
          </x14:cfRule>
          <xm:sqref>AH150</xm:sqref>
        </x14:conditionalFormatting>
        <x14:conditionalFormatting xmlns:xm="http://schemas.microsoft.com/office/excel/2006/main">
          <x14:cfRule type="expression" priority="97" id="{2941195B-132C-4975-B5E1-D62371068D52}">
            <xm:f>'CALCULS Eau potable'!I$329&gt;0</xm:f>
            <x14:dxf>
              <fill>
                <patternFill>
                  <bgColor theme="9"/>
                </patternFill>
              </fill>
            </x14:dxf>
          </x14:cfRule>
          <xm:sqref>AH151</xm:sqref>
        </x14:conditionalFormatting>
        <x14:conditionalFormatting xmlns:xm="http://schemas.microsoft.com/office/excel/2006/main">
          <x14:cfRule type="expression" priority="111" id="{0311979A-FD17-4494-B4D7-D4CF517EDE86}">
            <xm:f>'CALCULS Eau potable'!J$329&gt;4</xm:f>
            <x14:dxf>
              <fill>
                <patternFill>
                  <bgColor theme="9"/>
                </patternFill>
              </fill>
            </x14:dxf>
          </x14:cfRule>
          <xm:sqref>AJ147</xm:sqref>
        </x14:conditionalFormatting>
        <x14:conditionalFormatting xmlns:xm="http://schemas.microsoft.com/office/excel/2006/main">
          <x14:cfRule type="expression" priority="110" id="{62A41AA0-87D0-440C-B5D5-542517B72B3C}">
            <xm:f>'CALCULS Eau potable'!J$329&gt;3</xm:f>
            <x14:dxf>
              <fill>
                <patternFill>
                  <bgColor theme="9"/>
                </patternFill>
              </fill>
            </x14:dxf>
          </x14:cfRule>
          <xm:sqref>AJ148</xm:sqref>
        </x14:conditionalFormatting>
        <x14:conditionalFormatting xmlns:xm="http://schemas.microsoft.com/office/excel/2006/main">
          <x14:cfRule type="expression" priority="109" id="{A01BADFA-DCB2-4094-8374-C19A9E0DCD1B}">
            <xm:f>'CALCULS Eau potable'!J$329&gt;2</xm:f>
            <x14:dxf>
              <fill>
                <patternFill>
                  <bgColor theme="9"/>
                </patternFill>
              </fill>
            </x14:dxf>
          </x14:cfRule>
          <xm:sqref>AJ149</xm:sqref>
        </x14:conditionalFormatting>
        <x14:conditionalFormatting xmlns:xm="http://schemas.microsoft.com/office/excel/2006/main">
          <x14:cfRule type="expression" priority="108" id="{0C9E4DBD-32EF-49C0-9D36-929882D1FF7A}">
            <xm:f>'CALCULS Eau potable'!J$329&gt;1</xm:f>
            <x14:dxf>
              <fill>
                <patternFill>
                  <bgColor theme="9"/>
                </patternFill>
              </fill>
            </x14:dxf>
          </x14:cfRule>
          <xm:sqref>AJ150</xm:sqref>
        </x14:conditionalFormatting>
        <x14:conditionalFormatting xmlns:xm="http://schemas.microsoft.com/office/excel/2006/main">
          <x14:cfRule type="expression" priority="107" id="{C4D062E0-C43C-480C-9026-B2D9E9EB1D9C}">
            <xm:f>'CALCULS Eau potable'!J$329&gt;0</xm:f>
            <x14:dxf>
              <fill>
                <patternFill>
                  <bgColor theme="9"/>
                </patternFill>
              </fill>
            </x14:dxf>
          </x14:cfRule>
          <xm:sqref>AJ151</xm:sqref>
        </x14:conditionalFormatting>
        <x14:conditionalFormatting xmlns:xm="http://schemas.microsoft.com/office/excel/2006/main">
          <x14:cfRule type="expression" priority="121" id="{DF21EE1F-361E-47F0-844D-CF05C12EC7B6}">
            <xm:f>'CALCULS Eau potable'!K$329&gt;4</xm:f>
            <x14:dxf>
              <fill>
                <patternFill>
                  <bgColor theme="9"/>
                </patternFill>
              </fill>
            </x14:dxf>
          </x14:cfRule>
          <xm:sqref>AL147</xm:sqref>
        </x14:conditionalFormatting>
        <x14:conditionalFormatting xmlns:xm="http://schemas.microsoft.com/office/excel/2006/main">
          <x14:cfRule type="expression" priority="120" id="{BA5480CB-8238-4DEC-BFC3-4436DE3B6FFD}">
            <xm:f>'CALCULS Eau potable'!K$329&gt;3</xm:f>
            <x14:dxf>
              <fill>
                <patternFill>
                  <bgColor theme="9"/>
                </patternFill>
              </fill>
            </x14:dxf>
          </x14:cfRule>
          <xm:sqref>AL148</xm:sqref>
        </x14:conditionalFormatting>
        <x14:conditionalFormatting xmlns:xm="http://schemas.microsoft.com/office/excel/2006/main">
          <x14:cfRule type="expression" priority="119" id="{F7C04D83-C4E1-4FE6-89E4-7BE33FD5653D}">
            <xm:f>'CALCULS Eau potable'!K$329&gt;2</xm:f>
            <x14:dxf>
              <fill>
                <patternFill>
                  <bgColor theme="9"/>
                </patternFill>
              </fill>
            </x14:dxf>
          </x14:cfRule>
          <xm:sqref>AL149</xm:sqref>
        </x14:conditionalFormatting>
        <x14:conditionalFormatting xmlns:xm="http://schemas.microsoft.com/office/excel/2006/main">
          <x14:cfRule type="expression" priority="118" id="{B426D1A9-3035-472F-B802-13A26D2603E9}">
            <xm:f>'CALCULS Eau potable'!K$329&gt;1</xm:f>
            <x14:dxf>
              <fill>
                <patternFill>
                  <bgColor theme="9"/>
                </patternFill>
              </fill>
            </x14:dxf>
          </x14:cfRule>
          <xm:sqref>AL150</xm:sqref>
        </x14:conditionalFormatting>
        <x14:conditionalFormatting xmlns:xm="http://schemas.microsoft.com/office/excel/2006/main">
          <x14:cfRule type="expression" priority="117" id="{4696474F-67E3-424A-9DEA-640B7B4279A8}">
            <xm:f>'CALCULS Eau potable'!K$329&gt;0</xm:f>
            <x14:dxf>
              <fill>
                <patternFill>
                  <bgColor theme="9"/>
                </patternFill>
              </fill>
            </x14:dxf>
          </x14:cfRule>
          <xm:sqref>AL151</xm:sqref>
        </x14:conditionalFormatting>
        <x14:conditionalFormatting xmlns:xm="http://schemas.microsoft.com/office/excel/2006/main">
          <x14:cfRule type="expression" priority="131" id="{5C55C531-FAEB-47BC-9BFE-F2D8D80C38B9}">
            <xm:f>'CALCULS Eau potable'!L$329&gt;4</xm:f>
            <x14:dxf>
              <fill>
                <patternFill>
                  <bgColor theme="9" tint="-0.499984740745262"/>
                </patternFill>
              </fill>
            </x14:dxf>
          </x14:cfRule>
          <xm:sqref>AN147</xm:sqref>
        </x14:conditionalFormatting>
        <x14:conditionalFormatting xmlns:xm="http://schemas.microsoft.com/office/excel/2006/main">
          <x14:cfRule type="expression" priority="130" id="{D72221C5-05D1-4BFC-8DE6-A47EF72F5C30}">
            <xm:f>'CALCULS Eau potable'!L$329&gt;3</xm:f>
            <x14:dxf>
              <fill>
                <patternFill>
                  <bgColor theme="9" tint="-0.499984740745262"/>
                </patternFill>
              </fill>
            </x14:dxf>
          </x14:cfRule>
          <xm:sqref>AN148</xm:sqref>
        </x14:conditionalFormatting>
        <x14:conditionalFormatting xmlns:xm="http://schemas.microsoft.com/office/excel/2006/main">
          <x14:cfRule type="expression" priority="129" id="{2E52ADA2-39C9-488B-91B5-8DC87C731FD0}">
            <xm:f>'CALCULS Eau potable'!L$329&gt;2</xm:f>
            <x14:dxf>
              <fill>
                <patternFill>
                  <bgColor theme="9" tint="-0.499984740745262"/>
                </patternFill>
              </fill>
            </x14:dxf>
          </x14:cfRule>
          <xm:sqref>AN149</xm:sqref>
        </x14:conditionalFormatting>
        <x14:conditionalFormatting xmlns:xm="http://schemas.microsoft.com/office/excel/2006/main">
          <x14:cfRule type="expression" priority="128" id="{D3654864-4D06-48D1-B00F-4A1E0BF038BB}">
            <xm:f>'CALCULS Eau potable'!L$329&gt;1</xm:f>
            <x14:dxf>
              <fill>
                <patternFill>
                  <bgColor theme="9" tint="-0.499984740745262"/>
                </patternFill>
              </fill>
            </x14:dxf>
          </x14:cfRule>
          <xm:sqref>AN150</xm:sqref>
        </x14:conditionalFormatting>
        <x14:conditionalFormatting xmlns:xm="http://schemas.microsoft.com/office/excel/2006/main">
          <x14:cfRule type="expression" priority="127" id="{1E5DF1A0-263E-4188-A717-A73F0280AA6B}">
            <xm:f>'CALCULS Eau potable'!L$329&gt;0</xm:f>
            <x14:dxf>
              <fill>
                <patternFill>
                  <bgColor theme="9" tint="-0.499984740745262"/>
                </patternFill>
              </fill>
            </x14:dxf>
          </x14:cfRule>
          <xm:sqref>AN151</xm:sqref>
        </x14:conditionalFormatting>
        <x14:conditionalFormatting xmlns:xm="http://schemas.microsoft.com/office/excel/2006/main">
          <x14:cfRule type="expression" priority="17" id="{29FD4302-0B80-435D-9485-F49F16F62ADF}">
            <xm:f>OR('CALCULS Eau potable'!$I$105=1,'CALCULS Eau potable'!$I$105=4)</xm:f>
            <x14:dxf>
              <fill>
                <patternFill>
                  <bgColor rgb="FF7030A0"/>
                </patternFill>
              </fill>
            </x14:dxf>
          </x14:cfRule>
          <xm:sqref>BA61:BM61</xm:sqref>
        </x14:conditionalFormatting>
        <x14:conditionalFormatting xmlns:xm="http://schemas.microsoft.com/office/excel/2006/main">
          <x14:cfRule type="expression" priority="18" id="{CB04F7FF-ECC7-44FC-984E-8376F2D91C90}">
            <xm:f>OR('CALCULS Eau potable'!$I$106=1,'CALCULS Eau potable'!$I$106=4)</xm:f>
            <x14:dxf>
              <fill>
                <patternFill>
                  <bgColor rgb="FF7030A0"/>
                </patternFill>
              </fill>
            </x14:dxf>
          </x14:cfRule>
          <xm:sqref>BA63:BM63</xm:sqref>
        </x14:conditionalFormatting>
        <x14:conditionalFormatting xmlns:xm="http://schemas.microsoft.com/office/excel/2006/main">
          <x14:cfRule type="expression" priority="16" id="{58E571CC-E346-4977-B1E7-74A6A3320A0A}">
            <xm:f>OR('CALCULS Eau potable'!$I$107=1,'CALCULS Eau potable'!$I$107=4)</xm:f>
            <x14:dxf>
              <fill>
                <patternFill>
                  <bgColor rgb="FF7030A0"/>
                </patternFill>
              </fill>
            </x14:dxf>
          </x14:cfRule>
          <xm:sqref>BA65:BM65</xm:sqref>
        </x14:conditionalFormatting>
        <x14:conditionalFormatting xmlns:xm="http://schemas.microsoft.com/office/excel/2006/main">
          <x14:cfRule type="expression" priority="15" id="{6BC1C889-63A2-4069-ADBD-786CCFC8FCD2}">
            <xm:f>OR('CALCULS Eau potable'!$I$108=1,'CALCULS Eau potable'!$I$108=4)</xm:f>
            <x14:dxf>
              <fill>
                <patternFill>
                  <bgColor rgb="FF7030A0"/>
                </patternFill>
              </fill>
            </x14:dxf>
          </x14:cfRule>
          <xm:sqref>BA67:BM67</xm:sqref>
        </x14:conditionalFormatting>
        <x14:conditionalFormatting xmlns:xm="http://schemas.microsoft.com/office/excel/2006/main">
          <x14:cfRule type="expression" priority="14" id="{E9169CC5-D4EE-4120-BEB4-869364731230}">
            <xm:f>OR('CALCULS Eau potable'!$I$109=1,'CALCULS Eau potable'!$I$109=4)</xm:f>
            <x14:dxf>
              <fill>
                <patternFill>
                  <bgColor rgb="FF7030A0"/>
                </patternFill>
              </fill>
            </x14:dxf>
          </x14:cfRule>
          <xm:sqref>BA69:BM69</xm:sqref>
        </x14:conditionalFormatting>
        <x14:conditionalFormatting xmlns:xm="http://schemas.microsoft.com/office/excel/2006/main">
          <x14:cfRule type="expression" priority="13" id="{9BB82F7A-BEF9-44A7-9F81-136948146DAD}">
            <xm:f>OR('CALCULS Eau potable'!$I$110=1,'CALCULS Eau potable'!$I$110=4)</xm:f>
            <x14:dxf>
              <fill>
                <patternFill>
                  <bgColor rgb="FF7030A0"/>
                </patternFill>
              </fill>
            </x14:dxf>
          </x14:cfRule>
          <xm:sqref>BA71:BM71</xm:sqref>
        </x14:conditionalFormatting>
        <x14:conditionalFormatting xmlns:xm="http://schemas.microsoft.com/office/excel/2006/main">
          <x14:cfRule type="expression" priority="56" id="{FF6B536B-69EF-4119-9A37-6CDE43F7131D}">
            <xm:f>'CALCULS Eau potable'!E$339&gt;4</xm:f>
            <x14:dxf>
              <fill>
                <patternFill>
                  <bgColor rgb="FF428BCE"/>
                </patternFill>
              </fill>
            </x14:dxf>
          </x14:cfRule>
          <xm:sqref>BC147</xm:sqref>
        </x14:conditionalFormatting>
        <x14:conditionalFormatting xmlns:xm="http://schemas.microsoft.com/office/excel/2006/main">
          <x14:cfRule type="expression" priority="55" id="{9C327CDE-D40F-4762-824D-1F668F934D24}">
            <xm:f>'CALCULS Eau potable'!E$339&gt;3</xm:f>
            <x14:dxf>
              <fill>
                <patternFill>
                  <bgColor rgb="FF428BCE"/>
                </patternFill>
              </fill>
            </x14:dxf>
          </x14:cfRule>
          <xm:sqref>BC148</xm:sqref>
        </x14:conditionalFormatting>
        <x14:conditionalFormatting xmlns:xm="http://schemas.microsoft.com/office/excel/2006/main">
          <x14:cfRule type="expression" priority="54" id="{78160AF7-4944-4D7E-B3CA-00188EE00BDC}">
            <xm:f>'CALCULS Eau potable'!E$339&gt;2</xm:f>
            <x14:dxf>
              <fill>
                <patternFill>
                  <bgColor rgb="FF428BCE"/>
                </patternFill>
              </fill>
            </x14:dxf>
          </x14:cfRule>
          <xm:sqref>BC149</xm:sqref>
        </x14:conditionalFormatting>
        <x14:conditionalFormatting xmlns:xm="http://schemas.microsoft.com/office/excel/2006/main">
          <x14:cfRule type="expression" priority="53" id="{1974ADD5-6D45-4AF0-AD32-AAA0C2DFBD11}">
            <xm:f>'CALCULS Eau potable'!E$339&gt;1</xm:f>
            <x14:dxf>
              <fill>
                <patternFill>
                  <bgColor rgb="FF428BCE"/>
                </patternFill>
              </fill>
            </x14:dxf>
          </x14:cfRule>
          <xm:sqref>BC150</xm:sqref>
        </x14:conditionalFormatting>
        <x14:conditionalFormatting xmlns:xm="http://schemas.microsoft.com/office/excel/2006/main">
          <x14:cfRule type="expression" priority="52" id="{8A0EF33F-94A2-473A-A2D9-914C7ADFEEE5}">
            <xm:f>'CALCULS Eau potable'!E$339&gt;0</xm:f>
            <x14:dxf>
              <fill>
                <patternFill>
                  <bgColor rgb="FF428BCE"/>
                </patternFill>
              </fill>
            </x14:dxf>
          </x14:cfRule>
          <xm:sqref>BC151</xm:sqref>
        </x14:conditionalFormatting>
        <x14:conditionalFormatting xmlns:xm="http://schemas.microsoft.com/office/excel/2006/main">
          <x14:cfRule type="expression" priority="136" id="{0E9C04F2-3D14-4809-A47D-32412BC620DE}">
            <xm:f>'CALCULS Eau potable'!F$339&gt;4</xm:f>
            <x14:dxf>
              <fill>
                <patternFill>
                  <bgColor rgb="FF428BCE"/>
                </patternFill>
              </fill>
            </x14:dxf>
          </x14:cfRule>
          <xm:sqref>BE147</xm:sqref>
        </x14:conditionalFormatting>
        <x14:conditionalFormatting xmlns:xm="http://schemas.microsoft.com/office/excel/2006/main">
          <x14:cfRule type="expression" priority="135" id="{2BADC569-2D2A-4E5D-ADD7-4D2A615F8973}">
            <xm:f>'CALCULS Eau potable'!F$339&gt;3</xm:f>
            <x14:dxf>
              <fill>
                <patternFill>
                  <bgColor rgb="FF428BCE"/>
                </patternFill>
              </fill>
            </x14:dxf>
          </x14:cfRule>
          <xm:sqref>BE148</xm:sqref>
        </x14:conditionalFormatting>
        <x14:conditionalFormatting xmlns:xm="http://schemas.microsoft.com/office/excel/2006/main">
          <x14:cfRule type="expression" priority="134" id="{C748E5CB-BE67-414E-B482-CF03C11F333F}">
            <xm:f>'CALCULS Eau potable'!F$339&gt;2</xm:f>
            <x14:dxf>
              <fill>
                <patternFill>
                  <bgColor rgb="FF428BCE"/>
                </patternFill>
              </fill>
            </x14:dxf>
          </x14:cfRule>
          <xm:sqref>BE149</xm:sqref>
        </x14:conditionalFormatting>
        <x14:conditionalFormatting xmlns:xm="http://schemas.microsoft.com/office/excel/2006/main">
          <x14:cfRule type="expression" priority="133" id="{5B90F029-50E0-4462-8762-EDA5536023F2}">
            <xm:f>'CALCULS Eau potable'!F$339&gt;1</xm:f>
            <x14:dxf>
              <fill>
                <patternFill>
                  <bgColor rgb="FF428BCE"/>
                </patternFill>
              </fill>
            </x14:dxf>
          </x14:cfRule>
          <xm:sqref>BE150</xm:sqref>
        </x14:conditionalFormatting>
        <x14:conditionalFormatting xmlns:xm="http://schemas.microsoft.com/office/excel/2006/main">
          <x14:cfRule type="expression" priority="132" id="{6B4F46F9-9ADD-4898-9AAE-1284F2E91A95}">
            <xm:f>'CALCULS Eau potable'!F$339&gt;0</xm:f>
            <x14:dxf>
              <fill>
                <patternFill>
                  <bgColor rgb="FF428BCE"/>
                </patternFill>
              </fill>
            </x14:dxf>
          </x14:cfRule>
          <xm:sqref>BE151</xm:sqref>
        </x14:conditionalFormatting>
        <x14:conditionalFormatting xmlns:xm="http://schemas.microsoft.com/office/excel/2006/main">
          <x14:cfRule type="expression" priority="146" id="{F1635840-21C7-44EA-A895-7C8EA741D905}">
            <xm:f>'CALCULS Eau potable'!G$339&gt;4</xm:f>
            <x14:dxf>
              <fill>
                <patternFill>
                  <bgColor rgb="FF428BCE"/>
                </patternFill>
              </fill>
            </x14:dxf>
          </x14:cfRule>
          <xm:sqref>BG147</xm:sqref>
        </x14:conditionalFormatting>
        <x14:conditionalFormatting xmlns:xm="http://schemas.microsoft.com/office/excel/2006/main">
          <x14:cfRule type="expression" priority="145" id="{13FC92CC-179E-4EA1-849A-24F714E15A2E}">
            <xm:f>'CALCULS Eau potable'!G$339&gt;3</xm:f>
            <x14:dxf>
              <fill>
                <patternFill>
                  <bgColor rgb="FF428BCE"/>
                </patternFill>
              </fill>
            </x14:dxf>
          </x14:cfRule>
          <xm:sqref>BG148</xm:sqref>
        </x14:conditionalFormatting>
        <x14:conditionalFormatting xmlns:xm="http://schemas.microsoft.com/office/excel/2006/main">
          <x14:cfRule type="expression" priority="144" id="{4BC8235B-57A0-4C07-9CF9-A1557BC47A30}">
            <xm:f>'CALCULS Eau potable'!G$339&gt;2</xm:f>
            <x14:dxf>
              <fill>
                <patternFill>
                  <bgColor rgb="FF428BCE"/>
                </patternFill>
              </fill>
            </x14:dxf>
          </x14:cfRule>
          <xm:sqref>BG149</xm:sqref>
        </x14:conditionalFormatting>
        <x14:conditionalFormatting xmlns:xm="http://schemas.microsoft.com/office/excel/2006/main">
          <x14:cfRule type="expression" priority="143" id="{86823218-3A29-4163-B408-13A23A5287BA}">
            <xm:f>'CALCULS Eau potable'!G$339&gt;1</xm:f>
            <x14:dxf>
              <fill>
                <patternFill>
                  <bgColor rgb="FF428BCE"/>
                </patternFill>
              </fill>
            </x14:dxf>
          </x14:cfRule>
          <xm:sqref>BG150</xm:sqref>
        </x14:conditionalFormatting>
        <x14:conditionalFormatting xmlns:xm="http://schemas.microsoft.com/office/excel/2006/main">
          <x14:cfRule type="expression" priority="142" id="{D94F5802-52BA-46FA-96CC-BD893ABEAFBD}">
            <xm:f>'CALCULS Eau potable'!G$339&gt;0</xm:f>
            <x14:dxf>
              <fill>
                <patternFill>
                  <bgColor rgb="FF428BCE"/>
                </patternFill>
              </fill>
            </x14:dxf>
          </x14:cfRule>
          <xm:sqref>BG151</xm:sqref>
        </x14:conditionalFormatting>
        <x14:conditionalFormatting xmlns:xm="http://schemas.microsoft.com/office/excel/2006/main">
          <x14:cfRule type="expression" priority="156" id="{570E696A-2CB1-4E4A-9CE0-1B2AEA1FF64F}">
            <xm:f>'CALCULS Eau potable'!H$339&gt;4</xm:f>
            <x14:dxf>
              <fill>
                <patternFill>
                  <bgColor rgb="FF428BCE"/>
                </patternFill>
              </fill>
            </x14:dxf>
          </x14:cfRule>
          <xm:sqref>BI147</xm:sqref>
        </x14:conditionalFormatting>
        <x14:conditionalFormatting xmlns:xm="http://schemas.microsoft.com/office/excel/2006/main">
          <x14:cfRule type="expression" priority="155" id="{5A3CF186-92C9-4184-A878-822DF36C55A8}">
            <xm:f>'CALCULS Eau potable'!H$339&gt;3</xm:f>
            <x14:dxf>
              <fill>
                <patternFill>
                  <bgColor rgb="FF428BCE"/>
                </patternFill>
              </fill>
            </x14:dxf>
          </x14:cfRule>
          <xm:sqref>BI148</xm:sqref>
        </x14:conditionalFormatting>
        <x14:conditionalFormatting xmlns:xm="http://schemas.microsoft.com/office/excel/2006/main">
          <x14:cfRule type="expression" priority="154" id="{467D6F28-11F0-443C-B111-33A76E0FAB66}">
            <xm:f>'CALCULS Eau potable'!H$339&gt;2</xm:f>
            <x14:dxf>
              <fill>
                <patternFill>
                  <bgColor rgb="FF428BCE"/>
                </patternFill>
              </fill>
            </x14:dxf>
          </x14:cfRule>
          <xm:sqref>BI149</xm:sqref>
        </x14:conditionalFormatting>
        <x14:conditionalFormatting xmlns:xm="http://schemas.microsoft.com/office/excel/2006/main">
          <x14:cfRule type="expression" priority="153" id="{470FD59E-0A10-4FBD-8BDD-583BD3DDDF67}">
            <xm:f>'CALCULS Eau potable'!H$339&gt;1</xm:f>
            <x14:dxf>
              <fill>
                <patternFill>
                  <bgColor rgb="FF428BCE"/>
                </patternFill>
              </fill>
            </x14:dxf>
          </x14:cfRule>
          <xm:sqref>BI150</xm:sqref>
        </x14:conditionalFormatting>
        <x14:conditionalFormatting xmlns:xm="http://schemas.microsoft.com/office/excel/2006/main">
          <x14:cfRule type="expression" priority="152" id="{088B0C1C-1E01-4B1F-AACD-61287D149A66}">
            <xm:f>'CALCULS Eau potable'!H$339&gt;0</xm:f>
            <x14:dxf>
              <fill>
                <patternFill>
                  <bgColor rgb="FF428BCE"/>
                </patternFill>
              </fill>
            </x14:dxf>
          </x14:cfRule>
          <xm:sqref>BI151</xm:sqref>
        </x14:conditionalFormatting>
        <x14:conditionalFormatting xmlns:xm="http://schemas.microsoft.com/office/excel/2006/main">
          <x14:cfRule type="expression" priority="166" id="{46A58BA2-FEE4-4372-8746-2D233FC6BF76}">
            <xm:f>'CALCULS Eau potable'!I$339&gt;4</xm:f>
            <x14:dxf>
              <fill>
                <patternFill>
                  <bgColor rgb="FF428BCE"/>
                </patternFill>
              </fill>
            </x14:dxf>
          </x14:cfRule>
          <xm:sqref>BK147</xm:sqref>
        </x14:conditionalFormatting>
        <x14:conditionalFormatting xmlns:xm="http://schemas.microsoft.com/office/excel/2006/main">
          <x14:cfRule type="expression" priority="165" id="{9AEF29C8-5F97-4700-A674-51C139FF0BF3}">
            <xm:f>'CALCULS Eau potable'!I$339&gt;3</xm:f>
            <x14:dxf>
              <fill>
                <patternFill>
                  <bgColor rgb="FF428BCE"/>
                </patternFill>
              </fill>
            </x14:dxf>
          </x14:cfRule>
          <xm:sqref>BK148</xm:sqref>
        </x14:conditionalFormatting>
        <x14:conditionalFormatting xmlns:xm="http://schemas.microsoft.com/office/excel/2006/main">
          <x14:cfRule type="expression" priority="164" id="{C4FF7AA3-34D9-4795-A6AF-562EDE8EABDD}">
            <xm:f>'CALCULS Eau potable'!I$339&gt;2</xm:f>
            <x14:dxf>
              <fill>
                <patternFill>
                  <bgColor rgb="FF428BCE"/>
                </patternFill>
              </fill>
            </x14:dxf>
          </x14:cfRule>
          <xm:sqref>BK149</xm:sqref>
        </x14:conditionalFormatting>
        <x14:conditionalFormatting xmlns:xm="http://schemas.microsoft.com/office/excel/2006/main">
          <x14:cfRule type="expression" priority="163" id="{2C1D1AB1-5F59-4B83-B7C0-902602A0A849}">
            <xm:f>'CALCULS Eau potable'!I$339&gt;1</xm:f>
            <x14:dxf>
              <fill>
                <patternFill>
                  <bgColor rgb="FF428BCE"/>
                </patternFill>
              </fill>
            </x14:dxf>
          </x14:cfRule>
          <xm:sqref>BK150</xm:sqref>
        </x14:conditionalFormatting>
        <x14:conditionalFormatting xmlns:xm="http://schemas.microsoft.com/office/excel/2006/main">
          <x14:cfRule type="expression" priority="162" id="{BF4694E7-1935-46B4-BED7-C91F303A6E24}">
            <xm:f>'CALCULS Eau potable'!I$339&gt;0</xm:f>
            <x14:dxf>
              <fill>
                <patternFill>
                  <bgColor rgb="FF428BCE"/>
                </patternFill>
              </fill>
            </x14:dxf>
          </x14:cfRule>
          <xm:sqref>BK151</xm:sqref>
        </x14:conditionalFormatting>
        <x14:conditionalFormatting xmlns:xm="http://schemas.microsoft.com/office/excel/2006/main">
          <x14:cfRule type="expression" priority="176" id="{68FC9434-C13F-4F18-9E08-E6099A1CBD3A}">
            <xm:f>'CALCULS Eau potable'!J$339&gt;4</xm:f>
            <x14:dxf>
              <fill>
                <patternFill>
                  <bgColor rgb="FF428BCE"/>
                </patternFill>
              </fill>
            </x14:dxf>
          </x14:cfRule>
          <xm:sqref>BM147</xm:sqref>
        </x14:conditionalFormatting>
        <x14:conditionalFormatting xmlns:xm="http://schemas.microsoft.com/office/excel/2006/main">
          <x14:cfRule type="expression" priority="175" id="{1DBBEAAE-4D74-4294-B27F-829D81A18F94}">
            <xm:f>'CALCULS Eau potable'!J$339&gt;3</xm:f>
            <x14:dxf>
              <fill>
                <patternFill>
                  <bgColor rgb="FF428BCE"/>
                </patternFill>
              </fill>
            </x14:dxf>
          </x14:cfRule>
          <xm:sqref>BM148</xm:sqref>
        </x14:conditionalFormatting>
        <x14:conditionalFormatting xmlns:xm="http://schemas.microsoft.com/office/excel/2006/main">
          <x14:cfRule type="expression" priority="174" id="{83134B3F-9696-4D03-B16C-1D0351621ACD}">
            <xm:f>'CALCULS Eau potable'!J$339&gt;2</xm:f>
            <x14:dxf>
              <fill>
                <patternFill>
                  <bgColor rgb="FF428BCE"/>
                </patternFill>
              </fill>
            </x14:dxf>
          </x14:cfRule>
          <xm:sqref>BM149</xm:sqref>
        </x14:conditionalFormatting>
        <x14:conditionalFormatting xmlns:xm="http://schemas.microsoft.com/office/excel/2006/main">
          <x14:cfRule type="expression" priority="173" id="{83894F3B-536D-42C5-ABB9-EB44A9F2CF2F}">
            <xm:f>'CALCULS Eau potable'!J$339&gt;1</xm:f>
            <x14:dxf>
              <fill>
                <patternFill>
                  <bgColor rgb="FF428BCE"/>
                </patternFill>
              </fill>
            </x14:dxf>
          </x14:cfRule>
          <xm:sqref>BM150</xm:sqref>
        </x14:conditionalFormatting>
        <x14:conditionalFormatting xmlns:xm="http://schemas.microsoft.com/office/excel/2006/main">
          <x14:cfRule type="expression" priority="172" id="{CAAD1F72-22E0-461E-A75E-147E3B459FD9}">
            <xm:f>'CALCULS Eau potable'!J$339&gt;0</xm:f>
            <x14:dxf>
              <fill>
                <patternFill>
                  <bgColor rgb="FF428BCE"/>
                </patternFill>
              </fill>
            </x14:dxf>
          </x14:cfRule>
          <xm:sqref>BM151</xm:sqref>
        </x14:conditionalFormatting>
        <x14:conditionalFormatting xmlns:xm="http://schemas.microsoft.com/office/excel/2006/main">
          <x14:cfRule type="expression" priority="12" id="{5B018688-39D2-4A3A-A4C3-645A60AF9E64}">
            <xm:f>OR('CALCULS Eau potable'!$I$105=2,'CALCULS Eau potable'!$I$105=4)</xm:f>
            <x14:dxf>
              <fill>
                <patternFill>
                  <bgColor rgb="FF7030A0"/>
                </patternFill>
              </fill>
            </x14:dxf>
          </x14:cfRule>
          <xm:sqref>BN61:BX61</xm:sqref>
        </x14:conditionalFormatting>
        <x14:conditionalFormatting xmlns:xm="http://schemas.microsoft.com/office/excel/2006/main">
          <x14:cfRule type="expression" priority="11" id="{3AE4BA3C-4544-4275-AB2B-CF17EED311F9}">
            <xm:f>OR('CALCULS Eau potable'!$I$106=2,'CALCULS Eau potable'!$I$106=4)</xm:f>
            <x14:dxf>
              <fill>
                <patternFill>
                  <bgColor rgb="FF7030A0"/>
                </patternFill>
              </fill>
            </x14:dxf>
          </x14:cfRule>
          <xm:sqref>BN63:BX63</xm:sqref>
        </x14:conditionalFormatting>
        <x14:conditionalFormatting xmlns:xm="http://schemas.microsoft.com/office/excel/2006/main">
          <x14:cfRule type="expression" priority="10" id="{10722873-86E4-4C6F-BBCC-0E2F7D0EA509}">
            <xm:f>OR('CALCULS Eau potable'!$I$107=2,'CALCULS Eau potable'!$I$107=4)</xm:f>
            <x14:dxf>
              <fill>
                <patternFill>
                  <bgColor rgb="FF7030A0"/>
                </patternFill>
              </fill>
            </x14:dxf>
          </x14:cfRule>
          <xm:sqref>BN65:BX65</xm:sqref>
        </x14:conditionalFormatting>
        <x14:conditionalFormatting xmlns:xm="http://schemas.microsoft.com/office/excel/2006/main">
          <x14:cfRule type="expression" priority="9" id="{F4497402-D349-4DA7-91A3-2E05506B8495}">
            <xm:f>OR('CALCULS Eau potable'!$I$108=2,'CALCULS Eau potable'!$I$108=4)</xm:f>
            <x14:dxf>
              <fill>
                <patternFill>
                  <bgColor rgb="FF7030A0"/>
                </patternFill>
              </fill>
            </x14:dxf>
          </x14:cfRule>
          <xm:sqref>BN67:BX67</xm:sqref>
        </x14:conditionalFormatting>
        <x14:conditionalFormatting xmlns:xm="http://schemas.microsoft.com/office/excel/2006/main">
          <x14:cfRule type="expression" priority="8" id="{B3C3233D-BBF1-4860-93FB-695A805F7C3D}">
            <xm:f>OR('CALCULS Eau potable'!$I$109=2,'CALCULS Eau potable'!$I$109=4)</xm:f>
            <x14:dxf>
              <fill>
                <patternFill>
                  <bgColor rgb="FF7030A0"/>
                </patternFill>
              </fill>
            </x14:dxf>
          </x14:cfRule>
          <xm:sqref>BN69:BX69</xm:sqref>
        </x14:conditionalFormatting>
        <x14:conditionalFormatting xmlns:xm="http://schemas.microsoft.com/office/excel/2006/main">
          <x14:cfRule type="expression" priority="7" id="{0ACF3E14-042A-4892-B629-992082D110EA}">
            <xm:f>OR('CALCULS Eau potable'!$I$110=2,'CALCULS Eau potable'!$I$110=4)</xm:f>
            <x14:dxf>
              <fill>
                <patternFill>
                  <bgColor rgb="FF7030A0"/>
                </patternFill>
              </fill>
            </x14:dxf>
          </x14:cfRule>
          <xm:sqref>BN71:BX71</xm:sqref>
        </x14:conditionalFormatting>
        <x14:conditionalFormatting xmlns:xm="http://schemas.microsoft.com/office/excel/2006/main">
          <x14:cfRule type="expression" priority="186" id="{FB586E4E-FCA8-410B-8B3B-2D8401C520C0}">
            <xm:f>'CALCULS Eau potable'!K$339&gt;4</xm:f>
            <x14:dxf>
              <fill>
                <patternFill>
                  <bgColor rgb="FF428BCE"/>
                </patternFill>
              </fill>
            </x14:dxf>
          </x14:cfRule>
          <xm:sqref>BO147</xm:sqref>
        </x14:conditionalFormatting>
        <x14:conditionalFormatting xmlns:xm="http://schemas.microsoft.com/office/excel/2006/main">
          <x14:cfRule type="expression" priority="185" id="{6CE40A04-31B9-4479-BA78-45B3E3280556}">
            <xm:f>'CALCULS Eau potable'!K$339&gt;3</xm:f>
            <x14:dxf>
              <fill>
                <patternFill>
                  <bgColor rgb="FF428BCE"/>
                </patternFill>
              </fill>
            </x14:dxf>
          </x14:cfRule>
          <xm:sqref>BO148</xm:sqref>
        </x14:conditionalFormatting>
        <x14:conditionalFormatting xmlns:xm="http://schemas.microsoft.com/office/excel/2006/main">
          <x14:cfRule type="expression" priority="184" id="{25E06532-7674-4E5B-B5E7-9BF68908E263}">
            <xm:f>'CALCULS Eau potable'!K$339&gt;2</xm:f>
            <x14:dxf>
              <fill>
                <patternFill>
                  <bgColor rgb="FF428BCE"/>
                </patternFill>
              </fill>
            </x14:dxf>
          </x14:cfRule>
          <xm:sqref>BO149</xm:sqref>
        </x14:conditionalFormatting>
        <x14:conditionalFormatting xmlns:xm="http://schemas.microsoft.com/office/excel/2006/main">
          <x14:cfRule type="expression" priority="183" id="{8171971E-230E-44F1-9CCF-AC066DE2D61D}">
            <xm:f>'CALCULS Eau potable'!K$339&gt;1</xm:f>
            <x14:dxf>
              <fill>
                <patternFill>
                  <bgColor rgb="FF428BCE"/>
                </patternFill>
              </fill>
            </x14:dxf>
          </x14:cfRule>
          <xm:sqref>BO150</xm:sqref>
        </x14:conditionalFormatting>
        <x14:conditionalFormatting xmlns:xm="http://schemas.microsoft.com/office/excel/2006/main">
          <x14:cfRule type="expression" priority="182" id="{68B60338-1C8F-478C-9C88-637AAC8D9D6A}">
            <xm:f>'CALCULS Eau potable'!K$339&gt;0</xm:f>
            <x14:dxf>
              <fill>
                <patternFill>
                  <bgColor rgb="FF428BCE"/>
                </patternFill>
              </fill>
            </x14:dxf>
          </x14:cfRule>
          <xm:sqref>BO151</xm:sqref>
        </x14:conditionalFormatting>
        <x14:conditionalFormatting xmlns:xm="http://schemas.microsoft.com/office/excel/2006/main">
          <x14:cfRule type="expression" priority="196" id="{DD47836E-A0DB-413C-AB99-7533A4727D1B}">
            <xm:f>'CALCULS Eau potable'!L$339&gt;4</xm:f>
            <x14:dxf>
              <fill>
                <patternFill>
                  <bgColor theme="8" tint="-0.499984740745262"/>
                </patternFill>
              </fill>
            </x14:dxf>
          </x14:cfRule>
          <xm:sqref>BQ147:BR147</xm:sqref>
        </x14:conditionalFormatting>
        <x14:conditionalFormatting xmlns:xm="http://schemas.microsoft.com/office/excel/2006/main">
          <x14:cfRule type="expression" priority="195" id="{B1802B3A-AA79-4542-BB5C-D02F5C3AEDD6}">
            <xm:f>'CALCULS Eau potable'!L$339&gt;3</xm:f>
            <x14:dxf>
              <fill>
                <patternFill>
                  <bgColor theme="8" tint="-0.499984740745262"/>
                </patternFill>
              </fill>
            </x14:dxf>
          </x14:cfRule>
          <xm:sqref>BQ148:BR148</xm:sqref>
        </x14:conditionalFormatting>
        <x14:conditionalFormatting xmlns:xm="http://schemas.microsoft.com/office/excel/2006/main">
          <x14:cfRule type="expression" priority="194" id="{BF4FFCB1-AAC6-4E42-A0A1-EA970B50C480}">
            <xm:f>'CALCULS Eau potable'!L$339&gt;2</xm:f>
            <x14:dxf>
              <fill>
                <patternFill>
                  <bgColor theme="8" tint="-0.499984740745262"/>
                </patternFill>
              </fill>
            </x14:dxf>
          </x14:cfRule>
          <xm:sqref>BQ149:BR149</xm:sqref>
        </x14:conditionalFormatting>
        <x14:conditionalFormatting xmlns:xm="http://schemas.microsoft.com/office/excel/2006/main">
          <x14:cfRule type="expression" priority="193" id="{322CE7C1-5A2C-4A9A-B867-B613B991B097}">
            <xm:f>'CALCULS Eau potable'!L$339&gt;1</xm:f>
            <x14:dxf>
              <fill>
                <patternFill>
                  <bgColor theme="8" tint="-0.499984740745262"/>
                </patternFill>
              </fill>
            </x14:dxf>
          </x14:cfRule>
          <xm:sqref>BQ150:BR150</xm:sqref>
        </x14:conditionalFormatting>
        <x14:conditionalFormatting xmlns:xm="http://schemas.microsoft.com/office/excel/2006/main">
          <x14:cfRule type="expression" priority="192" id="{06CB4959-795B-4175-860A-F87A9C62354F}">
            <xm:f>'CALCULS Eau potable'!L$339&gt;0</xm:f>
            <x14:dxf>
              <fill>
                <patternFill>
                  <bgColor theme="8" tint="-0.499984740745262"/>
                </patternFill>
              </fill>
            </x14:dxf>
          </x14:cfRule>
          <xm:sqref>BQ151:BR151</xm:sqref>
        </x14:conditionalFormatting>
        <x14:conditionalFormatting xmlns:xm="http://schemas.microsoft.com/office/excel/2006/main">
          <x14:cfRule type="expression" priority="61" id="{EDD63318-CB63-449E-AE5A-C53FF8014D9E}">
            <xm:f>'CALCULS Eau potable'!E$341&gt;4</xm:f>
            <x14:dxf>
              <fill>
                <patternFill>
                  <bgColor rgb="FF428BCE"/>
                </patternFill>
              </fill>
            </x14:dxf>
          </x14:cfRule>
          <xm:sqref>BT147</xm:sqref>
        </x14:conditionalFormatting>
        <x14:conditionalFormatting xmlns:xm="http://schemas.microsoft.com/office/excel/2006/main">
          <x14:cfRule type="expression" priority="60" id="{4CCCC631-9CE5-4093-8230-0030DBEE1D71}">
            <xm:f>'CALCULS Eau potable'!E$341&gt;3</xm:f>
            <x14:dxf>
              <fill>
                <patternFill>
                  <bgColor rgb="FF428BCE"/>
                </patternFill>
              </fill>
            </x14:dxf>
          </x14:cfRule>
          <xm:sqref>BT148</xm:sqref>
        </x14:conditionalFormatting>
        <x14:conditionalFormatting xmlns:xm="http://schemas.microsoft.com/office/excel/2006/main">
          <x14:cfRule type="expression" priority="59" id="{E61627A6-2D63-4C90-A545-2F20EC1D34C6}">
            <xm:f>'CALCULS Eau potable'!E$341&gt;2</xm:f>
            <x14:dxf>
              <fill>
                <patternFill>
                  <bgColor rgb="FF428BCE"/>
                </patternFill>
              </fill>
            </x14:dxf>
          </x14:cfRule>
          <xm:sqref>BT149</xm:sqref>
        </x14:conditionalFormatting>
        <x14:conditionalFormatting xmlns:xm="http://schemas.microsoft.com/office/excel/2006/main">
          <x14:cfRule type="expression" priority="58" id="{13CA62FD-D58A-4312-95F6-F871C6BB5FEA}">
            <xm:f>'CALCULS Eau potable'!E$341&gt;1</xm:f>
            <x14:dxf>
              <fill>
                <patternFill>
                  <bgColor rgb="FF428BCE"/>
                </patternFill>
              </fill>
            </x14:dxf>
          </x14:cfRule>
          <xm:sqref>BT150</xm:sqref>
        </x14:conditionalFormatting>
        <x14:conditionalFormatting xmlns:xm="http://schemas.microsoft.com/office/excel/2006/main">
          <x14:cfRule type="expression" priority="57" id="{C1F6073E-6127-45B5-9C33-CF8C79B73A9D}">
            <xm:f>'CALCULS Eau potable'!E$341&gt;0</xm:f>
            <x14:dxf>
              <fill>
                <patternFill>
                  <bgColor rgb="FF428BCE"/>
                </patternFill>
              </fill>
            </x14:dxf>
          </x14:cfRule>
          <xm:sqref>BT151</xm:sqref>
        </x14:conditionalFormatting>
        <x14:conditionalFormatting xmlns:xm="http://schemas.microsoft.com/office/excel/2006/main">
          <x14:cfRule type="expression" priority="141" id="{3E1544F7-B3FD-4E18-B131-90682E09FC2D}">
            <xm:f>'CALCULS Eau potable'!F$341&gt;4</xm:f>
            <x14:dxf>
              <fill>
                <patternFill>
                  <bgColor rgb="FF428BCE"/>
                </patternFill>
              </fill>
            </x14:dxf>
          </x14:cfRule>
          <xm:sqref>BV147</xm:sqref>
        </x14:conditionalFormatting>
        <x14:conditionalFormatting xmlns:xm="http://schemas.microsoft.com/office/excel/2006/main">
          <x14:cfRule type="expression" priority="140" id="{35AB8E49-0332-4750-88DF-E6ED2C72F933}">
            <xm:f>'CALCULS Eau potable'!F$341&gt;3</xm:f>
            <x14:dxf>
              <fill>
                <patternFill>
                  <bgColor rgb="FF428BCE"/>
                </patternFill>
              </fill>
            </x14:dxf>
          </x14:cfRule>
          <xm:sqref>BV148</xm:sqref>
        </x14:conditionalFormatting>
        <x14:conditionalFormatting xmlns:xm="http://schemas.microsoft.com/office/excel/2006/main">
          <x14:cfRule type="expression" priority="139" id="{0E9898A9-5F0F-40C9-BF60-157C3E1617C8}">
            <xm:f>'CALCULS Eau potable'!F$341&gt;2</xm:f>
            <x14:dxf>
              <fill>
                <patternFill>
                  <bgColor rgb="FF428BCE"/>
                </patternFill>
              </fill>
            </x14:dxf>
          </x14:cfRule>
          <xm:sqref>BV149</xm:sqref>
        </x14:conditionalFormatting>
        <x14:conditionalFormatting xmlns:xm="http://schemas.microsoft.com/office/excel/2006/main">
          <x14:cfRule type="expression" priority="138" id="{45840E04-080B-4CC9-BA1D-D3A8E76C42A7}">
            <xm:f>'CALCULS Eau potable'!F$341&gt;1</xm:f>
            <x14:dxf>
              <fill>
                <patternFill>
                  <bgColor rgb="FF428BCE"/>
                </patternFill>
              </fill>
            </x14:dxf>
          </x14:cfRule>
          <xm:sqref>BV150</xm:sqref>
        </x14:conditionalFormatting>
        <x14:conditionalFormatting xmlns:xm="http://schemas.microsoft.com/office/excel/2006/main">
          <x14:cfRule type="expression" priority="137" id="{53D7AAFF-E148-46EF-B355-4483D0FFBC53}">
            <xm:f>'CALCULS Eau potable'!F$341&gt;0</xm:f>
            <x14:dxf>
              <fill>
                <patternFill>
                  <bgColor rgb="FF428BCE"/>
                </patternFill>
              </fill>
            </x14:dxf>
          </x14:cfRule>
          <xm:sqref>BV151</xm:sqref>
        </x14:conditionalFormatting>
        <x14:conditionalFormatting xmlns:xm="http://schemas.microsoft.com/office/excel/2006/main">
          <x14:cfRule type="expression" priority="151" id="{865AC8E2-C10F-4198-ADB5-164F99E86C5A}">
            <xm:f>'CALCULS Eau potable'!G$341&gt;4</xm:f>
            <x14:dxf>
              <fill>
                <patternFill>
                  <bgColor rgb="FF428BCE"/>
                </patternFill>
              </fill>
            </x14:dxf>
          </x14:cfRule>
          <xm:sqref>BX147</xm:sqref>
        </x14:conditionalFormatting>
        <x14:conditionalFormatting xmlns:xm="http://schemas.microsoft.com/office/excel/2006/main">
          <x14:cfRule type="expression" priority="150" id="{5AF27FC4-5826-4311-8E0F-4FD2F544D2A8}">
            <xm:f>'CALCULS Eau potable'!G$341&gt;3</xm:f>
            <x14:dxf>
              <fill>
                <patternFill>
                  <bgColor rgb="FF428BCE"/>
                </patternFill>
              </fill>
            </x14:dxf>
          </x14:cfRule>
          <xm:sqref>BX148</xm:sqref>
        </x14:conditionalFormatting>
        <x14:conditionalFormatting xmlns:xm="http://schemas.microsoft.com/office/excel/2006/main">
          <x14:cfRule type="expression" priority="149" id="{68BB293C-C762-49C5-9930-610E034D305B}">
            <xm:f>'CALCULS Eau potable'!G$341&gt;2</xm:f>
            <x14:dxf>
              <fill>
                <patternFill>
                  <bgColor rgb="FF428BCE"/>
                </patternFill>
              </fill>
            </x14:dxf>
          </x14:cfRule>
          <xm:sqref>BX149</xm:sqref>
        </x14:conditionalFormatting>
        <x14:conditionalFormatting xmlns:xm="http://schemas.microsoft.com/office/excel/2006/main">
          <x14:cfRule type="expression" priority="148" id="{F4E60FB0-8C1B-4A24-94EB-0680201EFCC2}">
            <xm:f>'CALCULS Eau potable'!G$341&gt;1</xm:f>
            <x14:dxf>
              <fill>
                <patternFill>
                  <bgColor rgb="FF428BCE"/>
                </patternFill>
              </fill>
            </x14:dxf>
          </x14:cfRule>
          <xm:sqref>BX150</xm:sqref>
        </x14:conditionalFormatting>
        <x14:conditionalFormatting xmlns:xm="http://schemas.microsoft.com/office/excel/2006/main">
          <x14:cfRule type="expression" priority="147" id="{BF8BFBCD-E5B9-42A5-96E4-EA83375F1EC3}">
            <xm:f>'CALCULS Eau potable'!G$341&gt;0</xm:f>
            <x14:dxf>
              <fill>
                <patternFill>
                  <bgColor rgb="FF428BCE"/>
                </patternFill>
              </fill>
            </x14:dxf>
          </x14:cfRule>
          <xm:sqref>BX151</xm:sqref>
        </x14:conditionalFormatting>
        <x14:conditionalFormatting xmlns:xm="http://schemas.microsoft.com/office/excel/2006/main">
          <x14:cfRule type="expression" priority="1" id="{CD3866B5-A052-44E6-BA10-6E2F3543DC56}">
            <xm:f>OR('CALCULS Eau potable'!$I$105=3,'CALCULS Eau potable'!$I$105=4)</xm:f>
            <x14:dxf>
              <fill>
                <patternFill>
                  <bgColor rgb="FF7030A0"/>
                </patternFill>
              </fill>
            </x14:dxf>
          </x14:cfRule>
          <xm:sqref>BY61:CJ61</xm:sqref>
        </x14:conditionalFormatting>
        <x14:conditionalFormatting xmlns:xm="http://schemas.microsoft.com/office/excel/2006/main">
          <x14:cfRule type="expression" priority="2" id="{F9C3E850-9162-4A3D-8ABA-41F18BC0DDA4}">
            <xm:f>OR('CALCULS Eau potable'!$I$106=3,'CALCULS Eau potable'!$I$106=4)</xm:f>
            <x14:dxf>
              <fill>
                <patternFill>
                  <bgColor rgb="FF7030A0"/>
                </patternFill>
              </fill>
            </x14:dxf>
          </x14:cfRule>
          <xm:sqref>BY63:CJ63</xm:sqref>
        </x14:conditionalFormatting>
        <x14:conditionalFormatting xmlns:xm="http://schemas.microsoft.com/office/excel/2006/main">
          <x14:cfRule type="expression" priority="3" id="{42EC2BDD-CAB2-4F69-927D-B3A9E7921CB2}">
            <xm:f>OR('CALCULS Eau potable'!$I$107=3,'CALCULS Eau potable'!$I$107=4)</xm:f>
            <x14:dxf>
              <fill>
                <patternFill>
                  <bgColor rgb="FF7030A0"/>
                </patternFill>
              </fill>
            </x14:dxf>
          </x14:cfRule>
          <xm:sqref>BY65:CJ65</xm:sqref>
        </x14:conditionalFormatting>
        <x14:conditionalFormatting xmlns:xm="http://schemas.microsoft.com/office/excel/2006/main">
          <x14:cfRule type="expression" priority="4" id="{3FE23C9F-2760-427E-8CC8-49F5C0288B57}">
            <xm:f>OR('CALCULS Eau potable'!$I$108=3,'CALCULS Eau potable'!$I$108=4)</xm:f>
            <x14:dxf>
              <fill>
                <patternFill>
                  <bgColor rgb="FF7030A0"/>
                </patternFill>
              </fill>
            </x14:dxf>
          </x14:cfRule>
          <xm:sqref>BY67:CJ67</xm:sqref>
        </x14:conditionalFormatting>
        <x14:conditionalFormatting xmlns:xm="http://schemas.microsoft.com/office/excel/2006/main">
          <x14:cfRule type="expression" priority="5" id="{BDCCDE67-53E0-4CCE-AE42-0038FA0B11A8}">
            <xm:f>OR('CALCULS Eau potable'!$I$109=3,'CALCULS Eau potable'!$I$109=4)</xm:f>
            <x14:dxf>
              <fill>
                <patternFill>
                  <bgColor rgb="FF7030A0"/>
                </patternFill>
              </fill>
            </x14:dxf>
          </x14:cfRule>
          <xm:sqref>BY69:CJ69</xm:sqref>
        </x14:conditionalFormatting>
        <x14:conditionalFormatting xmlns:xm="http://schemas.microsoft.com/office/excel/2006/main">
          <x14:cfRule type="expression" priority="6" id="{5049BF31-AD74-4DA4-8C1A-6C3648085557}">
            <xm:f>OR('CALCULS Eau potable'!$I$110=3,'CALCULS Eau potable'!$I$110=4)</xm:f>
            <x14:dxf>
              <fill>
                <patternFill>
                  <bgColor rgb="FF7030A0"/>
                </patternFill>
              </fill>
            </x14:dxf>
          </x14:cfRule>
          <xm:sqref>BY71:CJ71</xm:sqref>
        </x14:conditionalFormatting>
        <x14:conditionalFormatting xmlns:xm="http://schemas.microsoft.com/office/excel/2006/main">
          <x14:cfRule type="expression" priority="161" id="{BEF42226-2C9E-49F8-AC60-3CF9B5FB3E7A}">
            <xm:f>'CALCULS Eau potable'!H$341&gt;4</xm:f>
            <x14:dxf>
              <fill>
                <patternFill>
                  <bgColor rgb="FF428BCE"/>
                </patternFill>
              </fill>
            </x14:dxf>
          </x14:cfRule>
          <xm:sqref>BZ147</xm:sqref>
        </x14:conditionalFormatting>
        <x14:conditionalFormatting xmlns:xm="http://schemas.microsoft.com/office/excel/2006/main">
          <x14:cfRule type="expression" priority="160" id="{1A08B35F-FE4A-46EE-9644-A25E04662794}">
            <xm:f>'CALCULS Eau potable'!H$341&gt;3</xm:f>
            <x14:dxf>
              <fill>
                <patternFill>
                  <bgColor rgb="FF428BCE"/>
                </patternFill>
              </fill>
            </x14:dxf>
          </x14:cfRule>
          <xm:sqref>BZ148</xm:sqref>
        </x14:conditionalFormatting>
        <x14:conditionalFormatting xmlns:xm="http://schemas.microsoft.com/office/excel/2006/main">
          <x14:cfRule type="expression" priority="159" id="{9C6EC6D2-81D6-4C03-91A0-C886F2F56CFB}">
            <xm:f>'CALCULS Eau potable'!H$341&gt;2</xm:f>
            <x14:dxf>
              <fill>
                <patternFill>
                  <bgColor rgb="FF428BCE"/>
                </patternFill>
              </fill>
            </x14:dxf>
          </x14:cfRule>
          <xm:sqref>BZ149</xm:sqref>
        </x14:conditionalFormatting>
        <x14:conditionalFormatting xmlns:xm="http://schemas.microsoft.com/office/excel/2006/main">
          <x14:cfRule type="expression" priority="158" id="{ED7E3703-4AB8-4A01-847F-4A48A069DA9D}">
            <xm:f>'CALCULS Eau potable'!H$341&gt;1</xm:f>
            <x14:dxf>
              <fill>
                <patternFill>
                  <bgColor rgb="FF428BCE"/>
                </patternFill>
              </fill>
            </x14:dxf>
          </x14:cfRule>
          <xm:sqref>BZ150</xm:sqref>
        </x14:conditionalFormatting>
        <x14:conditionalFormatting xmlns:xm="http://schemas.microsoft.com/office/excel/2006/main">
          <x14:cfRule type="expression" priority="157" id="{9755C68B-A75D-4E8F-8549-9949A9CE79C0}">
            <xm:f>'CALCULS Eau potable'!H$341&gt;0</xm:f>
            <x14:dxf>
              <fill>
                <patternFill>
                  <bgColor rgb="FF428BCE"/>
                </patternFill>
              </fill>
            </x14:dxf>
          </x14:cfRule>
          <xm:sqref>BZ151</xm:sqref>
        </x14:conditionalFormatting>
        <x14:conditionalFormatting xmlns:xm="http://schemas.microsoft.com/office/excel/2006/main">
          <x14:cfRule type="expression" priority="171" id="{A8511662-0BEA-4D85-B9ED-55AA22B65B4B}">
            <xm:f>'CALCULS Eau potable'!I$341&gt;4</xm:f>
            <x14:dxf>
              <fill>
                <patternFill>
                  <bgColor rgb="FF428BCE"/>
                </patternFill>
              </fill>
            </x14:dxf>
          </x14:cfRule>
          <xm:sqref>CB147</xm:sqref>
        </x14:conditionalFormatting>
        <x14:conditionalFormatting xmlns:xm="http://schemas.microsoft.com/office/excel/2006/main">
          <x14:cfRule type="expression" priority="170" id="{84256B29-326A-4142-85D7-5E14786E59B0}">
            <xm:f>'CALCULS Eau potable'!I$341&gt;3</xm:f>
            <x14:dxf>
              <fill>
                <patternFill>
                  <bgColor rgb="FF428BCE"/>
                </patternFill>
              </fill>
            </x14:dxf>
          </x14:cfRule>
          <xm:sqref>CB148</xm:sqref>
        </x14:conditionalFormatting>
        <x14:conditionalFormatting xmlns:xm="http://schemas.microsoft.com/office/excel/2006/main">
          <x14:cfRule type="expression" priority="169" id="{43D7DE07-00EE-4F17-861E-2AC5B8B0C91A}">
            <xm:f>'CALCULS Eau potable'!I$341&gt;2</xm:f>
            <x14:dxf>
              <fill>
                <patternFill>
                  <bgColor rgb="FF428BCE"/>
                </patternFill>
              </fill>
            </x14:dxf>
          </x14:cfRule>
          <xm:sqref>CB149</xm:sqref>
        </x14:conditionalFormatting>
        <x14:conditionalFormatting xmlns:xm="http://schemas.microsoft.com/office/excel/2006/main">
          <x14:cfRule type="expression" priority="168" id="{6C66341E-4E88-451D-BF4D-E8F2F86FA6C9}">
            <xm:f>'CALCULS Eau potable'!I$341&gt;1</xm:f>
            <x14:dxf>
              <fill>
                <patternFill>
                  <bgColor rgb="FF428BCE"/>
                </patternFill>
              </fill>
            </x14:dxf>
          </x14:cfRule>
          <xm:sqref>CB150</xm:sqref>
        </x14:conditionalFormatting>
        <x14:conditionalFormatting xmlns:xm="http://schemas.microsoft.com/office/excel/2006/main">
          <x14:cfRule type="expression" priority="167" id="{03D0A768-3CE5-443F-9D05-C0312F50ECE2}">
            <xm:f>'CALCULS Eau potable'!I$341&gt;0</xm:f>
            <x14:dxf>
              <fill>
                <patternFill>
                  <bgColor rgb="FF428BCE"/>
                </patternFill>
              </fill>
            </x14:dxf>
          </x14:cfRule>
          <xm:sqref>CB151</xm:sqref>
        </x14:conditionalFormatting>
        <x14:conditionalFormatting xmlns:xm="http://schemas.microsoft.com/office/excel/2006/main">
          <x14:cfRule type="expression" priority="181" id="{F91882DC-5E0F-4BF1-BDEC-309C9FB9E23B}">
            <xm:f>'CALCULS Eau potable'!J$341&gt;4</xm:f>
            <x14:dxf>
              <fill>
                <patternFill>
                  <bgColor rgb="FF428BCE"/>
                </patternFill>
              </fill>
            </x14:dxf>
          </x14:cfRule>
          <xm:sqref>CD147</xm:sqref>
        </x14:conditionalFormatting>
        <x14:conditionalFormatting xmlns:xm="http://schemas.microsoft.com/office/excel/2006/main">
          <x14:cfRule type="expression" priority="180" id="{65930182-3C12-4199-8043-9C5C858D6494}">
            <xm:f>'CALCULS Eau potable'!J$341&gt;3</xm:f>
            <x14:dxf>
              <fill>
                <patternFill>
                  <bgColor rgb="FF428BCE"/>
                </patternFill>
              </fill>
            </x14:dxf>
          </x14:cfRule>
          <xm:sqref>CD148</xm:sqref>
        </x14:conditionalFormatting>
        <x14:conditionalFormatting xmlns:xm="http://schemas.microsoft.com/office/excel/2006/main">
          <x14:cfRule type="expression" priority="179" id="{2EB144E5-5F2E-4440-BE75-5B42E166345D}">
            <xm:f>'CALCULS Eau potable'!J$341&gt;2</xm:f>
            <x14:dxf>
              <fill>
                <patternFill>
                  <bgColor rgb="FF428BCE"/>
                </patternFill>
              </fill>
            </x14:dxf>
          </x14:cfRule>
          <xm:sqref>CD149</xm:sqref>
        </x14:conditionalFormatting>
        <x14:conditionalFormatting xmlns:xm="http://schemas.microsoft.com/office/excel/2006/main">
          <x14:cfRule type="expression" priority="178" id="{843C6292-D1F5-409C-8C0B-7D5539DBEDC3}">
            <xm:f>'CALCULS Eau potable'!J$341&gt;1</xm:f>
            <x14:dxf>
              <fill>
                <patternFill>
                  <bgColor rgb="FF428BCE"/>
                </patternFill>
              </fill>
            </x14:dxf>
          </x14:cfRule>
          <xm:sqref>CD150</xm:sqref>
        </x14:conditionalFormatting>
        <x14:conditionalFormatting xmlns:xm="http://schemas.microsoft.com/office/excel/2006/main">
          <x14:cfRule type="expression" priority="177" id="{80628A4A-C974-4CE8-83F2-F7C05E9646A3}">
            <xm:f>'CALCULS Eau potable'!J$341&gt;0</xm:f>
            <x14:dxf>
              <fill>
                <patternFill>
                  <bgColor rgb="FF428BCE"/>
                </patternFill>
              </fill>
            </x14:dxf>
          </x14:cfRule>
          <xm:sqref>CD151</xm:sqref>
        </x14:conditionalFormatting>
        <x14:conditionalFormatting xmlns:xm="http://schemas.microsoft.com/office/excel/2006/main">
          <x14:cfRule type="expression" priority="191" id="{2DEBCB44-6B93-492D-8F6D-00FED4682C28}">
            <xm:f>'CALCULS Eau potable'!K$341&gt;4</xm:f>
            <x14:dxf>
              <fill>
                <patternFill>
                  <bgColor rgb="FF428BCE"/>
                </patternFill>
              </fill>
            </x14:dxf>
          </x14:cfRule>
          <xm:sqref>CF147</xm:sqref>
        </x14:conditionalFormatting>
        <x14:conditionalFormatting xmlns:xm="http://schemas.microsoft.com/office/excel/2006/main">
          <x14:cfRule type="expression" priority="190" id="{DD767518-1E92-4354-BADD-779EC345B584}">
            <xm:f>'CALCULS Eau potable'!K$341&gt;3</xm:f>
            <x14:dxf>
              <fill>
                <patternFill>
                  <bgColor rgb="FF428BCE"/>
                </patternFill>
              </fill>
            </x14:dxf>
          </x14:cfRule>
          <xm:sqref>CF148</xm:sqref>
        </x14:conditionalFormatting>
        <x14:conditionalFormatting xmlns:xm="http://schemas.microsoft.com/office/excel/2006/main">
          <x14:cfRule type="expression" priority="189" id="{167B59EF-D3DE-4588-9293-BBB1E6B2E744}">
            <xm:f>'CALCULS Eau potable'!K$341&gt;2</xm:f>
            <x14:dxf>
              <fill>
                <patternFill>
                  <bgColor rgb="FF428BCE"/>
                </patternFill>
              </fill>
            </x14:dxf>
          </x14:cfRule>
          <xm:sqref>CF149</xm:sqref>
        </x14:conditionalFormatting>
        <x14:conditionalFormatting xmlns:xm="http://schemas.microsoft.com/office/excel/2006/main">
          <x14:cfRule type="expression" priority="188" id="{C5422914-A901-45D9-AD33-DC4CD5FA69F9}">
            <xm:f>'CALCULS Eau potable'!K$341&gt;1</xm:f>
            <x14:dxf>
              <fill>
                <patternFill>
                  <bgColor rgb="FF428BCE"/>
                </patternFill>
              </fill>
            </x14:dxf>
          </x14:cfRule>
          <xm:sqref>CF150</xm:sqref>
        </x14:conditionalFormatting>
        <x14:conditionalFormatting xmlns:xm="http://schemas.microsoft.com/office/excel/2006/main">
          <x14:cfRule type="expression" priority="187" id="{45D1A40F-FCD4-453E-B8AE-B29E5634EB2E}">
            <xm:f>'CALCULS Eau potable'!K$341&gt;0</xm:f>
            <x14:dxf>
              <fill>
                <patternFill>
                  <bgColor rgb="FF428BCE"/>
                </patternFill>
              </fill>
            </x14:dxf>
          </x14:cfRule>
          <xm:sqref>CF151</xm:sqref>
        </x14:conditionalFormatting>
        <x14:conditionalFormatting xmlns:xm="http://schemas.microsoft.com/office/excel/2006/main">
          <x14:cfRule type="expression" priority="201" id="{592CA9AA-57DD-4CD9-B16D-D36FC603CCE6}">
            <xm:f>'CALCULS Eau potable'!L$341&gt;4</xm:f>
            <x14:dxf>
              <fill>
                <patternFill>
                  <bgColor theme="8" tint="-0.499984740745262"/>
                </patternFill>
              </fill>
            </x14:dxf>
          </x14:cfRule>
          <xm:sqref>CH147</xm:sqref>
        </x14:conditionalFormatting>
        <x14:conditionalFormatting xmlns:xm="http://schemas.microsoft.com/office/excel/2006/main">
          <x14:cfRule type="expression" priority="200" id="{60296056-E4F7-4A85-9D17-3667AF497E82}">
            <xm:f>'CALCULS Eau potable'!L$341&gt;3</xm:f>
            <x14:dxf>
              <fill>
                <patternFill>
                  <bgColor theme="8" tint="-0.499984740745262"/>
                </patternFill>
              </fill>
            </x14:dxf>
          </x14:cfRule>
          <xm:sqref>CH148</xm:sqref>
        </x14:conditionalFormatting>
        <x14:conditionalFormatting xmlns:xm="http://schemas.microsoft.com/office/excel/2006/main">
          <x14:cfRule type="expression" priority="199" id="{33283408-0697-4738-896D-77516FE251AB}">
            <xm:f>'CALCULS Eau potable'!L$341&gt;2</xm:f>
            <x14:dxf>
              <fill>
                <patternFill>
                  <bgColor theme="8" tint="-0.499984740745262"/>
                </patternFill>
              </fill>
            </x14:dxf>
          </x14:cfRule>
          <xm:sqref>CH149</xm:sqref>
        </x14:conditionalFormatting>
        <x14:conditionalFormatting xmlns:xm="http://schemas.microsoft.com/office/excel/2006/main">
          <x14:cfRule type="expression" priority="198" id="{05F70737-3985-45D6-8447-7A1E499C97F4}">
            <xm:f>'CALCULS Eau potable'!L$341&gt;1</xm:f>
            <x14:dxf>
              <fill>
                <patternFill>
                  <bgColor theme="8" tint="-0.499984740745262"/>
                </patternFill>
              </fill>
            </x14:dxf>
          </x14:cfRule>
          <xm:sqref>CH150</xm:sqref>
        </x14:conditionalFormatting>
        <x14:conditionalFormatting xmlns:xm="http://schemas.microsoft.com/office/excel/2006/main">
          <x14:cfRule type="expression" priority="197" id="{14743804-F761-452A-B055-422F794C9E5A}">
            <xm:f>'CALCULS Eau potable'!L$341&gt;0</xm:f>
            <x14:dxf>
              <fill>
                <patternFill>
                  <bgColor theme="8" tint="-0.499984740745262"/>
                </patternFill>
              </fill>
            </x14:dxf>
          </x14:cfRule>
          <xm:sqref>CH151</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20</vt:i4>
      </vt:variant>
      <vt:variant>
        <vt:lpstr>Plages nommées</vt:lpstr>
      </vt:variant>
      <vt:variant>
        <vt:i4>32</vt:i4>
      </vt:variant>
    </vt:vector>
  </HeadingPairs>
  <TitlesOfParts>
    <vt:vector size="52" baseType="lpstr">
      <vt:lpstr>MAMH_BD_MUN</vt:lpstr>
      <vt:lpstr>MAMH_BD_COUT</vt:lpstr>
      <vt:lpstr>INTRODUCTION</vt:lpstr>
      <vt:lpstr>MODE D'EMPLOI</vt:lpstr>
      <vt:lpstr>IDENTIFICATION</vt:lpstr>
      <vt:lpstr>MENU DÉROULANT</vt:lpstr>
      <vt:lpstr>FORMULAIRE PGA Eau potable</vt:lpstr>
      <vt:lpstr>CALCULS Eau potable</vt:lpstr>
      <vt:lpstr>SOMMAIRE PGA Eau potable</vt:lpstr>
      <vt:lpstr>FORMULAIRE PGA Eaux usées</vt:lpstr>
      <vt:lpstr>CALCULS Eaux usées</vt:lpstr>
      <vt:lpstr>SOMMAIRE PGA Eaux usées</vt:lpstr>
      <vt:lpstr>FORMULAIRE PGA Eaux pluviales</vt:lpstr>
      <vt:lpstr>CALCULS Eaux pluviales</vt:lpstr>
      <vt:lpstr>SOMMAIRE PGA Eaux pluviales</vt:lpstr>
      <vt:lpstr>CALCULS Eau</vt:lpstr>
      <vt:lpstr>SOMMAIRE PGA EAU</vt:lpstr>
      <vt:lpstr>Liste municipalités</vt:lpstr>
      <vt:lpstr>Liste régies</vt:lpstr>
      <vt:lpstr>AIDE</vt:lpstr>
      <vt:lpstr>MAMH_BD_MUN!C_nb_sect_acompleter</vt:lpstr>
      <vt:lpstr>MAMH_BD_MUN!C_target_code_geo</vt:lpstr>
      <vt:lpstr>'CALCULS Eau'!Impression_des_titres</vt:lpstr>
      <vt:lpstr>'CALCULS Eau potable'!Impression_des_titres</vt:lpstr>
      <vt:lpstr>'CALCULS Eaux pluviales'!Impression_des_titres</vt:lpstr>
      <vt:lpstr>'CALCULS Eaux usées'!Impression_des_titres</vt:lpstr>
      <vt:lpstr>IDENTIFICATION!Impression_des_titres</vt:lpstr>
      <vt:lpstr>'Liste municipalités'!Impression_des_titres</vt:lpstr>
      <vt:lpstr>'Liste régies'!Impression_des_titres</vt:lpstr>
      <vt:lpstr>'MENU DÉROULANT'!Impression_des_titres</vt:lpstr>
      <vt:lpstr>'MODE D''EMPLOI'!Impression_des_titres</vt:lpstr>
      <vt:lpstr>'SOMMAIRE PGA Eau potable'!Impression_des_titres</vt:lpstr>
      <vt:lpstr>'SOMMAIRE PGA Eaux pluviales'!Impression_des_titres</vt:lpstr>
      <vt:lpstr>'SOMMAIRE PGA Eaux usées'!Impression_des_titres</vt:lpstr>
      <vt:lpstr>AIDE!Zone_d_impression</vt:lpstr>
      <vt:lpstr>'CALCULS Eau'!Zone_d_impression</vt:lpstr>
      <vt:lpstr>'CALCULS Eau potable'!Zone_d_impression</vt:lpstr>
      <vt:lpstr>'CALCULS Eaux pluviales'!Zone_d_impression</vt:lpstr>
      <vt:lpstr>'CALCULS Eaux usées'!Zone_d_impression</vt:lpstr>
      <vt:lpstr>'FORMULAIRE PGA Eau potable'!Zone_d_impression</vt:lpstr>
      <vt:lpstr>'FORMULAIRE PGA Eaux pluviales'!Zone_d_impression</vt:lpstr>
      <vt:lpstr>'FORMULAIRE PGA Eaux usées'!Zone_d_impression</vt:lpstr>
      <vt:lpstr>IDENTIFICATION!Zone_d_impression</vt:lpstr>
      <vt:lpstr>INTRODUCTION!Zone_d_impression</vt:lpstr>
      <vt:lpstr>'Liste municipalités'!Zone_d_impression</vt:lpstr>
      <vt:lpstr>'Liste régies'!Zone_d_impression</vt:lpstr>
      <vt:lpstr>'MENU DÉROULANT'!Zone_d_impression</vt:lpstr>
      <vt:lpstr>'MODE D''EMPLOI'!Zone_d_impression</vt:lpstr>
      <vt:lpstr>'SOMMAIRE PGA EAU'!Zone_d_impression</vt:lpstr>
      <vt:lpstr>'SOMMAIRE PGA Eau potable'!Zone_d_impression</vt:lpstr>
      <vt:lpstr>'SOMMAIRE PGA Eaux pluviales'!Zone_d_impression</vt:lpstr>
      <vt:lpstr>'SOMMAIRE PGA Eaux usées'!Zone_d_impression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2015-06-05T18:19:34Z</dcterms:created>
  <dcterms:modified xsi:type="dcterms:W3CDTF">2025-10-24T20:22:34Z</dcterms:modified>
  <cp:category/>
  <cp:contentStatus/>
</cp:coreProperties>
</file>